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agh/Python/Work/Requests - TV Series Categories/"/>
    </mc:Choice>
  </mc:AlternateContent>
  <xr:revisionPtr revIDLastSave="0" documentId="13_ncr:1_{56AD300A-DFF5-5341-919B-78809D99AFE1}" xr6:coauthVersionLast="46" xr6:coauthVersionMax="46" xr10:uidLastSave="{00000000-0000-0000-0000-000000000000}"/>
  <bookViews>
    <workbookView xWindow="0" yWindow="460" windowWidth="28800" windowHeight="16440" activeTab="2" xr2:uid="{00000000-000D-0000-FFFF-FFFF00000000}"/>
  </bookViews>
  <sheets>
    <sheet name="Original List" sheetId="1" r:id="rId1"/>
    <sheet name="Split Titles" sheetId="3" r:id="rId2"/>
    <sheet name="Search Scraped" sheetId="4" r:id="rId3"/>
    <sheet name="Final Sheet" sheetId="5" r:id="rId4"/>
  </sheets>
  <definedNames>
    <definedName name="_xlnm._FilterDatabase" localSheetId="0" hidden="1">'Original List'!$A$1:$A$3573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  <c r="I3" i="5"/>
  <c r="I2" i="5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571" i="4"/>
  <c r="D3571" i="4" s="1"/>
  <c r="E3571" i="4" s="1"/>
  <c r="C3570" i="4"/>
  <c r="D3570" i="4" s="1"/>
  <c r="E3570" i="4" s="1"/>
  <c r="D3569" i="4"/>
  <c r="E3569" i="4" s="1"/>
  <c r="C3569" i="4"/>
  <c r="C3568" i="4"/>
  <c r="D3568" i="4" s="1"/>
  <c r="E3568" i="4" s="1"/>
  <c r="D3567" i="4"/>
  <c r="E3567" i="4" s="1"/>
  <c r="C3567" i="4"/>
  <c r="C3566" i="4"/>
  <c r="D3566" i="4" s="1"/>
  <c r="E3566" i="4" s="1"/>
  <c r="D3565" i="4"/>
  <c r="E3565" i="4" s="1"/>
  <c r="C3565" i="4"/>
  <c r="C3564" i="4"/>
  <c r="D3564" i="4" s="1"/>
  <c r="E3564" i="4" s="1"/>
  <c r="D3563" i="4"/>
  <c r="E3563" i="4" s="1"/>
  <c r="C3563" i="4"/>
  <c r="C3562" i="4"/>
  <c r="D3562" i="4" s="1"/>
  <c r="E3562" i="4" s="1"/>
  <c r="D3561" i="4"/>
  <c r="E3561" i="4" s="1"/>
  <c r="C3561" i="4"/>
  <c r="C3560" i="4"/>
  <c r="D3560" i="4" s="1"/>
  <c r="E3560" i="4" s="1"/>
  <c r="D3559" i="4"/>
  <c r="E3559" i="4" s="1"/>
  <c r="C3559" i="4"/>
  <c r="C3558" i="4"/>
  <c r="D3558" i="4" s="1"/>
  <c r="E3558" i="4" s="1"/>
  <c r="D3557" i="4"/>
  <c r="E3557" i="4" s="1"/>
  <c r="C3557" i="4"/>
  <c r="C3556" i="4"/>
  <c r="D3556" i="4" s="1"/>
  <c r="E3556" i="4" s="1"/>
  <c r="D3555" i="4"/>
  <c r="E3555" i="4" s="1"/>
  <c r="C3555" i="4"/>
  <c r="C3554" i="4"/>
  <c r="D3554" i="4" s="1"/>
  <c r="E3554" i="4" s="1"/>
  <c r="D3553" i="4"/>
  <c r="E3553" i="4" s="1"/>
  <c r="C3553" i="4"/>
  <c r="C3552" i="4"/>
  <c r="D3552" i="4" s="1"/>
  <c r="E3552" i="4" s="1"/>
  <c r="D3551" i="4"/>
  <c r="E3551" i="4" s="1"/>
  <c r="C3551" i="4"/>
  <c r="C3550" i="4"/>
  <c r="D3550" i="4" s="1"/>
  <c r="E3550" i="4" s="1"/>
  <c r="D3549" i="4"/>
  <c r="E3549" i="4" s="1"/>
  <c r="C3549" i="4"/>
  <c r="C3548" i="4"/>
  <c r="D3548" i="4" s="1"/>
  <c r="E3548" i="4" s="1"/>
  <c r="D3547" i="4"/>
  <c r="E3547" i="4" s="1"/>
  <c r="C3547" i="4"/>
  <c r="C3546" i="4"/>
  <c r="D3546" i="4" s="1"/>
  <c r="E3546" i="4" s="1"/>
  <c r="D3545" i="4"/>
  <c r="E3545" i="4" s="1"/>
  <c r="C3545" i="4"/>
  <c r="C3544" i="4"/>
  <c r="D3544" i="4" s="1"/>
  <c r="E3544" i="4" s="1"/>
  <c r="D3543" i="4"/>
  <c r="E3543" i="4" s="1"/>
  <c r="C3543" i="4"/>
  <c r="C3542" i="4"/>
  <c r="D3542" i="4" s="1"/>
  <c r="E3542" i="4" s="1"/>
  <c r="D3541" i="4"/>
  <c r="E3541" i="4" s="1"/>
  <c r="C3541" i="4"/>
  <c r="C3540" i="4"/>
  <c r="D3540" i="4" s="1"/>
  <c r="E3540" i="4" s="1"/>
  <c r="D3539" i="4"/>
  <c r="E3539" i="4" s="1"/>
  <c r="C3539" i="4"/>
  <c r="C3538" i="4"/>
  <c r="D3538" i="4" s="1"/>
  <c r="E3538" i="4" s="1"/>
  <c r="D3537" i="4"/>
  <c r="E3537" i="4" s="1"/>
  <c r="C3537" i="4"/>
  <c r="C3536" i="4"/>
  <c r="D3536" i="4" s="1"/>
  <c r="E3536" i="4" s="1"/>
  <c r="D3535" i="4"/>
  <c r="E3535" i="4" s="1"/>
  <c r="C3535" i="4"/>
  <c r="C3534" i="4"/>
  <c r="D3534" i="4" s="1"/>
  <c r="E3534" i="4" s="1"/>
  <c r="D3533" i="4"/>
  <c r="E3533" i="4" s="1"/>
  <c r="C3533" i="4"/>
  <c r="C3532" i="4"/>
  <c r="D3532" i="4" s="1"/>
  <c r="E3532" i="4" s="1"/>
  <c r="D3531" i="4"/>
  <c r="E3531" i="4" s="1"/>
  <c r="C3531" i="4"/>
  <c r="C3530" i="4"/>
  <c r="D3530" i="4" s="1"/>
  <c r="E3530" i="4" s="1"/>
  <c r="D3529" i="4"/>
  <c r="E3529" i="4" s="1"/>
  <c r="C3529" i="4"/>
  <c r="C3528" i="4"/>
  <c r="D3528" i="4" s="1"/>
  <c r="E3528" i="4" s="1"/>
  <c r="D3527" i="4"/>
  <c r="E3527" i="4" s="1"/>
  <c r="C3527" i="4"/>
  <c r="C3526" i="4"/>
  <c r="D3526" i="4" s="1"/>
  <c r="E3526" i="4" s="1"/>
  <c r="D3525" i="4"/>
  <c r="E3525" i="4" s="1"/>
  <c r="C3525" i="4"/>
  <c r="C3524" i="4"/>
  <c r="D3524" i="4" s="1"/>
  <c r="E3524" i="4" s="1"/>
  <c r="D3523" i="4"/>
  <c r="E3523" i="4" s="1"/>
  <c r="C3523" i="4"/>
  <c r="C3522" i="4"/>
  <c r="D3522" i="4" s="1"/>
  <c r="E3522" i="4" s="1"/>
  <c r="D3521" i="4"/>
  <c r="E3521" i="4" s="1"/>
  <c r="C3521" i="4"/>
  <c r="C3520" i="4"/>
  <c r="D3520" i="4" s="1"/>
  <c r="E3520" i="4" s="1"/>
  <c r="D3519" i="4"/>
  <c r="E3519" i="4" s="1"/>
  <c r="C3519" i="4"/>
  <c r="C3518" i="4"/>
  <c r="D3518" i="4" s="1"/>
  <c r="E3518" i="4" s="1"/>
  <c r="D3517" i="4"/>
  <c r="E3517" i="4" s="1"/>
  <c r="C3517" i="4"/>
  <c r="C3516" i="4"/>
  <c r="D3516" i="4" s="1"/>
  <c r="E3516" i="4" s="1"/>
  <c r="D3515" i="4"/>
  <c r="E3515" i="4" s="1"/>
  <c r="C3515" i="4"/>
  <c r="C3514" i="4"/>
  <c r="D3514" i="4" s="1"/>
  <c r="E3514" i="4" s="1"/>
  <c r="D3513" i="4"/>
  <c r="E3513" i="4" s="1"/>
  <c r="C3513" i="4"/>
  <c r="C3512" i="4"/>
  <c r="D3512" i="4" s="1"/>
  <c r="E3512" i="4" s="1"/>
  <c r="D3511" i="4"/>
  <c r="E3511" i="4" s="1"/>
  <c r="C3511" i="4"/>
  <c r="C3510" i="4"/>
  <c r="D3510" i="4" s="1"/>
  <c r="E3510" i="4" s="1"/>
  <c r="D3509" i="4"/>
  <c r="E3509" i="4" s="1"/>
  <c r="C3509" i="4"/>
  <c r="C3508" i="4"/>
  <c r="D3508" i="4" s="1"/>
  <c r="E3508" i="4" s="1"/>
  <c r="D3507" i="4"/>
  <c r="E3507" i="4" s="1"/>
  <c r="C3507" i="4"/>
  <c r="C3506" i="4"/>
  <c r="D3506" i="4" s="1"/>
  <c r="E3506" i="4" s="1"/>
  <c r="D3505" i="4"/>
  <c r="E3505" i="4" s="1"/>
  <c r="C3505" i="4"/>
  <c r="C3504" i="4"/>
  <c r="D3504" i="4" s="1"/>
  <c r="E3504" i="4" s="1"/>
  <c r="D3503" i="4"/>
  <c r="E3503" i="4" s="1"/>
  <c r="C3503" i="4"/>
  <c r="C3502" i="4"/>
  <c r="D3502" i="4" s="1"/>
  <c r="E3502" i="4" s="1"/>
  <c r="D3501" i="4"/>
  <c r="E3501" i="4" s="1"/>
  <c r="C3501" i="4"/>
  <c r="C3500" i="4"/>
  <c r="D3500" i="4" s="1"/>
  <c r="E3500" i="4" s="1"/>
  <c r="D3499" i="4"/>
  <c r="E3499" i="4" s="1"/>
  <c r="C3499" i="4"/>
  <c r="C3498" i="4"/>
  <c r="D3498" i="4" s="1"/>
  <c r="E3498" i="4" s="1"/>
  <c r="D3497" i="4"/>
  <c r="E3497" i="4" s="1"/>
  <c r="C3497" i="4"/>
  <c r="C3496" i="4"/>
  <c r="D3496" i="4" s="1"/>
  <c r="E3496" i="4" s="1"/>
  <c r="D3495" i="4"/>
  <c r="E3495" i="4" s="1"/>
  <c r="C3495" i="4"/>
  <c r="C3494" i="4"/>
  <c r="D3494" i="4" s="1"/>
  <c r="E3494" i="4" s="1"/>
  <c r="D3493" i="4"/>
  <c r="E3493" i="4" s="1"/>
  <c r="C3493" i="4"/>
  <c r="C3492" i="4"/>
  <c r="D3492" i="4" s="1"/>
  <c r="E3492" i="4" s="1"/>
  <c r="D3491" i="4"/>
  <c r="E3491" i="4" s="1"/>
  <c r="C3491" i="4"/>
  <c r="C3490" i="4"/>
  <c r="D3490" i="4" s="1"/>
  <c r="E3490" i="4" s="1"/>
  <c r="D3489" i="4"/>
  <c r="E3489" i="4" s="1"/>
  <c r="C3489" i="4"/>
  <c r="C3488" i="4"/>
  <c r="D3488" i="4" s="1"/>
  <c r="E3488" i="4" s="1"/>
  <c r="D3487" i="4"/>
  <c r="E3487" i="4" s="1"/>
  <c r="C3487" i="4"/>
  <c r="C3486" i="4"/>
  <c r="D3486" i="4" s="1"/>
  <c r="E3486" i="4" s="1"/>
  <c r="D3485" i="4"/>
  <c r="E3485" i="4" s="1"/>
  <c r="C3485" i="4"/>
  <c r="C3484" i="4"/>
  <c r="D3484" i="4" s="1"/>
  <c r="E3484" i="4" s="1"/>
  <c r="D3483" i="4"/>
  <c r="E3483" i="4" s="1"/>
  <c r="C3483" i="4"/>
  <c r="C3482" i="4"/>
  <c r="D3482" i="4" s="1"/>
  <c r="E3482" i="4" s="1"/>
  <c r="D3481" i="4"/>
  <c r="E3481" i="4" s="1"/>
  <c r="C3481" i="4"/>
  <c r="C3480" i="4"/>
  <c r="D3480" i="4" s="1"/>
  <c r="E3480" i="4" s="1"/>
  <c r="D3479" i="4"/>
  <c r="E3479" i="4" s="1"/>
  <c r="C3479" i="4"/>
  <c r="C3478" i="4"/>
  <c r="D3478" i="4" s="1"/>
  <c r="E3478" i="4" s="1"/>
  <c r="D3477" i="4"/>
  <c r="E3477" i="4" s="1"/>
  <c r="C3477" i="4"/>
  <c r="C3476" i="4"/>
  <c r="D3476" i="4" s="1"/>
  <c r="E3476" i="4" s="1"/>
  <c r="D3475" i="4"/>
  <c r="E3475" i="4" s="1"/>
  <c r="C3475" i="4"/>
  <c r="C3474" i="4"/>
  <c r="D3474" i="4" s="1"/>
  <c r="E3474" i="4" s="1"/>
  <c r="D3473" i="4"/>
  <c r="E3473" i="4" s="1"/>
  <c r="C3473" i="4"/>
  <c r="C3472" i="4"/>
  <c r="D3472" i="4" s="1"/>
  <c r="E3472" i="4" s="1"/>
  <c r="D3471" i="4"/>
  <c r="E3471" i="4" s="1"/>
  <c r="C3471" i="4"/>
  <c r="C3470" i="4"/>
  <c r="D3470" i="4" s="1"/>
  <c r="E3470" i="4" s="1"/>
  <c r="D3469" i="4"/>
  <c r="E3469" i="4" s="1"/>
  <c r="C3469" i="4"/>
  <c r="C3468" i="4"/>
  <c r="D3468" i="4" s="1"/>
  <c r="E3468" i="4" s="1"/>
  <c r="D3467" i="4"/>
  <c r="E3467" i="4" s="1"/>
  <c r="C3467" i="4"/>
  <c r="C3466" i="4"/>
  <c r="D3466" i="4" s="1"/>
  <c r="E3466" i="4" s="1"/>
  <c r="D3465" i="4"/>
  <c r="E3465" i="4" s="1"/>
  <c r="C3465" i="4"/>
  <c r="C3464" i="4"/>
  <c r="D3464" i="4" s="1"/>
  <c r="E3464" i="4" s="1"/>
  <c r="D3463" i="4"/>
  <c r="E3463" i="4" s="1"/>
  <c r="C3463" i="4"/>
  <c r="C3462" i="4"/>
  <c r="D3462" i="4" s="1"/>
  <c r="E3462" i="4" s="1"/>
  <c r="D3461" i="4"/>
  <c r="E3461" i="4" s="1"/>
  <c r="C3461" i="4"/>
  <c r="C3460" i="4"/>
  <c r="D3460" i="4" s="1"/>
  <c r="E3460" i="4" s="1"/>
  <c r="D3459" i="4"/>
  <c r="E3459" i="4" s="1"/>
  <c r="C3459" i="4"/>
  <c r="C3458" i="4"/>
  <c r="D3458" i="4" s="1"/>
  <c r="E3458" i="4" s="1"/>
  <c r="D3457" i="4"/>
  <c r="E3457" i="4" s="1"/>
  <c r="C3457" i="4"/>
  <c r="C3456" i="4"/>
  <c r="D3456" i="4" s="1"/>
  <c r="E3456" i="4" s="1"/>
  <c r="D3455" i="4"/>
  <c r="E3455" i="4" s="1"/>
  <c r="C3455" i="4"/>
  <c r="C3454" i="4"/>
  <c r="D3454" i="4" s="1"/>
  <c r="E3454" i="4" s="1"/>
  <c r="D3453" i="4"/>
  <c r="E3453" i="4" s="1"/>
  <c r="C3453" i="4"/>
  <c r="C3452" i="4"/>
  <c r="D3452" i="4" s="1"/>
  <c r="E3452" i="4" s="1"/>
  <c r="D3451" i="4"/>
  <c r="E3451" i="4" s="1"/>
  <c r="C3451" i="4"/>
  <c r="C3450" i="4"/>
  <c r="D3450" i="4" s="1"/>
  <c r="E3450" i="4" s="1"/>
  <c r="D3449" i="4"/>
  <c r="E3449" i="4" s="1"/>
  <c r="C3449" i="4"/>
  <c r="C3448" i="4"/>
  <c r="D3448" i="4" s="1"/>
  <c r="E3448" i="4" s="1"/>
  <c r="D3447" i="4"/>
  <c r="E3447" i="4" s="1"/>
  <c r="C3447" i="4"/>
  <c r="C3446" i="4"/>
  <c r="D3446" i="4" s="1"/>
  <c r="E3446" i="4" s="1"/>
  <c r="D3445" i="4"/>
  <c r="E3445" i="4" s="1"/>
  <c r="C3445" i="4"/>
  <c r="C3444" i="4"/>
  <c r="D3444" i="4" s="1"/>
  <c r="E3444" i="4" s="1"/>
  <c r="D3443" i="4"/>
  <c r="E3443" i="4" s="1"/>
  <c r="C3443" i="4"/>
  <c r="C3442" i="4"/>
  <c r="D3442" i="4" s="1"/>
  <c r="E3442" i="4" s="1"/>
  <c r="D3441" i="4"/>
  <c r="E3441" i="4" s="1"/>
  <c r="C3441" i="4"/>
  <c r="C3440" i="4"/>
  <c r="D3440" i="4" s="1"/>
  <c r="E3440" i="4" s="1"/>
  <c r="E3439" i="4"/>
  <c r="D3439" i="4"/>
  <c r="C3439" i="4"/>
  <c r="C3438" i="4"/>
  <c r="D3438" i="4" s="1"/>
  <c r="E3438" i="4" s="1"/>
  <c r="C3437" i="4"/>
  <c r="D3437" i="4" s="1"/>
  <c r="E3437" i="4" s="1"/>
  <c r="C3436" i="4"/>
  <c r="D3436" i="4" s="1"/>
  <c r="E3436" i="4" s="1"/>
  <c r="D3435" i="4"/>
  <c r="E3435" i="4" s="1"/>
  <c r="C3435" i="4"/>
  <c r="C3434" i="4"/>
  <c r="D3434" i="4" s="1"/>
  <c r="E3434" i="4" s="1"/>
  <c r="D3433" i="4"/>
  <c r="E3433" i="4" s="1"/>
  <c r="C3433" i="4"/>
  <c r="C3432" i="4"/>
  <c r="D3432" i="4" s="1"/>
  <c r="E3432" i="4" s="1"/>
  <c r="E3431" i="4"/>
  <c r="D3431" i="4"/>
  <c r="C3431" i="4"/>
  <c r="D3430" i="4"/>
  <c r="E3430" i="4" s="1"/>
  <c r="C3430" i="4"/>
  <c r="C3429" i="4"/>
  <c r="D3429" i="4" s="1"/>
  <c r="E3429" i="4" s="1"/>
  <c r="C3428" i="4"/>
  <c r="D3428" i="4" s="1"/>
  <c r="E3428" i="4" s="1"/>
  <c r="D3427" i="4"/>
  <c r="E3427" i="4" s="1"/>
  <c r="C3427" i="4"/>
  <c r="C3426" i="4"/>
  <c r="D3426" i="4" s="1"/>
  <c r="E3426" i="4" s="1"/>
  <c r="D3425" i="4"/>
  <c r="E3425" i="4" s="1"/>
  <c r="C3425" i="4"/>
  <c r="C3424" i="4"/>
  <c r="D3424" i="4" s="1"/>
  <c r="E3424" i="4" s="1"/>
  <c r="D3423" i="4"/>
  <c r="E3423" i="4" s="1"/>
  <c r="C3423" i="4"/>
  <c r="D3422" i="4"/>
  <c r="E3422" i="4" s="1"/>
  <c r="C3422" i="4"/>
  <c r="C3421" i="4"/>
  <c r="D3421" i="4" s="1"/>
  <c r="E3421" i="4" s="1"/>
  <c r="C3420" i="4"/>
  <c r="D3420" i="4" s="1"/>
  <c r="E3420" i="4" s="1"/>
  <c r="D3419" i="4"/>
  <c r="E3419" i="4" s="1"/>
  <c r="C3419" i="4"/>
  <c r="C3418" i="4"/>
  <c r="D3418" i="4" s="1"/>
  <c r="E3418" i="4" s="1"/>
  <c r="D3417" i="4"/>
  <c r="E3417" i="4" s="1"/>
  <c r="C3417" i="4"/>
  <c r="C3416" i="4"/>
  <c r="D3416" i="4" s="1"/>
  <c r="E3416" i="4" s="1"/>
  <c r="D3415" i="4"/>
  <c r="E3415" i="4" s="1"/>
  <c r="C3415" i="4"/>
  <c r="C3414" i="4"/>
  <c r="D3414" i="4" s="1"/>
  <c r="E3414" i="4" s="1"/>
  <c r="C3413" i="4"/>
  <c r="D3413" i="4" s="1"/>
  <c r="E3413" i="4" s="1"/>
  <c r="C3412" i="4"/>
  <c r="D3412" i="4" s="1"/>
  <c r="E3412" i="4" s="1"/>
  <c r="D3411" i="4"/>
  <c r="E3411" i="4" s="1"/>
  <c r="C3411" i="4"/>
  <c r="C3410" i="4"/>
  <c r="D3410" i="4" s="1"/>
  <c r="E3410" i="4" s="1"/>
  <c r="D3409" i="4"/>
  <c r="E3409" i="4" s="1"/>
  <c r="C3409" i="4"/>
  <c r="C3408" i="4"/>
  <c r="D3408" i="4" s="1"/>
  <c r="E3408" i="4" s="1"/>
  <c r="E3407" i="4"/>
  <c r="D3407" i="4"/>
  <c r="C3407" i="4"/>
  <c r="C3406" i="4"/>
  <c r="D3406" i="4" s="1"/>
  <c r="E3406" i="4" s="1"/>
  <c r="C3405" i="4"/>
  <c r="D3405" i="4" s="1"/>
  <c r="E3405" i="4" s="1"/>
  <c r="C3404" i="4"/>
  <c r="D3404" i="4" s="1"/>
  <c r="E3404" i="4" s="1"/>
  <c r="D3403" i="4"/>
  <c r="E3403" i="4" s="1"/>
  <c r="C3403" i="4"/>
  <c r="C3402" i="4"/>
  <c r="D3402" i="4" s="1"/>
  <c r="E3402" i="4" s="1"/>
  <c r="C3401" i="4"/>
  <c r="D3401" i="4" s="1"/>
  <c r="E3401" i="4" s="1"/>
  <c r="C3400" i="4"/>
  <c r="D3400" i="4" s="1"/>
  <c r="E3400" i="4" s="1"/>
  <c r="E3399" i="4"/>
  <c r="C3399" i="4"/>
  <c r="D3399" i="4" s="1"/>
  <c r="C3398" i="4"/>
  <c r="D3398" i="4" s="1"/>
  <c r="E3398" i="4" s="1"/>
  <c r="E3397" i="4"/>
  <c r="C3397" i="4"/>
  <c r="D3397" i="4" s="1"/>
  <c r="D3396" i="4"/>
  <c r="E3396" i="4" s="1"/>
  <c r="C3396" i="4"/>
  <c r="C3395" i="4"/>
  <c r="D3395" i="4" s="1"/>
  <c r="E3395" i="4" s="1"/>
  <c r="D3394" i="4"/>
  <c r="E3394" i="4" s="1"/>
  <c r="C3394" i="4"/>
  <c r="C3393" i="4"/>
  <c r="D3393" i="4" s="1"/>
  <c r="E3393" i="4" s="1"/>
  <c r="E3392" i="4"/>
  <c r="D3392" i="4"/>
  <c r="C3392" i="4"/>
  <c r="E3391" i="4"/>
  <c r="D3391" i="4"/>
  <c r="C3391" i="4"/>
  <c r="C3390" i="4"/>
  <c r="D3390" i="4" s="1"/>
  <c r="E3390" i="4" s="1"/>
  <c r="E3389" i="4"/>
  <c r="C3389" i="4"/>
  <c r="D3389" i="4" s="1"/>
  <c r="D3388" i="4"/>
  <c r="E3388" i="4" s="1"/>
  <c r="C3388" i="4"/>
  <c r="C3387" i="4"/>
  <c r="D3387" i="4" s="1"/>
  <c r="E3387" i="4" s="1"/>
  <c r="D3386" i="4"/>
  <c r="E3386" i="4" s="1"/>
  <c r="C3386" i="4"/>
  <c r="C3385" i="4"/>
  <c r="D3385" i="4" s="1"/>
  <c r="E3385" i="4" s="1"/>
  <c r="E3384" i="4"/>
  <c r="D3384" i="4"/>
  <c r="C3384" i="4"/>
  <c r="E3383" i="4"/>
  <c r="D3383" i="4"/>
  <c r="C3383" i="4"/>
  <c r="C3382" i="4"/>
  <c r="D3382" i="4" s="1"/>
  <c r="E3382" i="4" s="1"/>
  <c r="E3381" i="4"/>
  <c r="C3381" i="4"/>
  <c r="D3381" i="4" s="1"/>
  <c r="D3380" i="4"/>
  <c r="E3380" i="4" s="1"/>
  <c r="C3380" i="4"/>
  <c r="C3379" i="4"/>
  <c r="D3379" i="4" s="1"/>
  <c r="E3379" i="4" s="1"/>
  <c r="D3378" i="4"/>
  <c r="E3378" i="4" s="1"/>
  <c r="C3378" i="4"/>
  <c r="C3377" i="4"/>
  <c r="D3377" i="4" s="1"/>
  <c r="E3377" i="4" s="1"/>
  <c r="E3376" i="4"/>
  <c r="D3376" i="4"/>
  <c r="C3376" i="4"/>
  <c r="E3375" i="4"/>
  <c r="D3375" i="4"/>
  <c r="C3375" i="4"/>
  <c r="C3374" i="4"/>
  <c r="D3374" i="4" s="1"/>
  <c r="E3374" i="4" s="1"/>
  <c r="E3373" i="4"/>
  <c r="C3373" i="4"/>
  <c r="D3373" i="4" s="1"/>
  <c r="D3372" i="4"/>
  <c r="E3372" i="4" s="1"/>
  <c r="C3372" i="4"/>
  <c r="C3371" i="4"/>
  <c r="D3371" i="4" s="1"/>
  <c r="E3371" i="4" s="1"/>
  <c r="D3370" i="4"/>
  <c r="E3370" i="4" s="1"/>
  <c r="C3370" i="4"/>
  <c r="C3369" i="4"/>
  <c r="D3369" i="4" s="1"/>
  <c r="E3369" i="4" s="1"/>
  <c r="E3368" i="4"/>
  <c r="D3368" i="4"/>
  <c r="C3368" i="4"/>
  <c r="E3367" i="4"/>
  <c r="D3367" i="4"/>
  <c r="C3367" i="4"/>
  <c r="C3366" i="4"/>
  <c r="D3366" i="4" s="1"/>
  <c r="E3366" i="4" s="1"/>
  <c r="E3365" i="4"/>
  <c r="C3365" i="4"/>
  <c r="D3365" i="4" s="1"/>
  <c r="D3364" i="4"/>
  <c r="E3364" i="4" s="1"/>
  <c r="C3364" i="4"/>
  <c r="C3363" i="4"/>
  <c r="D3363" i="4" s="1"/>
  <c r="E3363" i="4" s="1"/>
  <c r="D3362" i="4"/>
  <c r="E3362" i="4" s="1"/>
  <c r="C3362" i="4"/>
  <c r="C3361" i="4"/>
  <c r="D3361" i="4" s="1"/>
  <c r="E3361" i="4" s="1"/>
  <c r="E3360" i="4"/>
  <c r="D3360" i="4"/>
  <c r="C3360" i="4"/>
  <c r="E3359" i="4"/>
  <c r="D3359" i="4"/>
  <c r="C3359" i="4"/>
  <c r="C3358" i="4"/>
  <c r="D3358" i="4" s="1"/>
  <c r="E3358" i="4" s="1"/>
  <c r="E3357" i="4"/>
  <c r="C3357" i="4"/>
  <c r="D3357" i="4" s="1"/>
  <c r="D3356" i="4"/>
  <c r="E3356" i="4" s="1"/>
  <c r="C3356" i="4"/>
  <c r="C3355" i="4"/>
  <c r="D3355" i="4" s="1"/>
  <c r="E3355" i="4" s="1"/>
  <c r="D3354" i="4"/>
  <c r="E3354" i="4" s="1"/>
  <c r="C3354" i="4"/>
  <c r="C3353" i="4"/>
  <c r="D3353" i="4" s="1"/>
  <c r="E3353" i="4" s="1"/>
  <c r="E3352" i="4"/>
  <c r="D3352" i="4"/>
  <c r="C3352" i="4"/>
  <c r="E3351" i="4"/>
  <c r="D3351" i="4"/>
  <c r="C3351" i="4"/>
  <c r="C3350" i="4"/>
  <c r="D3350" i="4" s="1"/>
  <c r="E3350" i="4" s="1"/>
  <c r="E3349" i="4"/>
  <c r="C3349" i="4"/>
  <c r="D3349" i="4" s="1"/>
  <c r="D3348" i="4"/>
  <c r="E3348" i="4" s="1"/>
  <c r="C3348" i="4"/>
  <c r="C3347" i="4"/>
  <c r="D3347" i="4" s="1"/>
  <c r="E3347" i="4" s="1"/>
  <c r="D3346" i="4"/>
  <c r="E3346" i="4" s="1"/>
  <c r="C3346" i="4"/>
  <c r="C3345" i="4"/>
  <c r="D3345" i="4" s="1"/>
  <c r="E3345" i="4" s="1"/>
  <c r="E3344" i="4"/>
  <c r="D3344" i="4"/>
  <c r="C3344" i="4"/>
  <c r="E3343" i="4"/>
  <c r="D3343" i="4"/>
  <c r="C3343" i="4"/>
  <c r="C3342" i="4"/>
  <c r="D3342" i="4" s="1"/>
  <c r="E3342" i="4" s="1"/>
  <c r="E3341" i="4"/>
  <c r="C3341" i="4"/>
  <c r="D3341" i="4" s="1"/>
  <c r="D3340" i="4"/>
  <c r="E3340" i="4" s="1"/>
  <c r="C3340" i="4"/>
  <c r="C3339" i="4"/>
  <c r="D3339" i="4" s="1"/>
  <c r="E3339" i="4" s="1"/>
  <c r="D3338" i="4"/>
  <c r="E3338" i="4" s="1"/>
  <c r="C3338" i="4"/>
  <c r="C3337" i="4"/>
  <c r="D3337" i="4" s="1"/>
  <c r="E3337" i="4" s="1"/>
  <c r="E3336" i="4"/>
  <c r="D3336" i="4"/>
  <c r="C3336" i="4"/>
  <c r="E3335" i="4"/>
  <c r="D3335" i="4"/>
  <c r="C3335" i="4"/>
  <c r="C3334" i="4"/>
  <c r="D3334" i="4" s="1"/>
  <c r="E3334" i="4" s="1"/>
  <c r="E3333" i="4"/>
  <c r="C3333" i="4"/>
  <c r="D3333" i="4" s="1"/>
  <c r="D3332" i="4"/>
  <c r="E3332" i="4" s="1"/>
  <c r="C3332" i="4"/>
  <c r="C3331" i="4"/>
  <c r="D3331" i="4" s="1"/>
  <c r="E3331" i="4" s="1"/>
  <c r="D3330" i="4"/>
  <c r="E3330" i="4" s="1"/>
  <c r="C3330" i="4"/>
  <c r="C3329" i="4"/>
  <c r="D3329" i="4" s="1"/>
  <c r="E3329" i="4" s="1"/>
  <c r="E3328" i="4"/>
  <c r="D3328" i="4"/>
  <c r="C3328" i="4"/>
  <c r="E3327" i="4"/>
  <c r="D3327" i="4"/>
  <c r="C3327" i="4"/>
  <c r="C3326" i="4"/>
  <c r="D3326" i="4" s="1"/>
  <c r="E3326" i="4" s="1"/>
  <c r="E3325" i="4"/>
  <c r="C3325" i="4"/>
  <c r="D3325" i="4" s="1"/>
  <c r="D3324" i="4"/>
  <c r="E3324" i="4" s="1"/>
  <c r="C3324" i="4"/>
  <c r="C3323" i="4"/>
  <c r="D3323" i="4" s="1"/>
  <c r="E3323" i="4" s="1"/>
  <c r="D3322" i="4"/>
  <c r="E3322" i="4" s="1"/>
  <c r="C3322" i="4"/>
  <c r="C3321" i="4"/>
  <c r="D3321" i="4" s="1"/>
  <c r="E3321" i="4" s="1"/>
  <c r="E3320" i="4"/>
  <c r="D3320" i="4"/>
  <c r="C3320" i="4"/>
  <c r="E3319" i="4"/>
  <c r="D3319" i="4"/>
  <c r="C3319" i="4"/>
  <c r="C3318" i="4"/>
  <c r="D3318" i="4" s="1"/>
  <c r="E3318" i="4" s="1"/>
  <c r="E3317" i="4"/>
  <c r="C3317" i="4"/>
  <c r="D3317" i="4" s="1"/>
  <c r="D3316" i="4"/>
  <c r="E3316" i="4" s="1"/>
  <c r="C3316" i="4"/>
  <c r="C3315" i="4"/>
  <c r="D3315" i="4" s="1"/>
  <c r="E3315" i="4" s="1"/>
  <c r="D3314" i="4"/>
  <c r="E3314" i="4" s="1"/>
  <c r="C3314" i="4"/>
  <c r="C3313" i="4"/>
  <c r="D3313" i="4" s="1"/>
  <c r="E3313" i="4" s="1"/>
  <c r="E3312" i="4"/>
  <c r="D3312" i="4"/>
  <c r="C3312" i="4"/>
  <c r="E3311" i="4"/>
  <c r="D3311" i="4"/>
  <c r="C3311" i="4"/>
  <c r="C3310" i="4"/>
  <c r="D3310" i="4" s="1"/>
  <c r="E3310" i="4" s="1"/>
  <c r="E3309" i="4"/>
  <c r="C3309" i="4"/>
  <c r="D3309" i="4" s="1"/>
  <c r="D3308" i="4"/>
  <c r="E3308" i="4" s="1"/>
  <c r="C3308" i="4"/>
  <c r="C3307" i="4"/>
  <c r="D3307" i="4" s="1"/>
  <c r="E3307" i="4" s="1"/>
  <c r="D3306" i="4"/>
  <c r="E3306" i="4" s="1"/>
  <c r="C3306" i="4"/>
  <c r="C3305" i="4"/>
  <c r="D3305" i="4" s="1"/>
  <c r="E3305" i="4" s="1"/>
  <c r="E3304" i="4"/>
  <c r="D3304" i="4"/>
  <c r="C3304" i="4"/>
  <c r="E3303" i="4"/>
  <c r="D3303" i="4"/>
  <c r="C3303" i="4"/>
  <c r="C3302" i="4"/>
  <c r="D3302" i="4" s="1"/>
  <c r="E3302" i="4" s="1"/>
  <c r="C3301" i="4"/>
  <c r="D3301" i="4" s="1"/>
  <c r="E3301" i="4" s="1"/>
  <c r="D3300" i="4"/>
  <c r="E3300" i="4" s="1"/>
  <c r="C3300" i="4"/>
  <c r="C3299" i="4"/>
  <c r="D3299" i="4" s="1"/>
  <c r="E3299" i="4" s="1"/>
  <c r="C3298" i="4"/>
  <c r="D3298" i="4" s="1"/>
  <c r="E3298" i="4" s="1"/>
  <c r="C3297" i="4"/>
  <c r="D3297" i="4" s="1"/>
  <c r="E3297" i="4" s="1"/>
  <c r="D3296" i="4"/>
  <c r="E3296" i="4" s="1"/>
  <c r="C3296" i="4"/>
  <c r="C3295" i="4"/>
  <c r="D3295" i="4" s="1"/>
  <c r="E3295" i="4" s="1"/>
  <c r="C3294" i="4"/>
  <c r="D3294" i="4" s="1"/>
  <c r="E3294" i="4" s="1"/>
  <c r="C3293" i="4"/>
  <c r="D3293" i="4" s="1"/>
  <c r="E3293" i="4" s="1"/>
  <c r="D3292" i="4"/>
  <c r="E3292" i="4" s="1"/>
  <c r="C3292" i="4"/>
  <c r="C3291" i="4"/>
  <c r="D3291" i="4" s="1"/>
  <c r="E3291" i="4" s="1"/>
  <c r="C3290" i="4"/>
  <c r="D3290" i="4" s="1"/>
  <c r="E3290" i="4" s="1"/>
  <c r="C3289" i="4"/>
  <c r="D3289" i="4" s="1"/>
  <c r="E3289" i="4" s="1"/>
  <c r="D3288" i="4"/>
  <c r="E3288" i="4" s="1"/>
  <c r="C3288" i="4"/>
  <c r="E3287" i="4"/>
  <c r="C3287" i="4"/>
  <c r="D3287" i="4" s="1"/>
  <c r="C3286" i="4"/>
  <c r="D3286" i="4" s="1"/>
  <c r="E3286" i="4" s="1"/>
  <c r="C3285" i="4"/>
  <c r="D3285" i="4" s="1"/>
  <c r="E3285" i="4" s="1"/>
  <c r="D3284" i="4"/>
  <c r="E3284" i="4" s="1"/>
  <c r="C3284" i="4"/>
  <c r="C3283" i="4"/>
  <c r="D3283" i="4" s="1"/>
  <c r="E3283" i="4" s="1"/>
  <c r="C3282" i="4"/>
  <c r="D3282" i="4" s="1"/>
  <c r="E3282" i="4" s="1"/>
  <c r="C3281" i="4"/>
  <c r="D3281" i="4" s="1"/>
  <c r="E3281" i="4" s="1"/>
  <c r="D3280" i="4"/>
  <c r="E3280" i="4" s="1"/>
  <c r="C3280" i="4"/>
  <c r="C3279" i="4"/>
  <c r="D3279" i="4" s="1"/>
  <c r="E3279" i="4" s="1"/>
  <c r="C3278" i="4"/>
  <c r="D3278" i="4" s="1"/>
  <c r="E3278" i="4" s="1"/>
  <c r="C3277" i="4"/>
  <c r="D3277" i="4" s="1"/>
  <c r="E3277" i="4" s="1"/>
  <c r="D3276" i="4"/>
  <c r="E3276" i="4" s="1"/>
  <c r="C3276" i="4"/>
  <c r="C3275" i="4"/>
  <c r="D3275" i="4" s="1"/>
  <c r="E3275" i="4" s="1"/>
  <c r="C3274" i="4"/>
  <c r="D3274" i="4" s="1"/>
  <c r="E3274" i="4" s="1"/>
  <c r="C3273" i="4"/>
  <c r="D3273" i="4" s="1"/>
  <c r="E3273" i="4" s="1"/>
  <c r="D3272" i="4"/>
  <c r="E3272" i="4" s="1"/>
  <c r="C3272" i="4"/>
  <c r="C3271" i="4"/>
  <c r="D3271" i="4" s="1"/>
  <c r="E3271" i="4" s="1"/>
  <c r="C3270" i="4"/>
  <c r="D3270" i="4" s="1"/>
  <c r="E3270" i="4" s="1"/>
  <c r="C3269" i="4"/>
  <c r="D3269" i="4" s="1"/>
  <c r="E3269" i="4" s="1"/>
  <c r="D3268" i="4"/>
  <c r="E3268" i="4" s="1"/>
  <c r="C3268" i="4"/>
  <c r="C3267" i="4"/>
  <c r="D3267" i="4" s="1"/>
  <c r="E3267" i="4" s="1"/>
  <c r="C3266" i="4"/>
  <c r="D3266" i="4" s="1"/>
  <c r="E3266" i="4" s="1"/>
  <c r="C3265" i="4"/>
  <c r="D3265" i="4" s="1"/>
  <c r="E3265" i="4" s="1"/>
  <c r="D3264" i="4"/>
  <c r="E3264" i="4" s="1"/>
  <c r="C3264" i="4"/>
  <c r="C3263" i="4"/>
  <c r="D3263" i="4" s="1"/>
  <c r="E3263" i="4" s="1"/>
  <c r="C3262" i="4"/>
  <c r="D3262" i="4" s="1"/>
  <c r="E3262" i="4" s="1"/>
  <c r="D3261" i="4"/>
  <c r="E3261" i="4" s="1"/>
  <c r="C3261" i="4"/>
  <c r="C3260" i="4"/>
  <c r="D3260" i="4" s="1"/>
  <c r="E3260" i="4" s="1"/>
  <c r="D3259" i="4"/>
  <c r="E3259" i="4" s="1"/>
  <c r="C3259" i="4"/>
  <c r="C3258" i="4"/>
  <c r="D3258" i="4" s="1"/>
  <c r="E3258" i="4" s="1"/>
  <c r="D3257" i="4"/>
  <c r="E3257" i="4" s="1"/>
  <c r="C3257" i="4"/>
  <c r="C3256" i="4"/>
  <c r="D3256" i="4" s="1"/>
  <c r="E3256" i="4" s="1"/>
  <c r="D3255" i="4"/>
  <c r="E3255" i="4" s="1"/>
  <c r="C3255" i="4"/>
  <c r="C3254" i="4"/>
  <c r="D3254" i="4" s="1"/>
  <c r="E3254" i="4" s="1"/>
  <c r="D3253" i="4"/>
  <c r="E3253" i="4" s="1"/>
  <c r="C3253" i="4"/>
  <c r="C3252" i="4"/>
  <c r="D3252" i="4" s="1"/>
  <c r="E3252" i="4" s="1"/>
  <c r="D3251" i="4"/>
  <c r="E3251" i="4" s="1"/>
  <c r="C3251" i="4"/>
  <c r="C3250" i="4"/>
  <c r="D3250" i="4" s="1"/>
  <c r="E3250" i="4" s="1"/>
  <c r="D3249" i="4"/>
  <c r="E3249" i="4" s="1"/>
  <c r="C3249" i="4"/>
  <c r="C3248" i="4"/>
  <c r="D3248" i="4" s="1"/>
  <c r="E3248" i="4" s="1"/>
  <c r="D3247" i="4"/>
  <c r="E3247" i="4" s="1"/>
  <c r="C3247" i="4"/>
  <c r="C3246" i="4"/>
  <c r="D3246" i="4" s="1"/>
  <c r="E3246" i="4" s="1"/>
  <c r="D3245" i="4"/>
  <c r="E3245" i="4" s="1"/>
  <c r="C3245" i="4"/>
  <c r="C3244" i="4"/>
  <c r="D3244" i="4" s="1"/>
  <c r="E3244" i="4" s="1"/>
  <c r="D3243" i="4"/>
  <c r="E3243" i="4" s="1"/>
  <c r="C3243" i="4"/>
  <c r="C3242" i="4"/>
  <c r="D3242" i="4" s="1"/>
  <c r="E3242" i="4" s="1"/>
  <c r="D3241" i="4"/>
  <c r="E3241" i="4" s="1"/>
  <c r="C3241" i="4"/>
  <c r="C3240" i="4"/>
  <c r="D3240" i="4" s="1"/>
  <c r="E3240" i="4" s="1"/>
  <c r="D3239" i="4"/>
  <c r="E3239" i="4" s="1"/>
  <c r="C3239" i="4"/>
  <c r="C3238" i="4"/>
  <c r="D3238" i="4" s="1"/>
  <c r="E3238" i="4" s="1"/>
  <c r="D3237" i="4"/>
  <c r="E3237" i="4" s="1"/>
  <c r="C3237" i="4"/>
  <c r="C3236" i="4"/>
  <c r="D3236" i="4" s="1"/>
  <c r="E3236" i="4" s="1"/>
  <c r="D3235" i="4"/>
  <c r="E3235" i="4" s="1"/>
  <c r="C3235" i="4"/>
  <c r="C3234" i="4"/>
  <c r="D3234" i="4" s="1"/>
  <c r="E3234" i="4" s="1"/>
  <c r="D3233" i="4"/>
  <c r="E3233" i="4" s="1"/>
  <c r="C3233" i="4"/>
  <c r="C3232" i="4"/>
  <c r="D3232" i="4" s="1"/>
  <c r="E3232" i="4" s="1"/>
  <c r="D3231" i="4"/>
  <c r="E3231" i="4" s="1"/>
  <c r="C3231" i="4"/>
  <c r="C3230" i="4"/>
  <c r="D3230" i="4" s="1"/>
  <c r="E3230" i="4" s="1"/>
  <c r="D3229" i="4"/>
  <c r="E3229" i="4" s="1"/>
  <c r="C3229" i="4"/>
  <c r="C3228" i="4"/>
  <c r="D3228" i="4" s="1"/>
  <c r="E3228" i="4" s="1"/>
  <c r="D3227" i="4"/>
  <c r="E3227" i="4" s="1"/>
  <c r="C3227" i="4"/>
  <c r="C3226" i="4"/>
  <c r="D3226" i="4" s="1"/>
  <c r="E3226" i="4" s="1"/>
  <c r="D3225" i="4"/>
  <c r="E3225" i="4" s="1"/>
  <c r="C3225" i="4"/>
  <c r="C3224" i="4"/>
  <c r="D3224" i="4" s="1"/>
  <c r="E3224" i="4" s="1"/>
  <c r="D3223" i="4"/>
  <c r="E3223" i="4" s="1"/>
  <c r="C3223" i="4"/>
  <c r="C3222" i="4"/>
  <c r="D3222" i="4" s="1"/>
  <c r="E3222" i="4" s="1"/>
  <c r="D3221" i="4"/>
  <c r="E3221" i="4" s="1"/>
  <c r="C3221" i="4"/>
  <c r="C3220" i="4"/>
  <c r="D3220" i="4" s="1"/>
  <c r="E3220" i="4" s="1"/>
  <c r="D3219" i="4"/>
  <c r="E3219" i="4" s="1"/>
  <c r="C3219" i="4"/>
  <c r="C3218" i="4"/>
  <c r="D3218" i="4" s="1"/>
  <c r="E3218" i="4" s="1"/>
  <c r="D3217" i="4"/>
  <c r="E3217" i="4" s="1"/>
  <c r="C3217" i="4"/>
  <c r="C3216" i="4"/>
  <c r="D3216" i="4" s="1"/>
  <c r="E3216" i="4" s="1"/>
  <c r="D3215" i="4"/>
  <c r="E3215" i="4" s="1"/>
  <c r="C3215" i="4"/>
  <c r="C3214" i="4"/>
  <c r="D3214" i="4" s="1"/>
  <c r="E3214" i="4" s="1"/>
  <c r="D3213" i="4"/>
  <c r="E3213" i="4" s="1"/>
  <c r="C3213" i="4"/>
  <c r="C3212" i="4"/>
  <c r="D3212" i="4" s="1"/>
  <c r="E3212" i="4" s="1"/>
  <c r="D3211" i="4"/>
  <c r="E3211" i="4" s="1"/>
  <c r="C3211" i="4"/>
  <c r="C3210" i="4"/>
  <c r="D3210" i="4" s="1"/>
  <c r="E3210" i="4" s="1"/>
  <c r="D3209" i="4"/>
  <c r="E3209" i="4" s="1"/>
  <c r="C3209" i="4"/>
  <c r="C3208" i="4"/>
  <c r="D3208" i="4" s="1"/>
  <c r="E3208" i="4" s="1"/>
  <c r="D3207" i="4"/>
  <c r="E3207" i="4" s="1"/>
  <c r="C3207" i="4"/>
  <c r="C3206" i="4"/>
  <c r="D3206" i="4" s="1"/>
  <c r="E3206" i="4" s="1"/>
  <c r="D3205" i="4"/>
  <c r="E3205" i="4" s="1"/>
  <c r="C3205" i="4"/>
  <c r="C3204" i="4"/>
  <c r="D3204" i="4" s="1"/>
  <c r="E3204" i="4" s="1"/>
  <c r="D3203" i="4"/>
  <c r="E3203" i="4" s="1"/>
  <c r="C3203" i="4"/>
  <c r="C3202" i="4"/>
  <c r="D3202" i="4" s="1"/>
  <c r="E3202" i="4" s="1"/>
  <c r="D3201" i="4"/>
  <c r="E3201" i="4" s="1"/>
  <c r="C3201" i="4"/>
  <c r="C3200" i="4"/>
  <c r="D3200" i="4" s="1"/>
  <c r="E3200" i="4" s="1"/>
  <c r="D3199" i="4"/>
  <c r="E3199" i="4" s="1"/>
  <c r="C3199" i="4"/>
  <c r="C3198" i="4"/>
  <c r="D3198" i="4" s="1"/>
  <c r="E3198" i="4" s="1"/>
  <c r="D3197" i="4"/>
  <c r="E3197" i="4" s="1"/>
  <c r="C3197" i="4"/>
  <c r="C3196" i="4"/>
  <c r="D3196" i="4" s="1"/>
  <c r="E3196" i="4" s="1"/>
  <c r="D3195" i="4"/>
  <c r="E3195" i="4" s="1"/>
  <c r="C3195" i="4"/>
  <c r="C3194" i="4"/>
  <c r="D3194" i="4" s="1"/>
  <c r="E3194" i="4" s="1"/>
  <c r="D3193" i="4"/>
  <c r="E3193" i="4" s="1"/>
  <c r="C3193" i="4"/>
  <c r="C3192" i="4"/>
  <c r="D3192" i="4" s="1"/>
  <c r="E3192" i="4" s="1"/>
  <c r="D3191" i="4"/>
  <c r="E3191" i="4" s="1"/>
  <c r="C3191" i="4"/>
  <c r="C3190" i="4"/>
  <c r="D3190" i="4" s="1"/>
  <c r="E3190" i="4" s="1"/>
  <c r="D3189" i="4"/>
  <c r="E3189" i="4" s="1"/>
  <c r="C3189" i="4"/>
  <c r="C3188" i="4"/>
  <c r="D3188" i="4" s="1"/>
  <c r="E3188" i="4" s="1"/>
  <c r="D3187" i="4"/>
  <c r="E3187" i="4" s="1"/>
  <c r="C3187" i="4"/>
  <c r="C3186" i="4"/>
  <c r="D3186" i="4" s="1"/>
  <c r="E3186" i="4" s="1"/>
  <c r="D3185" i="4"/>
  <c r="E3185" i="4" s="1"/>
  <c r="C3185" i="4"/>
  <c r="C3184" i="4"/>
  <c r="D3184" i="4" s="1"/>
  <c r="E3184" i="4" s="1"/>
  <c r="D3183" i="4"/>
  <c r="E3183" i="4" s="1"/>
  <c r="C3183" i="4"/>
  <c r="C3182" i="4"/>
  <c r="D3182" i="4" s="1"/>
  <c r="E3182" i="4" s="1"/>
  <c r="D3181" i="4"/>
  <c r="E3181" i="4" s="1"/>
  <c r="C3181" i="4"/>
  <c r="C3180" i="4"/>
  <c r="D3180" i="4" s="1"/>
  <c r="E3180" i="4" s="1"/>
  <c r="D3179" i="4"/>
  <c r="E3179" i="4" s="1"/>
  <c r="C3179" i="4"/>
  <c r="C3178" i="4"/>
  <c r="D3178" i="4" s="1"/>
  <c r="E3178" i="4" s="1"/>
  <c r="D3177" i="4"/>
  <c r="E3177" i="4" s="1"/>
  <c r="C3177" i="4"/>
  <c r="C3176" i="4"/>
  <c r="D3176" i="4" s="1"/>
  <c r="E3176" i="4" s="1"/>
  <c r="D3175" i="4"/>
  <c r="E3175" i="4" s="1"/>
  <c r="C3175" i="4"/>
  <c r="C3174" i="4"/>
  <c r="D3174" i="4" s="1"/>
  <c r="E3174" i="4" s="1"/>
  <c r="D3173" i="4"/>
  <c r="E3173" i="4" s="1"/>
  <c r="C3173" i="4"/>
  <c r="C3172" i="4"/>
  <c r="D3172" i="4" s="1"/>
  <c r="E3172" i="4" s="1"/>
  <c r="D3171" i="4"/>
  <c r="E3171" i="4" s="1"/>
  <c r="C3171" i="4"/>
  <c r="C3170" i="4"/>
  <c r="D3170" i="4" s="1"/>
  <c r="E3170" i="4" s="1"/>
  <c r="E3169" i="4"/>
  <c r="D3169" i="4"/>
  <c r="C3169" i="4"/>
  <c r="E3168" i="4"/>
  <c r="D3168" i="4"/>
  <c r="C3168" i="4"/>
  <c r="C3167" i="4"/>
  <c r="D3167" i="4" s="1"/>
  <c r="E3167" i="4" s="1"/>
  <c r="E3166" i="4"/>
  <c r="C3166" i="4"/>
  <c r="D3166" i="4" s="1"/>
  <c r="D3165" i="4"/>
  <c r="E3165" i="4" s="1"/>
  <c r="C3165" i="4"/>
  <c r="C3164" i="4"/>
  <c r="D3164" i="4" s="1"/>
  <c r="E3164" i="4" s="1"/>
  <c r="D3163" i="4"/>
  <c r="E3163" i="4" s="1"/>
  <c r="C3163" i="4"/>
  <c r="C3162" i="4"/>
  <c r="D3162" i="4" s="1"/>
  <c r="E3162" i="4" s="1"/>
  <c r="E3161" i="4"/>
  <c r="D3161" i="4"/>
  <c r="C3161" i="4"/>
  <c r="E3160" i="4"/>
  <c r="D3160" i="4"/>
  <c r="C3160" i="4"/>
  <c r="C3159" i="4"/>
  <c r="D3159" i="4" s="1"/>
  <c r="E3159" i="4" s="1"/>
  <c r="E3158" i="4"/>
  <c r="C3158" i="4"/>
  <c r="D3158" i="4" s="1"/>
  <c r="D3157" i="4"/>
  <c r="E3157" i="4" s="1"/>
  <c r="C3157" i="4"/>
  <c r="C3156" i="4"/>
  <c r="D3156" i="4" s="1"/>
  <c r="E3156" i="4" s="1"/>
  <c r="D3155" i="4"/>
  <c r="E3155" i="4" s="1"/>
  <c r="C3155" i="4"/>
  <c r="C3154" i="4"/>
  <c r="D3154" i="4" s="1"/>
  <c r="E3154" i="4" s="1"/>
  <c r="E3153" i="4"/>
  <c r="D3153" i="4"/>
  <c r="C3153" i="4"/>
  <c r="E3152" i="4"/>
  <c r="D3152" i="4"/>
  <c r="C3152" i="4"/>
  <c r="C3151" i="4"/>
  <c r="D3151" i="4" s="1"/>
  <c r="E3151" i="4" s="1"/>
  <c r="E3150" i="4"/>
  <c r="C3150" i="4"/>
  <c r="D3150" i="4" s="1"/>
  <c r="D3149" i="4"/>
  <c r="E3149" i="4" s="1"/>
  <c r="C3149" i="4"/>
  <c r="C3148" i="4"/>
  <c r="D3148" i="4" s="1"/>
  <c r="E3148" i="4" s="1"/>
  <c r="D3147" i="4"/>
  <c r="E3147" i="4" s="1"/>
  <c r="C3147" i="4"/>
  <c r="C3146" i="4"/>
  <c r="D3146" i="4" s="1"/>
  <c r="E3146" i="4" s="1"/>
  <c r="E3145" i="4"/>
  <c r="D3145" i="4"/>
  <c r="C3145" i="4"/>
  <c r="E3144" i="4"/>
  <c r="D3144" i="4"/>
  <c r="C3144" i="4"/>
  <c r="C3143" i="4"/>
  <c r="D3143" i="4" s="1"/>
  <c r="E3143" i="4" s="1"/>
  <c r="E3142" i="4"/>
  <c r="C3142" i="4"/>
  <c r="D3142" i="4" s="1"/>
  <c r="D3141" i="4"/>
  <c r="E3141" i="4" s="1"/>
  <c r="C3141" i="4"/>
  <c r="C3140" i="4"/>
  <c r="D3140" i="4" s="1"/>
  <c r="E3140" i="4" s="1"/>
  <c r="D3139" i="4"/>
  <c r="E3139" i="4" s="1"/>
  <c r="C3139" i="4"/>
  <c r="C3138" i="4"/>
  <c r="D3138" i="4" s="1"/>
  <c r="E3138" i="4" s="1"/>
  <c r="E3137" i="4"/>
  <c r="D3137" i="4"/>
  <c r="C3137" i="4"/>
  <c r="E3136" i="4"/>
  <c r="D3136" i="4"/>
  <c r="C3136" i="4"/>
  <c r="C3135" i="4"/>
  <c r="D3135" i="4" s="1"/>
  <c r="E3135" i="4" s="1"/>
  <c r="E3134" i="4"/>
  <c r="C3134" i="4"/>
  <c r="D3134" i="4" s="1"/>
  <c r="D3133" i="4"/>
  <c r="E3133" i="4" s="1"/>
  <c r="C3133" i="4"/>
  <c r="C3132" i="4"/>
  <c r="D3132" i="4" s="1"/>
  <c r="E3132" i="4" s="1"/>
  <c r="D3131" i="4"/>
  <c r="E3131" i="4" s="1"/>
  <c r="C3131" i="4"/>
  <c r="C3130" i="4"/>
  <c r="D3130" i="4" s="1"/>
  <c r="E3130" i="4" s="1"/>
  <c r="E3129" i="4"/>
  <c r="D3129" i="4"/>
  <c r="C3129" i="4"/>
  <c r="E3128" i="4"/>
  <c r="D3128" i="4"/>
  <c r="C3128" i="4"/>
  <c r="C3127" i="4"/>
  <c r="D3127" i="4" s="1"/>
  <c r="E3127" i="4" s="1"/>
  <c r="E3126" i="4"/>
  <c r="C3126" i="4"/>
  <c r="D3126" i="4" s="1"/>
  <c r="D3125" i="4"/>
  <c r="E3125" i="4" s="1"/>
  <c r="C3125" i="4"/>
  <c r="C3124" i="4"/>
  <c r="D3124" i="4" s="1"/>
  <c r="E3124" i="4" s="1"/>
  <c r="D3123" i="4"/>
  <c r="E3123" i="4" s="1"/>
  <c r="C3123" i="4"/>
  <c r="C3122" i="4"/>
  <c r="D3122" i="4" s="1"/>
  <c r="E3122" i="4" s="1"/>
  <c r="E3121" i="4"/>
  <c r="D3121" i="4"/>
  <c r="C3121" i="4"/>
  <c r="E3120" i="4"/>
  <c r="D3120" i="4"/>
  <c r="C3120" i="4"/>
  <c r="C3119" i="4"/>
  <c r="D3119" i="4" s="1"/>
  <c r="E3119" i="4" s="1"/>
  <c r="E3118" i="4"/>
  <c r="C3118" i="4"/>
  <c r="D3118" i="4" s="1"/>
  <c r="D3117" i="4"/>
  <c r="E3117" i="4" s="1"/>
  <c r="C3117" i="4"/>
  <c r="C3116" i="4"/>
  <c r="D3116" i="4" s="1"/>
  <c r="E3116" i="4" s="1"/>
  <c r="D3115" i="4"/>
  <c r="E3115" i="4" s="1"/>
  <c r="C3115" i="4"/>
  <c r="C3114" i="4"/>
  <c r="D3114" i="4" s="1"/>
  <c r="E3114" i="4" s="1"/>
  <c r="E3113" i="4"/>
  <c r="D3113" i="4"/>
  <c r="C3113" i="4"/>
  <c r="E3112" i="4"/>
  <c r="D3112" i="4"/>
  <c r="C3112" i="4"/>
  <c r="C3111" i="4"/>
  <c r="D3111" i="4" s="1"/>
  <c r="E3111" i="4" s="1"/>
  <c r="E3110" i="4"/>
  <c r="C3110" i="4"/>
  <c r="D3110" i="4" s="1"/>
  <c r="D3109" i="4"/>
  <c r="E3109" i="4" s="1"/>
  <c r="C3109" i="4"/>
  <c r="C3108" i="4"/>
  <c r="D3108" i="4" s="1"/>
  <c r="E3108" i="4" s="1"/>
  <c r="D3107" i="4"/>
  <c r="E3107" i="4" s="1"/>
  <c r="C3107" i="4"/>
  <c r="C3106" i="4"/>
  <c r="D3106" i="4" s="1"/>
  <c r="E3106" i="4" s="1"/>
  <c r="E3105" i="4"/>
  <c r="D3105" i="4"/>
  <c r="C3105" i="4"/>
  <c r="E3104" i="4"/>
  <c r="D3104" i="4"/>
  <c r="C3104" i="4"/>
  <c r="C3103" i="4"/>
  <c r="D3103" i="4" s="1"/>
  <c r="E3103" i="4" s="1"/>
  <c r="E3102" i="4"/>
  <c r="C3102" i="4"/>
  <c r="D3102" i="4" s="1"/>
  <c r="D3101" i="4"/>
  <c r="E3101" i="4" s="1"/>
  <c r="C3101" i="4"/>
  <c r="C3100" i="4"/>
  <c r="D3100" i="4" s="1"/>
  <c r="E3100" i="4" s="1"/>
  <c r="D3099" i="4"/>
  <c r="E3099" i="4" s="1"/>
  <c r="C3099" i="4"/>
  <c r="C3098" i="4"/>
  <c r="D3098" i="4" s="1"/>
  <c r="E3098" i="4" s="1"/>
  <c r="E3097" i="4"/>
  <c r="D3097" i="4"/>
  <c r="C3097" i="4"/>
  <c r="E3096" i="4"/>
  <c r="D3096" i="4"/>
  <c r="C3096" i="4"/>
  <c r="C3095" i="4"/>
  <c r="D3095" i="4" s="1"/>
  <c r="E3095" i="4" s="1"/>
  <c r="E3094" i="4"/>
  <c r="C3094" i="4"/>
  <c r="D3094" i="4" s="1"/>
  <c r="D3093" i="4"/>
  <c r="E3093" i="4" s="1"/>
  <c r="C3093" i="4"/>
  <c r="C3092" i="4"/>
  <c r="D3092" i="4" s="1"/>
  <c r="E3092" i="4" s="1"/>
  <c r="D3091" i="4"/>
  <c r="E3091" i="4" s="1"/>
  <c r="C3091" i="4"/>
  <c r="C3090" i="4"/>
  <c r="D3090" i="4" s="1"/>
  <c r="E3090" i="4" s="1"/>
  <c r="E3089" i="4"/>
  <c r="D3089" i="4"/>
  <c r="C3089" i="4"/>
  <c r="E3088" i="4"/>
  <c r="D3088" i="4"/>
  <c r="C3088" i="4"/>
  <c r="C3087" i="4"/>
  <c r="D3087" i="4" s="1"/>
  <c r="E3087" i="4" s="1"/>
  <c r="C3086" i="4"/>
  <c r="D3086" i="4" s="1"/>
  <c r="E3086" i="4" s="1"/>
  <c r="D3085" i="4"/>
  <c r="E3085" i="4" s="1"/>
  <c r="C3085" i="4"/>
  <c r="C3084" i="4"/>
  <c r="D3084" i="4" s="1"/>
  <c r="E3084" i="4" s="1"/>
  <c r="C3083" i="4"/>
  <c r="D3083" i="4" s="1"/>
  <c r="E3083" i="4" s="1"/>
  <c r="C3082" i="4"/>
  <c r="D3082" i="4" s="1"/>
  <c r="E3082" i="4" s="1"/>
  <c r="D3081" i="4"/>
  <c r="E3081" i="4" s="1"/>
  <c r="C3081" i="4"/>
  <c r="C3080" i="4"/>
  <c r="D3080" i="4" s="1"/>
  <c r="E3080" i="4" s="1"/>
  <c r="C3079" i="4"/>
  <c r="D3079" i="4" s="1"/>
  <c r="E3079" i="4" s="1"/>
  <c r="C3078" i="4"/>
  <c r="D3078" i="4" s="1"/>
  <c r="E3078" i="4" s="1"/>
  <c r="D3077" i="4"/>
  <c r="E3077" i="4" s="1"/>
  <c r="C3077" i="4"/>
  <c r="C3076" i="4"/>
  <c r="D3076" i="4" s="1"/>
  <c r="E3076" i="4" s="1"/>
  <c r="C3075" i="4"/>
  <c r="D3075" i="4" s="1"/>
  <c r="E3075" i="4" s="1"/>
  <c r="C3074" i="4"/>
  <c r="D3074" i="4" s="1"/>
  <c r="E3074" i="4" s="1"/>
  <c r="D3073" i="4"/>
  <c r="E3073" i="4" s="1"/>
  <c r="C3073" i="4"/>
  <c r="C3072" i="4"/>
  <c r="D3072" i="4" s="1"/>
  <c r="E3072" i="4" s="1"/>
  <c r="C3071" i="4"/>
  <c r="D3071" i="4" s="1"/>
  <c r="E3071" i="4" s="1"/>
  <c r="C3070" i="4"/>
  <c r="D3070" i="4" s="1"/>
  <c r="E3070" i="4" s="1"/>
  <c r="D3069" i="4"/>
  <c r="E3069" i="4" s="1"/>
  <c r="C3069" i="4"/>
  <c r="C3068" i="4"/>
  <c r="D3068" i="4" s="1"/>
  <c r="E3068" i="4" s="1"/>
  <c r="C3067" i="4"/>
  <c r="D3067" i="4" s="1"/>
  <c r="E3067" i="4" s="1"/>
  <c r="C3066" i="4"/>
  <c r="D3066" i="4" s="1"/>
  <c r="E3066" i="4" s="1"/>
  <c r="D3065" i="4"/>
  <c r="E3065" i="4" s="1"/>
  <c r="C3065" i="4"/>
  <c r="C3064" i="4"/>
  <c r="D3064" i="4" s="1"/>
  <c r="E3064" i="4" s="1"/>
  <c r="D3063" i="4"/>
  <c r="E3063" i="4" s="1"/>
  <c r="C3063" i="4"/>
  <c r="C3062" i="4"/>
  <c r="D3062" i="4" s="1"/>
  <c r="E3062" i="4" s="1"/>
  <c r="D3061" i="4"/>
  <c r="E3061" i="4" s="1"/>
  <c r="C3061" i="4"/>
  <c r="C3060" i="4"/>
  <c r="D3060" i="4" s="1"/>
  <c r="E3060" i="4" s="1"/>
  <c r="D3059" i="4"/>
  <c r="E3059" i="4" s="1"/>
  <c r="C3059" i="4"/>
  <c r="C3058" i="4"/>
  <c r="D3058" i="4" s="1"/>
  <c r="E3058" i="4" s="1"/>
  <c r="D3057" i="4"/>
  <c r="E3057" i="4" s="1"/>
  <c r="C3057" i="4"/>
  <c r="C3056" i="4"/>
  <c r="D3056" i="4" s="1"/>
  <c r="E3056" i="4" s="1"/>
  <c r="D3055" i="4"/>
  <c r="E3055" i="4" s="1"/>
  <c r="C3055" i="4"/>
  <c r="C3054" i="4"/>
  <c r="D3054" i="4" s="1"/>
  <c r="E3054" i="4" s="1"/>
  <c r="D3053" i="4"/>
  <c r="E3053" i="4" s="1"/>
  <c r="C3053" i="4"/>
  <c r="C3052" i="4"/>
  <c r="D3052" i="4" s="1"/>
  <c r="E3052" i="4" s="1"/>
  <c r="D3051" i="4"/>
  <c r="E3051" i="4" s="1"/>
  <c r="C3051" i="4"/>
  <c r="C3050" i="4"/>
  <c r="D3050" i="4" s="1"/>
  <c r="E3050" i="4" s="1"/>
  <c r="D3049" i="4"/>
  <c r="E3049" i="4" s="1"/>
  <c r="C3049" i="4"/>
  <c r="C3048" i="4"/>
  <c r="D3048" i="4" s="1"/>
  <c r="E3048" i="4" s="1"/>
  <c r="D3047" i="4"/>
  <c r="E3047" i="4" s="1"/>
  <c r="C3047" i="4"/>
  <c r="C3046" i="4"/>
  <c r="D3046" i="4" s="1"/>
  <c r="E3046" i="4" s="1"/>
  <c r="D3045" i="4"/>
  <c r="E3045" i="4" s="1"/>
  <c r="C3045" i="4"/>
  <c r="C3044" i="4"/>
  <c r="D3044" i="4" s="1"/>
  <c r="E3044" i="4" s="1"/>
  <c r="D3043" i="4"/>
  <c r="E3043" i="4" s="1"/>
  <c r="C3043" i="4"/>
  <c r="C3042" i="4"/>
  <c r="D3042" i="4" s="1"/>
  <c r="E3042" i="4" s="1"/>
  <c r="D3041" i="4"/>
  <c r="E3041" i="4" s="1"/>
  <c r="C3041" i="4"/>
  <c r="C3040" i="4"/>
  <c r="D3040" i="4" s="1"/>
  <c r="E3040" i="4" s="1"/>
  <c r="D3039" i="4"/>
  <c r="E3039" i="4" s="1"/>
  <c r="C3039" i="4"/>
  <c r="C3038" i="4"/>
  <c r="D3038" i="4" s="1"/>
  <c r="E3038" i="4" s="1"/>
  <c r="D3037" i="4"/>
  <c r="E3037" i="4" s="1"/>
  <c r="C3037" i="4"/>
  <c r="C3036" i="4"/>
  <c r="D3036" i="4" s="1"/>
  <c r="E3036" i="4" s="1"/>
  <c r="D3035" i="4"/>
  <c r="E3035" i="4" s="1"/>
  <c r="C3035" i="4"/>
  <c r="C3034" i="4"/>
  <c r="D3034" i="4" s="1"/>
  <c r="E3034" i="4" s="1"/>
  <c r="D3033" i="4"/>
  <c r="E3033" i="4" s="1"/>
  <c r="C3033" i="4"/>
  <c r="C3032" i="4"/>
  <c r="D3032" i="4" s="1"/>
  <c r="E3032" i="4" s="1"/>
  <c r="D3031" i="4"/>
  <c r="E3031" i="4" s="1"/>
  <c r="C3031" i="4"/>
  <c r="C3030" i="4"/>
  <c r="D3030" i="4" s="1"/>
  <c r="E3030" i="4" s="1"/>
  <c r="D3029" i="4"/>
  <c r="E3029" i="4" s="1"/>
  <c r="C3029" i="4"/>
  <c r="C3028" i="4"/>
  <c r="D3028" i="4" s="1"/>
  <c r="E3028" i="4" s="1"/>
  <c r="D3027" i="4"/>
  <c r="E3027" i="4" s="1"/>
  <c r="C3027" i="4"/>
  <c r="C3026" i="4"/>
  <c r="D3026" i="4" s="1"/>
  <c r="E3026" i="4" s="1"/>
  <c r="D3025" i="4"/>
  <c r="E3025" i="4" s="1"/>
  <c r="C3025" i="4"/>
  <c r="C3024" i="4"/>
  <c r="D3024" i="4" s="1"/>
  <c r="E3024" i="4" s="1"/>
  <c r="D3023" i="4"/>
  <c r="E3023" i="4" s="1"/>
  <c r="C3023" i="4"/>
  <c r="C3022" i="4"/>
  <c r="D3022" i="4" s="1"/>
  <c r="E3022" i="4" s="1"/>
  <c r="D3021" i="4"/>
  <c r="E3021" i="4" s="1"/>
  <c r="C3021" i="4"/>
  <c r="C3020" i="4"/>
  <c r="D3020" i="4" s="1"/>
  <c r="E3020" i="4" s="1"/>
  <c r="D3019" i="4"/>
  <c r="E3019" i="4" s="1"/>
  <c r="C3019" i="4"/>
  <c r="C3018" i="4"/>
  <c r="D3018" i="4" s="1"/>
  <c r="E3018" i="4" s="1"/>
  <c r="D3017" i="4"/>
  <c r="E3017" i="4" s="1"/>
  <c r="C3017" i="4"/>
  <c r="C3016" i="4"/>
  <c r="D3016" i="4" s="1"/>
  <c r="E3016" i="4" s="1"/>
  <c r="D3015" i="4"/>
  <c r="E3015" i="4" s="1"/>
  <c r="C3015" i="4"/>
  <c r="C3014" i="4"/>
  <c r="D3014" i="4" s="1"/>
  <c r="E3014" i="4" s="1"/>
  <c r="D3013" i="4"/>
  <c r="E3013" i="4" s="1"/>
  <c r="C3013" i="4"/>
  <c r="C3012" i="4"/>
  <c r="D3012" i="4" s="1"/>
  <c r="E3012" i="4" s="1"/>
  <c r="D3011" i="4"/>
  <c r="E3011" i="4" s="1"/>
  <c r="C3011" i="4"/>
  <c r="C3010" i="4"/>
  <c r="D3010" i="4" s="1"/>
  <c r="E3010" i="4" s="1"/>
  <c r="D3009" i="4"/>
  <c r="E3009" i="4" s="1"/>
  <c r="C3009" i="4"/>
  <c r="C3008" i="4"/>
  <c r="D3008" i="4" s="1"/>
  <c r="E3008" i="4" s="1"/>
  <c r="D3007" i="4"/>
  <c r="E3007" i="4" s="1"/>
  <c r="C3007" i="4"/>
  <c r="C3006" i="4"/>
  <c r="D3006" i="4" s="1"/>
  <c r="E3006" i="4" s="1"/>
  <c r="D3005" i="4"/>
  <c r="E3005" i="4" s="1"/>
  <c r="C3005" i="4"/>
  <c r="C3004" i="4"/>
  <c r="D3004" i="4" s="1"/>
  <c r="E3004" i="4" s="1"/>
  <c r="D3003" i="4"/>
  <c r="E3003" i="4" s="1"/>
  <c r="C3003" i="4"/>
  <c r="C3002" i="4"/>
  <c r="D3002" i="4" s="1"/>
  <c r="E3002" i="4" s="1"/>
  <c r="D3001" i="4"/>
  <c r="E3001" i="4" s="1"/>
  <c r="C3001" i="4"/>
  <c r="C3000" i="4"/>
  <c r="D3000" i="4" s="1"/>
  <c r="E3000" i="4" s="1"/>
  <c r="D2999" i="4"/>
  <c r="E2999" i="4" s="1"/>
  <c r="C2999" i="4"/>
  <c r="C2998" i="4"/>
  <c r="D2998" i="4" s="1"/>
  <c r="E2998" i="4" s="1"/>
  <c r="D2997" i="4"/>
  <c r="E2997" i="4" s="1"/>
  <c r="C2997" i="4"/>
  <c r="C2996" i="4"/>
  <c r="D2996" i="4" s="1"/>
  <c r="E2996" i="4" s="1"/>
  <c r="D2995" i="4"/>
  <c r="E2995" i="4" s="1"/>
  <c r="C2995" i="4"/>
  <c r="C2994" i="4"/>
  <c r="D2994" i="4" s="1"/>
  <c r="E2994" i="4" s="1"/>
  <c r="D2993" i="4"/>
  <c r="E2993" i="4" s="1"/>
  <c r="C2993" i="4"/>
  <c r="C2992" i="4"/>
  <c r="D2992" i="4" s="1"/>
  <c r="E2992" i="4" s="1"/>
  <c r="D2991" i="4"/>
  <c r="E2991" i="4" s="1"/>
  <c r="C2991" i="4"/>
  <c r="C2990" i="4"/>
  <c r="D2990" i="4" s="1"/>
  <c r="E2990" i="4" s="1"/>
  <c r="D2989" i="4"/>
  <c r="E2989" i="4" s="1"/>
  <c r="C2989" i="4"/>
  <c r="C2988" i="4"/>
  <c r="D2988" i="4" s="1"/>
  <c r="E2988" i="4" s="1"/>
  <c r="D2987" i="4"/>
  <c r="E2987" i="4" s="1"/>
  <c r="C2987" i="4"/>
  <c r="C2986" i="4"/>
  <c r="D2986" i="4" s="1"/>
  <c r="E2986" i="4" s="1"/>
  <c r="D2985" i="4"/>
  <c r="E2985" i="4" s="1"/>
  <c r="C2985" i="4"/>
  <c r="C2984" i="4"/>
  <c r="D2984" i="4" s="1"/>
  <c r="E2984" i="4" s="1"/>
  <c r="D2983" i="4"/>
  <c r="E2983" i="4" s="1"/>
  <c r="C2983" i="4"/>
  <c r="C2982" i="4"/>
  <c r="D2982" i="4" s="1"/>
  <c r="E2982" i="4" s="1"/>
  <c r="D2981" i="4"/>
  <c r="E2981" i="4" s="1"/>
  <c r="C2981" i="4"/>
  <c r="C2980" i="4"/>
  <c r="D2980" i="4" s="1"/>
  <c r="E2980" i="4" s="1"/>
  <c r="D2979" i="4"/>
  <c r="E2979" i="4" s="1"/>
  <c r="C2979" i="4"/>
  <c r="C2978" i="4"/>
  <c r="D2978" i="4" s="1"/>
  <c r="E2978" i="4" s="1"/>
  <c r="D2977" i="4"/>
  <c r="E2977" i="4" s="1"/>
  <c r="C2977" i="4"/>
  <c r="C2976" i="4"/>
  <c r="D2976" i="4" s="1"/>
  <c r="E2976" i="4" s="1"/>
  <c r="D2975" i="4"/>
  <c r="E2975" i="4" s="1"/>
  <c r="C2975" i="4"/>
  <c r="C2974" i="4"/>
  <c r="D2974" i="4" s="1"/>
  <c r="E2974" i="4" s="1"/>
  <c r="D2973" i="4"/>
  <c r="E2973" i="4" s="1"/>
  <c r="C2973" i="4"/>
  <c r="C2972" i="4"/>
  <c r="D2972" i="4" s="1"/>
  <c r="E2972" i="4" s="1"/>
  <c r="D2971" i="4"/>
  <c r="E2971" i="4" s="1"/>
  <c r="C2971" i="4"/>
  <c r="C2970" i="4"/>
  <c r="D2970" i="4" s="1"/>
  <c r="E2970" i="4" s="1"/>
  <c r="D2969" i="4"/>
  <c r="E2969" i="4" s="1"/>
  <c r="C2969" i="4"/>
  <c r="C2968" i="4"/>
  <c r="D2968" i="4" s="1"/>
  <c r="E2968" i="4" s="1"/>
  <c r="D2967" i="4"/>
  <c r="E2967" i="4" s="1"/>
  <c r="C2967" i="4"/>
  <c r="C2966" i="4"/>
  <c r="D2966" i="4" s="1"/>
  <c r="E2966" i="4" s="1"/>
  <c r="D2965" i="4"/>
  <c r="E2965" i="4" s="1"/>
  <c r="C2965" i="4"/>
  <c r="C2964" i="4"/>
  <c r="D2964" i="4" s="1"/>
  <c r="E2964" i="4" s="1"/>
  <c r="D2963" i="4"/>
  <c r="E2963" i="4" s="1"/>
  <c r="C2963" i="4"/>
  <c r="C2962" i="4"/>
  <c r="D2962" i="4" s="1"/>
  <c r="E2962" i="4" s="1"/>
  <c r="D2961" i="4"/>
  <c r="E2961" i="4" s="1"/>
  <c r="C2961" i="4"/>
  <c r="C2960" i="4"/>
  <c r="D2960" i="4" s="1"/>
  <c r="E2960" i="4" s="1"/>
  <c r="D2959" i="4"/>
  <c r="E2959" i="4" s="1"/>
  <c r="C2959" i="4"/>
  <c r="C2958" i="4"/>
  <c r="D2958" i="4" s="1"/>
  <c r="E2958" i="4" s="1"/>
  <c r="D2957" i="4"/>
  <c r="E2957" i="4" s="1"/>
  <c r="C2957" i="4"/>
  <c r="C2956" i="4"/>
  <c r="D2956" i="4" s="1"/>
  <c r="E2956" i="4" s="1"/>
  <c r="D2955" i="4"/>
  <c r="E2955" i="4" s="1"/>
  <c r="C2955" i="4"/>
  <c r="C2954" i="4"/>
  <c r="D2954" i="4" s="1"/>
  <c r="E2954" i="4" s="1"/>
  <c r="D2953" i="4"/>
  <c r="E2953" i="4" s="1"/>
  <c r="C2953" i="4"/>
  <c r="C2952" i="4"/>
  <c r="D2952" i="4" s="1"/>
  <c r="E2952" i="4" s="1"/>
  <c r="D2951" i="4"/>
  <c r="E2951" i="4" s="1"/>
  <c r="C2951" i="4"/>
  <c r="C2950" i="4"/>
  <c r="D2950" i="4" s="1"/>
  <c r="E2950" i="4" s="1"/>
  <c r="D2949" i="4"/>
  <c r="E2949" i="4" s="1"/>
  <c r="C2949" i="4"/>
  <c r="C2948" i="4"/>
  <c r="D2948" i="4" s="1"/>
  <c r="E2948" i="4" s="1"/>
  <c r="D2947" i="4"/>
  <c r="E2947" i="4" s="1"/>
  <c r="C2947" i="4"/>
  <c r="C2946" i="4"/>
  <c r="D2946" i="4" s="1"/>
  <c r="E2946" i="4" s="1"/>
  <c r="D2945" i="4"/>
  <c r="E2945" i="4" s="1"/>
  <c r="C2945" i="4"/>
  <c r="C2944" i="4"/>
  <c r="D2944" i="4" s="1"/>
  <c r="E2944" i="4" s="1"/>
  <c r="D2943" i="4"/>
  <c r="E2943" i="4" s="1"/>
  <c r="C2943" i="4"/>
  <c r="C2942" i="4"/>
  <c r="D2942" i="4" s="1"/>
  <c r="E2942" i="4" s="1"/>
  <c r="D2941" i="4"/>
  <c r="E2941" i="4" s="1"/>
  <c r="C2941" i="4"/>
  <c r="C2940" i="4"/>
  <c r="D2940" i="4" s="1"/>
  <c r="E2940" i="4" s="1"/>
  <c r="D2939" i="4"/>
  <c r="E2939" i="4" s="1"/>
  <c r="C2939" i="4"/>
  <c r="C2938" i="4"/>
  <c r="D2938" i="4" s="1"/>
  <c r="E2938" i="4" s="1"/>
  <c r="D2937" i="4"/>
  <c r="E2937" i="4" s="1"/>
  <c r="C2937" i="4"/>
  <c r="C2936" i="4"/>
  <c r="D2936" i="4" s="1"/>
  <c r="E2936" i="4" s="1"/>
  <c r="D2935" i="4"/>
  <c r="E2935" i="4" s="1"/>
  <c r="C2935" i="4"/>
  <c r="C2934" i="4"/>
  <c r="D2934" i="4" s="1"/>
  <c r="E2934" i="4" s="1"/>
  <c r="D2933" i="4"/>
  <c r="E2933" i="4" s="1"/>
  <c r="C2933" i="4"/>
  <c r="C2932" i="4"/>
  <c r="D2932" i="4" s="1"/>
  <c r="E2932" i="4" s="1"/>
  <c r="D2931" i="4"/>
  <c r="E2931" i="4" s="1"/>
  <c r="C2931" i="4"/>
  <c r="C2930" i="4"/>
  <c r="D2930" i="4" s="1"/>
  <c r="E2930" i="4" s="1"/>
  <c r="D2929" i="4"/>
  <c r="E2929" i="4" s="1"/>
  <c r="C2929" i="4"/>
  <c r="C2928" i="4"/>
  <c r="D2928" i="4" s="1"/>
  <c r="E2928" i="4" s="1"/>
  <c r="D2927" i="4"/>
  <c r="E2927" i="4" s="1"/>
  <c r="C2927" i="4"/>
  <c r="C2926" i="4"/>
  <c r="D2926" i="4" s="1"/>
  <c r="E2926" i="4" s="1"/>
  <c r="D2925" i="4"/>
  <c r="E2925" i="4" s="1"/>
  <c r="C2925" i="4"/>
  <c r="C2924" i="4"/>
  <c r="D2924" i="4" s="1"/>
  <c r="E2924" i="4" s="1"/>
  <c r="D2923" i="4"/>
  <c r="E2923" i="4" s="1"/>
  <c r="C2923" i="4"/>
  <c r="C2922" i="4"/>
  <c r="D2922" i="4" s="1"/>
  <c r="E2922" i="4" s="1"/>
  <c r="D2921" i="4"/>
  <c r="E2921" i="4" s="1"/>
  <c r="C2921" i="4"/>
  <c r="C2920" i="4"/>
  <c r="D2920" i="4" s="1"/>
  <c r="E2920" i="4" s="1"/>
  <c r="D2919" i="4"/>
  <c r="E2919" i="4" s="1"/>
  <c r="C2919" i="4"/>
  <c r="C2918" i="4"/>
  <c r="D2918" i="4" s="1"/>
  <c r="E2918" i="4" s="1"/>
  <c r="D2917" i="4"/>
  <c r="E2917" i="4" s="1"/>
  <c r="C2917" i="4"/>
  <c r="C2916" i="4"/>
  <c r="D2916" i="4" s="1"/>
  <c r="E2916" i="4" s="1"/>
  <c r="D2915" i="4"/>
  <c r="E2915" i="4" s="1"/>
  <c r="C2915" i="4"/>
  <c r="C2914" i="4"/>
  <c r="D2914" i="4" s="1"/>
  <c r="E2914" i="4" s="1"/>
  <c r="D2913" i="4"/>
  <c r="E2913" i="4" s="1"/>
  <c r="C2913" i="4"/>
  <c r="E2912" i="4"/>
  <c r="C2912" i="4"/>
  <c r="D2912" i="4" s="1"/>
  <c r="D2911" i="4"/>
  <c r="E2911" i="4" s="1"/>
  <c r="C2911" i="4"/>
  <c r="C2910" i="4"/>
  <c r="D2910" i="4" s="1"/>
  <c r="E2910" i="4" s="1"/>
  <c r="D2909" i="4"/>
  <c r="E2909" i="4" s="1"/>
  <c r="C2909" i="4"/>
  <c r="C2908" i="4"/>
  <c r="D2908" i="4" s="1"/>
  <c r="E2908" i="4" s="1"/>
  <c r="D2907" i="4"/>
  <c r="E2907" i="4" s="1"/>
  <c r="C2907" i="4"/>
  <c r="C2906" i="4"/>
  <c r="D2906" i="4" s="1"/>
  <c r="E2906" i="4" s="1"/>
  <c r="D2905" i="4"/>
  <c r="E2905" i="4" s="1"/>
  <c r="C2905" i="4"/>
  <c r="C2904" i="4"/>
  <c r="D2904" i="4" s="1"/>
  <c r="E2904" i="4" s="1"/>
  <c r="D2903" i="4"/>
  <c r="E2903" i="4" s="1"/>
  <c r="C2903" i="4"/>
  <c r="C2902" i="4"/>
  <c r="D2902" i="4" s="1"/>
  <c r="E2902" i="4" s="1"/>
  <c r="D2901" i="4"/>
  <c r="E2901" i="4" s="1"/>
  <c r="C2901" i="4"/>
  <c r="C2900" i="4"/>
  <c r="D2900" i="4" s="1"/>
  <c r="E2900" i="4" s="1"/>
  <c r="D2899" i="4"/>
  <c r="E2899" i="4" s="1"/>
  <c r="C2899" i="4"/>
  <c r="C2898" i="4"/>
  <c r="D2898" i="4" s="1"/>
  <c r="E2898" i="4" s="1"/>
  <c r="D2897" i="4"/>
  <c r="E2897" i="4" s="1"/>
  <c r="C2897" i="4"/>
  <c r="E2896" i="4"/>
  <c r="C2896" i="4"/>
  <c r="D2896" i="4" s="1"/>
  <c r="D2895" i="4"/>
  <c r="E2895" i="4" s="1"/>
  <c r="C2895" i="4"/>
  <c r="C2894" i="4"/>
  <c r="D2894" i="4" s="1"/>
  <c r="E2894" i="4" s="1"/>
  <c r="D2893" i="4"/>
  <c r="E2893" i="4" s="1"/>
  <c r="C2893" i="4"/>
  <c r="C2892" i="4"/>
  <c r="D2892" i="4" s="1"/>
  <c r="E2892" i="4" s="1"/>
  <c r="D2891" i="4"/>
  <c r="E2891" i="4" s="1"/>
  <c r="C2891" i="4"/>
  <c r="C2890" i="4"/>
  <c r="D2890" i="4" s="1"/>
  <c r="E2890" i="4" s="1"/>
  <c r="D2889" i="4"/>
  <c r="E2889" i="4" s="1"/>
  <c r="C2889" i="4"/>
  <c r="C2888" i="4"/>
  <c r="D2888" i="4" s="1"/>
  <c r="E2888" i="4" s="1"/>
  <c r="D2887" i="4"/>
  <c r="E2887" i="4" s="1"/>
  <c r="C2887" i="4"/>
  <c r="C2886" i="4"/>
  <c r="D2886" i="4" s="1"/>
  <c r="E2886" i="4" s="1"/>
  <c r="D2885" i="4"/>
  <c r="E2885" i="4" s="1"/>
  <c r="C2885" i="4"/>
  <c r="C2884" i="4"/>
  <c r="D2884" i="4" s="1"/>
  <c r="E2884" i="4" s="1"/>
  <c r="D2883" i="4"/>
  <c r="E2883" i="4" s="1"/>
  <c r="C2883" i="4"/>
  <c r="C2882" i="4"/>
  <c r="D2882" i="4" s="1"/>
  <c r="E2882" i="4" s="1"/>
  <c r="D2881" i="4"/>
  <c r="E2881" i="4" s="1"/>
  <c r="C2881" i="4"/>
  <c r="E2880" i="4"/>
  <c r="C2880" i="4"/>
  <c r="D2880" i="4" s="1"/>
  <c r="D2879" i="4"/>
  <c r="E2879" i="4" s="1"/>
  <c r="C2879" i="4"/>
  <c r="C2878" i="4"/>
  <c r="D2878" i="4" s="1"/>
  <c r="E2878" i="4" s="1"/>
  <c r="D2877" i="4"/>
  <c r="E2877" i="4" s="1"/>
  <c r="C2877" i="4"/>
  <c r="C2876" i="4"/>
  <c r="D2876" i="4" s="1"/>
  <c r="E2876" i="4" s="1"/>
  <c r="D2875" i="4"/>
  <c r="E2875" i="4" s="1"/>
  <c r="C2875" i="4"/>
  <c r="C2874" i="4"/>
  <c r="D2874" i="4" s="1"/>
  <c r="E2874" i="4" s="1"/>
  <c r="D2873" i="4"/>
  <c r="E2873" i="4" s="1"/>
  <c r="C2873" i="4"/>
  <c r="C2872" i="4"/>
  <c r="D2872" i="4" s="1"/>
  <c r="E2872" i="4" s="1"/>
  <c r="D2871" i="4"/>
  <c r="E2871" i="4" s="1"/>
  <c r="C2871" i="4"/>
  <c r="C2870" i="4"/>
  <c r="D2870" i="4" s="1"/>
  <c r="E2870" i="4" s="1"/>
  <c r="D2869" i="4"/>
  <c r="E2869" i="4" s="1"/>
  <c r="C2869" i="4"/>
  <c r="C2868" i="4"/>
  <c r="D2868" i="4" s="1"/>
  <c r="E2868" i="4" s="1"/>
  <c r="D2867" i="4"/>
  <c r="E2867" i="4" s="1"/>
  <c r="C2867" i="4"/>
  <c r="C2866" i="4"/>
  <c r="D2866" i="4" s="1"/>
  <c r="E2866" i="4" s="1"/>
  <c r="D2865" i="4"/>
  <c r="E2865" i="4" s="1"/>
  <c r="C2865" i="4"/>
  <c r="E2864" i="4"/>
  <c r="C2864" i="4"/>
  <c r="D2864" i="4" s="1"/>
  <c r="D2863" i="4"/>
  <c r="E2863" i="4" s="1"/>
  <c r="C2863" i="4"/>
  <c r="C2862" i="4"/>
  <c r="D2862" i="4" s="1"/>
  <c r="E2862" i="4" s="1"/>
  <c r="D2861" i="4"/>
  <c r="E2861" i="4" s="1"/>
  <c r="C2861" i="4"/>
  <c r="C2860" i="4"/>
  <c r="D2860" i="4" s="1"/>
  <c r="E2860" i="4" s="1"/>
  <c r="D2859" i="4"/>
  <c r="E2859" i="4" s="1"/>
  <c r="C2859" i="4"/>
  <c r="C2858" i="4"/>
  <c r="D2858" i="4" s="1"/>
  <c r="E2858" i="4" s="1"/>
  <c r="D2857" i="4"/>
  <c r="E2857" i="4" s="1"/>
  <c r="C2857" i="4"/>
  <c r="C2856" i="4"/>
  <c r="D2856" i="4" s="1"/>
  <c r="E2856" i="4" s="1"/>
  <c r="D2855" i="4"/>
  <c r="E2855" i="4" s="1"/>
  <c r="C2855" i="4"/>
  <c r="C2854" i="4"/>
  <c r="D2854" i="4" s="1"/>
  <c r="E2854" i="4" s="1"/>
  <c r="D2853" i="4"/>
  <c r="E2853" i="4" s="1"/>
  <c r="C2853" i="4"/>
  <c r="C2852" i="4"/>
  <c r="D2852" i="4" s="1"/>
  <c r="E2852" i="4" s="1"/>
  <c r="D2851" i="4"/>
  <c r="E2851" i="4" s="1"/>
  <c r="C2851" i="4"/>
  <c r="C2850" i="4"/>
  <c r="D2850" i="4" s="1"/>
  <c r="E2850" i="4" s="1"/>
  <c r="D2849" i="4"/>
  <c r="E2849" i="4" s="1"/>
  <c r="C2849" i="4"/>
  <c r="E2848" i="4"/>
  <c r="C2848" i="4"/>
  <c r="D2848" i="4" s="1"/>
  <c r="D2847" i="4"/>
  <c r="E2847" i="4" s="1"/>
  <c r="C2847" i="4"/>
  <c r="C2846" i="4"/>
  <c r="D2846" i="4" s="1"/>
  <c r="E2846" i="4" s="1"/>
  <c r="D2845" i="4"/>
  <c r="E2845" i="4" s="1"/>
  <c r="C2845" i="4"/>
  <c r="C2844" i="4"/>
  <c r="D2844" i="4" s="1"/>
  <c r="E2844" i="4" s="1"/>
  <c r="D2843" i="4"/>
  <c r="E2843" i="4" s="1"/>
  <c r="C2843" i="4"/>
  <c r="C2842" i="4"/>
  <c r="D2842" i="4" s="1"/>
  <c r="E2842" i="4" s="1"/>
  <c r="D2841" i="4"/>
  <c r="E2841" i="4" s="1"/>
  <c r="C2841" i="4"/>
  <c r="C2840" i="4"/>
  <c r="D2840" i="4" s="1"/>
  <c r="E2840" i="4" s="1"/>
  <c r="D2839" i="4"/>
  <c r="E2839" i="4" s="1"/>
  <c r="C2839" i="4"/>
  <c r="C2838" i="4"/>
  <c r="D2838" i="4" s="1"/>
  <c r="E2838" i="4" s="1"/>
  <c r="D2837" i="4"/>
  <c r="E2837" i="4" s="1"/>
  <c r="C2837" i="4"/>
  <c r="C2836" i="4"/>
  <c r="D2836" i="4" s="1"/>
  <c r="E2836" i="4" s="1"/>
  <c r="D2835" i="4"/>
  <c r="E2835" i="4" s="1"/>
  <c r="C2835" i="4"/>
  <c r="C2834" i="4"/>
  <c r="D2834" i="4" s="1"/>
  <c r="E2834" i="4" s="1"/>
  <c r="D2833" i="4"/>
  <c r="E2833" i="4" s="1"/>
  <c r="C2833" i="4"/>
  <c r="E2832" i="4"/>
  <c r="C2832" i="4"/>
  <c r="D2832" i="4" s="1"/>
  <c r="D2831" i="4"/>
  <c r="E2831" i="4" s="1"/>
  <c r="C2831" i="4"/>
  <c r="C2830" i="4"/>
  <c r="D2830" i="4" s="1"/>
  <c r="E2830" i="4" s="1"/>
  <c r="D2829" i="4"/>
  <c r="E2829" i="4" s="1"/>
  <c r="C2829" i="4"/>
  <c r="C2828" i="4"/>
  <c r="D2828" i="4" s="1"/>
  <c r="E2828" i="4" s="1"/>
  <c r="D2827" i="4"/>
  <c r="E2827" i="4" s="1"/>
  <c r="C2827" i="4"/>
  <c r="C2826" i="4"/>
  <c r="D2826" i="4" s="1"/>
  <c r="E2826" i="4" s="1"/>
  <c r="D2825" i="4"/>
  <c r="E2825" i="4" s="1"/>
  <c r="C2825" i="4"/>
  <c r="C2824" i="4"/>
  <c r="D2824" i="4" s="1"/>
  <c r="E2824" i="4" s="1"/>
  <c r="D2823" i="4"/>
  <c r="E2823" i="4" s="1"/>
  <c r="C2823" i="4"/>
  <c r="C2822" i="4"/>
  <c r="D2822" i="4" s="1"/>
  <c r="E2822" i="4" s="1"/>
  <c r="D2821" i="4"/>
  <c r="E2821" i="4" s="1"/>
  <c r="C2821" i="4"/>
  <c r="C2820" i="4"/>
  <c r="D2820" i="4" s="1"/>
  <c r="E2820" i="4" s="1"/>
  <c r="D2819" i="4"/>
  <c r="E2819" i="4" s="1"/>
  <c r="C2819" i="4"/>
  <c r="C2818" i="4"/>
  <c r="D2818" i="4" s="1"/>
  <c r="E2818" i="4" s="1"/>
  <c r="D2817" i="4"/>
  <c r="E2817" i="4" s="1"/>
  <c r="C2817" i="4"/>
  <c r="E2816" i="4"/>
  <c r="C2816" i="4"/>
  <c r="D2816" i="4" s="1"/>
  <c r="D2815" i="4"/>
  <c r="E2815" i="4" s="1"/>
  <c r="C2815" i="4"/>
  <c r="C2814" i="4"/>
  <c r="D2814" i="4" s="1"/>
  <c r="E2814" i="4" s="1"/>
  <c r="E2813" i="4"/>
  <c r="D2813" i="4"/>
  <c r="C2813" i="4"/>
  <c r="E2812" i="4"/>
  <c r="D2812" i="4"/>
  <c r="C2812" i="4"/>
  <c r="D2811" i="4"/>
  <c r="E2811" i="4" s="1"/>
  <c r="C2811" i="4"/>
  <c r="C2810" i="4"/>
  <c r="D2810" i="4" s="1"/>
  <c r="E2810" i="4" s="1"/>
  <c r="E2809" i="4"/>
  <c r="D2809" i="4"/>
  <c r="C2809" i="4"/>
  <c r="E2808" i="4"/>
  <c r="D2808" i="4"/>
  <c r="C2808" i="4"/>
  <c r="D2807" i="4"/>
  <c r="E2807" i="4" s="1"/>
  <c r="C2807" i="4"/>
  <c r="C2806" i="4"/>
  <c r="D2806" i="4" s="1"/>
  <c r="E2806" i="4" s="1"/>
  <c r="E2805" i="4"/>
  <c r="D2805" i="4"/>
  <c r="C2805" i="4"/>
  <c r="E2804" i="4"/>
  <c r="D2804" i="4"/>
  <c r="C2804" i="4"/>
  <c r="D2803" i="4"/>
  <c r="E2803" i="4" s="1"/>
  <c r="C2803" i="4"/>
  <c r="C2802" i="4"/>
  <c r="D2802" i="4" s="1"/>
  <c r="E2802" i="4" s="1"/>
  <c r="E2801" i="4"/>
  <c r="D2801" i="4"/>
  <c r="C2801" i="4"/>
  <c r="E2800" i="4"/>
  <c r="D2800" i="4"/>
  <c r="C2800" i="4"/>
  <c r="D2799" i="4"/>
  <c r="E2799" i="4" s="1"/>
  <c r="C2799" i="4"/>
  <c r="C2798" i="4"/>
  <c r="D2798" i="4" s="1"/>
  <c r="E2798" i="4" s="1"/>
  <c r="E2797" i="4"/>
  <c r="D2797" i="4"/>
  <c r="C2797" i="4"/>
  <c r="E2796" i="4"/>
  <c r="D2796" i="4"/>
  <c r="C2796" i="4"/>
  <c r="D2795" i="4"/>
  <c r="E2795" i="4" s="1"/>
  <c r="C2795" i="4"/>
  <c r="C2794" i="4"/>
  <c r="D2794" i="4" s="1"/>
  <c r="E2794" i="4" s="1"/>
  <c r="E2793" i="4"/>
  <c r="D2793" i="4"/>
  <c r="C2793" i="4"/>
  <c r="E2792" i="4"/>
  <c r="D2792" i="4"/>
  <c r="C2792" i="4"/>
  <c r="D2791" i="4"/>
  <c r="E2791" i="4" s="1"/>
  <c r="C2791" i="4"/>
  <c r="C2790" i="4"/>
  <c r="D2790" i="4" s="1"/>
  <c r="E2790" i="4" s="1"/>
  <c r="E2789" i="4"/>
  <c r="D2789" i="4"/>
  <c r="C2789" i="4"/>
  <c r="E2788" i="4"/>
  <c r="D2788" i="4"/>
  <c r="C2788" i="4"/>
  <c r="D2787" i="4"/>
  <c r="E2787" i="4" s="1"/>
  <c r="C2787" i="4"/>
  <c r="C2786" i="4"/>
  <c r="D2786" i="4" s="1"/>
  <c r="E2786" i="4" s="1"/>
  <c r="E2785" i="4"/>
  <c r="D2785" i="4"/>
  <c r="C2785" i="4"/>
  <c r="E2784" i="4"/>
  <c r="D2784" i="4"/>
  <c r="C2784" i="4"/>
  <c r="D2783" i="4"/>
  <c r="E2783" i="4" s="1"/>
  <c r="C2783" i="4"/>
  <c r="C2782" i="4"/>
  <c r="D2782" i="4" s="1"/>
  <c r="E2782" i="4" s="1"/>
  <c r="E2781" i="4"/>
  <c r="D2781" i="4"/>
  <c r="C2781" i="4"/>
  <c r="E2780" i="4"/>
  <c r="D2780" i="4"/>
  <c r="C2780" i="4"/>
  <c r="D2779" i="4"/>
  <c r="E2779" i="4" s="1"/>
  <c r="C2779" i="4"/>
  <c r="C2778" i="4"/>
  <c r="D2778" i="4" s="1"/>
  <c r="E2778" i="4" s="1"/>
  <c r="E2777" i="4"/>
  <c r="D2777" i="4"/>
  <c r="C2777" i="4"/>
  <c r="E2776" i="4"/>
  <c r="D2776" i="4"/>
  <c r="C2776" i="4"/>
  <c r="D2775" i="4"/>
  <c r="E2775" i="4" s="1"/>
  <c r="C2775" i="4"/>
  <c r="C2774" i="4"/>
  <c r="D2774" i="4" s="1"/>
  <c r="E2774" i="4" s="1"/>
  <c r="E2773" i="4"/>
  <c r="D2773" i="4"/>
  <c r="C2773" i="4"/>
  <c r="E2772" i="4"/>
  <c r="D2772" i="4"/>
  <c r="C2772" i="4"/>
  <c r="D2771" i="4"/>
  <c r="E2771" i="4" s="1"/>
  <c r="C2771" i="4"/>
  <c r="C2770" i="4"/>
  <c r="D2770" i="4" s="1"/>
  <c r="E2770" i="4" s="1"/>
  <c r="E2769" i="4"/>
  <c r="D2769" i="4"/>
  <c r="C2769" i="4"/>
  <c r="E2768" i="4"/>
  <c r="D2768" i="4"/>
  <c r="C2768" i="4"/>
  <c r="D2767" i="4"/>
  <c r="E2767" i="4" s="1"/>
  <c r="C2767" i="4"/>
  <c r="C2766" i="4"/>
  <c r="D2766" i="4" s="1"/>
  <c r="E2766" i="4" s="1"/>
  <c r="E2765" i="4"/>
  <c r="D2765" i="4"/>
  <c r="C2765" i="4"/>
  <c r="E2764" i="4"/>
  <c r="D2764" i="4"/>
  <c r="C2764" i="4"/>
  <c r="D2763" i="4"/>
  <c r="E2763" i="4" s="1"/>
  <c r="C2763" i="4"/>
  <c r="C2762" i="4"/>
  <c r="D2762" i="4" s="1"/>
  <c r="E2762" i="4" s="1"/>
  <c r="E2761" i="4"/>
  <c r="D2761" i="4"/>
  <c r="C2761" i="4"/>
  <c r="E2760" i="4"/>
  <c r="D2760" i="4"/>
  <c r="C2760" i="4"/>
  <c r="D2759" i="4"/>
  <c r="E2759" i="4" s="1"/>
  <c r="C2759" i="4"/>
  <c r="C2758" i="4"/>
  <c r="D2758" i="4" s="1"/>
  <c r="E2758" i="4" s="1"/>
  <c r="E2757" i="4"/>
  <c r="D2757" i="4"/>
  <c r="C2757" i="4"/>
  <c r="E2756" i="4"/>
  <c r="D2756" i="4"/>
  <c r="C2756" i="4"/>
  <c r="D2755" i="4"/>
  <c r="E2755" i="4" s="1"/>
  <c r="C2755" i="4"/>
  <c r="C2754" i="4"/>
  <c r="D2754" i="4" s="1"/>
  <c r="E2754" i="4" s="1"/>
  <c r="E2753" i="4"/>
  <c r="D2753" i="4"/>
  <c r="C2753" i="4"/>
  <c r="E2752" i="4"/>
  <c r="D2752" i="4"/>
  <c r="C2752" i="4"/>
  <c r="D2751" i="4"/>
  <c r="E2751" i="4" s="1"/>
  <c r="C2751" i="4"/>
  <c r="C2750" i="4"/>
  <c r="D2750" i="4" s="1"/>
  <c r="E2750" i="4" s="1"/>
  <c r="E2749" i="4"/>
  <c r="D2749" i="4"/>
  <c r="C2749" i="4"/>
  <c r="E2748" i="4"/>
  <c r="D2748" i="4"/>
  <c r="C2748" i="4"/>
  <c r="D2747" i="4"/>
  <c r="E2747" i="4" s="1"/>
  <c r="C2747" i="4"/>
  <c r="C2746" i="4"/>
  <c r="D2746" i="4" s="1"/>
  <c r="E2746" i="4" s="1"/>
  <c r="E2745" i="4"/>
  <c r="D2745" i="4"/>
  <c r="C2745" i="4"/>
  <c r="E2744" i="4"/>
  <c r="D2744" i="4"/>
  <c r="C2744" i="4"/>
  <c r="D2743" i="4"/>
  <c r="E2743" i="4" s="1"/>
  <c r="C2743" i="4"/>
  <c r="C2742" i="4"/>
  <c r="D2742" i="4" s="1"/>
  <c r="E2742" i="4" s="1"/>
  <c r="E2741" i="4"/>
  <c r="D2741" i="4"/>
  <c r="C2741" i="4"/>
  <c r="E2740" i="4"/>
  <c r="D2740" i="4"/>
  <c r="C2740" i="4"/>
  <c r="D2739" i="4"/>
  <c r="E2739" i="4" s="1"/>
  <c r="C2739" i="4"/>
  <c r="C2738" i="4"/>
  <c r="D2738" i="4" s="1"/>
  <c r="E2738" i="4" s="1"/>
  <c r="E2737" i="4"/>
  <c r="D2737" i="4"/>
  <c r="C2737" i="4"/>
  <c r="E2736" i="4"/>
  <c r="D2736" i="4"/>
  <c r="C2736" i="4"/>
  <c r="D2735" i="4"/>
  <c r="E2735" i="4" s="1"/>
  <c r="C2735" i="4"/>
  <c r="C2734" i="4"/>
  <c r="D2734" i="4" s="1"/>
  <c r="E2734" i="4" s="1"/>
  <c r="E2733" i="4"/>
  <c r="D2733" i="4"/>
  <c r="C2733" i="4"/>
  <c r="E2732" i="4"/>
  <c r="D2732" i="4"/>
  <c r="C2732" i="4"/>
  <c r="D2731" i="4"/>
  <c r="E2731" i="4" s="1"/>
  <c r="C2731" i="4"/>
  <c r="C2730" i="4"/>
  <c r="D2730" i="4" s="1"/>
  <c r="E2730" i="4" s="1"/>
  <c r="E2729" i="4"/>
  <c r="D2729" i="4"/>
  <c r="C2729" i="4"/>
  <c r="E2728" i="4"/>
  <c r="D2728" i="4"/>
  <c r="C2728" i="4"/>
  <c r="D2727" i="4"/>
  <c r="E2727" i="4" s="1"/>
  <c r="C2727" i="4"/>
  <c r="C2726" i="4"/>
  <c r="D2726" i="4" s="1"/>
  <c r="E2726" i="4" s="1"/>
  <c r="E2725" i="4"/>
  <c r="D2725" i="4"/>
  <c r="C2725" i="4"/>
  <c r="E2724" i="4"/>
  <c r="D2724" i="4"/>
  <c r="C2724" i="4"/>
  <c r="D2723" i="4"/>
  <c r="E2723" i="4" s="1"/>
  <c r="C2723" i="4"/>
  <c r="C2722" i="4"/>
  <c r="D2722" i="4" s="1"/>
  <c r="E2722" i="4" s="1"/>
  <c r="E2721" i="4"/>
  <c r="D2721" i="4"/>
  <c r="C2721" i="4"/>
  <c r="E2720" i="4"/>
  <c r="D2720" i="4"/>
  <c r="C2720" i="4"/>
  <c r="D2719" i="4"/>
  <c r="E2719" i="4" s="1"/>
  <c r="C2719" i="4"/>
  <c r="C2718" i="4"/>
  <c r="D2718" i="4" s="1"/>
  <c r="E2718" i="4" s="1"/>
  <c r="E2717" i="4"/>
  <c r="D2717" i="4"/>
  <c r="C2717" i="4"/>
  <c r="E2716" i="4"/>
  <c r="D2716" i="4"/>
  <c r="C2716" i="4"/>
  <c r="D2715" i="4"/>
  <c r="E2715" i="4" s="1"/>
  <c r="C2715" i="4"/>
  <c r="C2714" i="4"/>
  <c r="D2714" i="4" s="1"/>
  <c r="E2714" i="4" s="1"/>
  <c r="E2713" i="4"/>
  <c r="D2713" i="4"/>
  <c r="C2713" i="4"/>
  <c r="E2712" i="4"/>
  <c r="D2712" i="4"/>
  <c r="C2712" i="4"/>
  <c r="D2711" i="4"/>
  <c r="E2711" i="4" s="1"/>
  <c r="C2711" i="4"/>
  <c r="C2710" i="4"/>
  <c r="D2710" i="4" s="1"/>
  <c r="E2710" i="4" s="1"/>
  <c r="E2709" i="4"/>
  <c r="D2709" i="4"/>
  <c r="C2709" i="4"/>
  <c r="E2708" i="4"/>
  <c r="D2708" i="4"/>
  <c r="C2708" i="4"/>
  <c r="D2707" i="4"/>
  <c r="E2707" i="4" s="1"/>
  <c r="C2707" i="4"/>
  <c r="C2706" i="4"/>
  <c r="D2706" i="4" s="1"/>
  <c r="E2706" i="4" s="1"/>
  <c r="E2705" i="4"/>
  <c r="D2705" i="4"/>
  <c r="C2705" i="4"/>
  <c r="E2704" i="4"/>
  <c r="D2704" i="4"/>
  <c r="C2704" i="4"/>
  <c r="D2703" i="4"/>
  <c r="E2703" i="4" s="1"/>
  <c r="C2703" i="4"/>
  <c r="C2702" i="4"/>
  <c r="D2702" i="4" s="1"/>
  <c r="E2702" i="4" s="1"/>
  <c r="E2701" i="4"/>
  <c r="D2701" i="4"/>
  <c r="C2701" i="4"/>
  <c r="E2700" i="4"/>
  <c r="D2700" i="4"/>
  <c r="C2700" i="4"/>
  <c r="D2699" i="4"/>
  <c r="E2699" i="4" s="1"/>
  <c r="C2699" i="4"/>
  <c r="C2698" i="4"/>
  <c r="D2698" i="4" s="1"/>
  <c r="E2698" i="4" s="1"/>
  <c r="E2697" i="4"/>
  <c r="D2697" i="4"/>
  <c r="C2697" i="4"/>
  <c r="E2696" i="4"/>
  <c r="D2696" i="4"/>
  <c r="C2696" i="4"/>
  <c r="D2695" i="4"/>
  <c r="E2695" i="4" s="1"/>
  <c r="C2695" i="4"/>
  <c r="C2694" i="4"/>
  <c r="D2694" i="4" s="1"/>
  <c r="E2694" i="4" s="1"/>
  <c r="E2693" i="4"/>
  <c r="D2693" i="4"/>
  <c r="C2693" i="4"/>
  <c r="E2692" i="4"/>
  <c r="D2692" i="4"/>
  <c r="C2692" i="4"/>
  <c r="D2691" i="4"/>
  <c r="E2691" i="4" s="1"/>
  <c r="C2691" i="4"/>
  <c r="C2690" i="4"/>
  <c r="D2690" i="4" s="1"/>
  <c r="E2690" i="4" s="1"/>
  <c r="E2689" i="4"/>
  <c r="D2689" i="4"/>
  <c r="C2689" i="4"/>
  <c r="E2688" i="4"/>
  <c r="D2688" i="4"/>
  <c r="C2688" i="4"/>
  <c r="D2687" i="4"/>
  <c r="E2687" i="4" s="1"/>
  <c r="C2687" i="4"/>
  <c r="C2686" i="4"/>
  <c r="D2686" i="4" s="1"/>
  <c r="E2686" i="4" s="1"/>
  <c r="E2685" i="4"/>
  <c r="D2685" i="4"/>
  <c r="C2685" i="4"/>
  <c r="E2684" i="4"/>
  <c r="D2684" i="4"/>
  <c r="C2684" i="4"/>
  <c r="D2683" i="4"/>
  <c r="E2683" i="4" s="1"/>
  <c r="C2683" i="4"/>
  <c r="C2682" i="4"/>
  <c r="D2682" i="4" s="1"/>
  <c r="E2682" i="4" s="1"/>
  <c r="E2681" i="4"/>
  <c r="D2681" i="4"/>
  <c r="C2681" i="4"/>
  <c r="E2680" i="4"/>
  <c r="D2680" i="4"/>
  <c r="C2680" i="4"/>
  <c r="D2679" i="4"/>
  <c r="E2679" i="4" s="1"/>
  <c r="C2679" i="4"/>
  <c r="C2678" i="4"/>
  <c r="D2678" i="4" s="1"/>
  <c r="E2678" i="4" s="1"/>
  <c r="E2677" i="4"/>
  <c r="D2677" i="4"/>
  <c r="C2677" i="4"/>
  <c r="E2676" i="4"/>
  <c r="D2676" i="4"/>
  <c r="C2676" i="4"/>
  <c r="D2675" i="4"/>
  <c r="E2675" i="4" s="1"/>
  <c r="C2675" i="4"/>
  <c r="C2674" i="4"/>
  <c r="D2674" i="4" s="1"/>
  <c r="E2674" i="4" s="1"/>
  <c r="E2673" i="4"/>
  <c r="D2673" i="4"/>
  <c r="C2673" i="4"/>
  <c r="E2672" i="4"/>
  <c r="D2672" i="4"/>
  <c r="C2672" i="4"/>
  <c r="D2671" i="4"/>
  <c r="E2671" i="4" s="1"/>
  <c r="C2671" i="4"/>
  <c r="C2670" i="4"/>
  <c r="D2670" i="4" s="1"/>
  <c r="E2670" i="4" s="1"/>
  <c r="E2669" i="4"/>
  <c r="D2669" i="4"/>
  <c r="C2669" i="4"/>
  <c r="E2668" i="4"/>
  <c r="D2668" i="4"/>
  <c r="C2668" i="4"/>
  <c r="D2667" i="4"/>
  <c r="E2667" i="4" s="1"/>
  <c r="C2667" i="4"/>
  <c r="C2666" i="4"/>
  <c r="D2666" i="4" s="1"/>
  <c r="E2666" i="4" s="1"/>
  <c r="E2665" i="4"/>
  <c r="D2665" i="4"/>
  <c r="C2665" i="4"/>
  <c r="E2664" i="4"/>
  <c r="D2664" i="4"/>
  <c r="C2664" i="4"/>
  <c r="D2663" i="4"/>
  <c r="E2663" i="4" s="1"/>
  <c r="C2663" i="4"/>
  <c r="C2662" i="4"/>
  <c r="D2662" i="4" s="1"/>
  <c r="E2662" i="4" s="1"/>
  <c r="E2661" i="4"/>
  <c r="D2661" i="4"/>
  <c r="C2661" i="4"/>
  <c r="E2660" i="4"/>
  <c r="D2660" i="4"/>
  <c r="C2660" i="4"/>
  <c r="D2659" i="4"/>
  <c r="E2659" i="4" s="1"/>
  <c r="C2659" i="4"/>
  <c r="C2658" i="4"/>
  <c r="D2658" i="4" s="1"/>
  <c r="E2658" i="4" s="1"/>
  <c r="E2657" i="4"/>
  <c r="D2657" i="4"/>
  <c r="C2657" i="4"/>
  <c r="E2656" i="4"/>
  <c r="D2656" i="4"/>
  <c r="C2656" i="4"/>
  <c r="D2655" i="4"/>
  <c r="E2655" i="4" s="1"/>
  <c r="C2655" i="4"/>
  <c r="C2654" i="4"/>
  <c r="D2654" i="4" s="1"/>
  <c r="E2654" i="4" s="1"/>
  <c r="E2653" i="4"/>
  <c r="D2653" i="4"/>
  <c r="C2653" i="4"/>
  <c r="E2652" i="4"/>
  <c r="D2652" i="4"/>
  <c r="C2652" i="4"/>
  <c r="D2651" i="4"/>
  <c r="E2651" i="4" s="1"/>
  <c r="C2651" i="4"/>
  <c r="C2650" i="4"/>
  <c r="D2650" i="4" s="1"/>
  <c r="E2650" i="4" s="1"/>
  <c r="E2649" i="4"/>
  <c r="D2649" i="4"/>
  <c r="C2649" i="4"/>
  <c r="E2648" i="4"/>
  <c r="D2648" i="4"/>
  <c r="C2648" i="4"/>
  <c r="D2647" i="4"/>
  <c r="E2647" i="4" s="1"/>
  <c r="C2647" i="4"/>
  <c r="C2646" i="4"/>
  <c r="D2646" i="4" s="1"/>
  <c r="E2646" i="4" s="1"/>
  <c r="E2645" i="4"/>
  <c r="D2645" i="4"/>
  <c r="C2645" i="4"/>
  <c r="E2644" i="4"/>
  <c r="D2644" i="4"/>
  <c r="C2644" i="4"/>
  <c r="D2643" i="4"/>
  <c r="E2643" i="4" s="1"/>
  <c r="C2643" i="4"/>
  <c r="C2642" i="4"/>
  <c r="D2642" i="4" s="1"/>
  <c r="E2642" i="4" s="1"/>
  <c r="E2641" i="4"/>
  <c r="D2641" i="4"/>
  <c r="C2641" i="4"/>
  <c r="D2640" i="4"/>
  <c r="E2640" i="4" s="1"/>
  <c r="C2640" i="4"/>
  <c r="C2639" i="4"/>
  <c r="D2639" i="4" s="1"/>
  <c r="E2639" i="4" s="1"/>
  <c r="C2638" i="4"/>
  <c r="D2638" i="4" s="1"/>
  <c r="E2638" i="4" s="1"/>
  <c r="E2637" i="4"/>
  <c r="D2637" i="4"/>
  <c r="C2637" i="4"/>
  <c r="E2636" i="4"/>
  <c r="D2636" i="4"/>
  <c r="C2636" i="4"/>
  <c r="C2635" i="4"/>
  <c r="D2635" i="4" s="1"/>
  <c r="E2635" i="4" s="1"/>
  <c r="C2634" i="4"/>
  <c r="D2634" i="4" s="1"/>
  <c r="E2634" i="4" s="1"/>
  <c r="E2633" i="4"/>
  <c r="D2633" i="4"/>
  <c r="C2633" i="4"/>
  <c r="E2632" i="4"/>
  <c r="D2632" i="4"/>
  <c r="C2632" i="4"/>
  <c r="C2631" i="4"/>
  <c r="D2631" i="4" s="1"/>
  <c r="E2631" i="4" s="1"/>
  <c r="C2630" i="4"/>
  <c r="D2630" i="4" s="1"/>
  <c r="E2630" i="4" s="1"/>
  <c r="D2629" i="4"/>
  <c r="E2629" i="4" s="1"/>
  <c r="C2629" i="4"/>
  <c r="C2628" i="4"/>
  <c r="D2628" i="4" s="1"/>
  <c r="E2628" i="4" s="1"/>
  <c r="D2627" i="4"/>
  <c r="E2627" i="4" s="1"/>
  <c r="C2627" i="4"/>
  <c r="C2626" i="4"/>
  <c r="D2626" i="4" s="1"/>
  <c r="E2626" i="4" s="1"/>
  <c r="E2625" i="4"/>
  <c r="D2625" i="4"/>
  <c r="C2625" i="4"/>
  <c r="E2624" i="4"/>
  <c r="D2624" i="4"/>
  <c r="C2624" i="4"/>
  <c r="C2623" i="4"/>
  <c r="D2623" i="4" s="1"/>
  <c r="E2623" i="4" s="1"/>
  <c r="E2622" i="4"/>
  <c r="C2622" i="4"/>
  <c r="D2622" i="4" s="1"/>
  <c r="D2621" i="4"/>
  <c r="E2621" i="4" s="1"/>
  <c r="C2621" i="4"/>
  <c r="C2620" i="4"/>
  <c r="D2620" i="4" s="1"/>
  <c r="E2620" i="4" s="1"/>
  <c r="D2619" i="4"/>
  <c r="E2619" i="4" s="1"/>
  <c r="C2619" i="4"/>
  <c r="C2618" i="4"/>
  <c r="D2618" i="4" s="1"/>
  <c r="E2618" i="4" s="1"/>
  <c r="E2617" i="4"/>
  <c r="D2617" i="4"/>
  <c r="C2617" i="4"/>
  <c r="E2616" i="4"/>
  <c r="D2616" i="4"/>
  <c r="C2616" i="4"/>
  <c r="C2615" i="4"/>
  <c r="D2615" i="4" s="1"/>
  <c r="E2615" i="4" s="1"/>
  <c r="C2614" i="4"/>
  <c r="D2614" i="4" s="1"/>
  <c r="E2614" i="4" s="1"/>
  <c r="D2613" i="4"/>
  <c r="E2613" i="4" s="1"/>
  <c r="C2613" i="4"/>
  <c r="C2612" i="4"/>
  <c r="D2612" i="4" s="1"/>
  <c r="E2612" i="4" s="1"/>
  <c r="C2611" i="4"/>
  <c r="D2611" i="4" s="1"/>
  <c r="E2611" i="4" s="1"/>
  <c r="C2610" i="4"/>
  <c r="D2610" i="4" s="1"/>
  <c r="E2610" i="4" s="1"/>
  <c r="D2609" i="4"/>
  <c r="E2609" i="4" s="1"/>
  <c r="C2609" i="4"/>
  <c r="C2608" i="4"/>
  <c r="D2608" i="4" s="1"/>
  <c r="E2608" i="4" s="1"/>
  <c r="C2607" i="4"/>
  <c r="D2607" i="4" s="1"/>
  <c r="E2607" i="4" s="1"/>
  <c r="C2606" i="4"/>
  <c r="D2606" i="4" s="1"/>
  <c r="E2606" i="4" s="1"/>
  <c r="D2605" i="4"/>
  <c r="E2605" i="4" s="1"/>
  <c r="C2605" i="4"/>
  <c r="C2604" i="4"/>
  <c r="D2604" i="4" s="1"/>
  <c r="E2604" i="4" s="1"/>
  <c r="C2603" i="4"/>
  <c r="D2603" i="4" s="1"/>
  <c r="E2603" i="4" s="1"/>
  <c r="C2602" i="4"/>
  <c r="D2602" i="4" s="1"/>
  <c r="E2602" i="4" s="1"/>
  <c r="D2601" i="4"/>
  <c r="E2601" i="4" s="1"/>
  <c r="C2601" i="4"/>
  <c r="C2600" i="4"/>
  <c r="D2600" i="4" s="1"/>
  <c r="E2600" i="4" s="1"/>
  <c r="C2599" i="4"/>
  <c r="D2599" i="4" s="1"/>
  <c r="E2599" i="4" s="1"/>
  <c r="C2598" i="4"/>
  <c r="D2598" i="4" s="1"/>
  <c r="E2598" i="4" s="1"/>
  <c r="D2597" i="4"/>
  <c r="E2597" i="4" s="1"/>
  <c r="C2597" i="4"/>
  <c r="C2596" i="4"/>
  <c r="D2596" i="4" s="1"/>
  <c r="E2596" i="4" s="1"/>
  <c r="C2595" i="4"/>
  <c r="D2595" i="4" s="1"/>
  <c r="E2595" i="4" s="1"/>
  <c r="C2594" i="4"/>
  <c r="D2594" i="4" s="1"/>
  <c r="E2594" i="4" s="1"/>
  <c r="D2593" i="4"/>
  <c r="E2593" i="4" s="1"/>
  <c r="C2593" i="4"/>
  <c r="C2592" i="4"/>
  <c r="D2592" i="4" s="1"/>
  <c r="E2592" i="4" s="1"/>
  <c r="C2591" i="4"/>
  <c r="D2591" i="4" s="1"/>
  <c r="E2591" i="4" s="1"/>
  <c r="C2590" i="4"/>
  <c r="D2590" i="4" s="1"/>
  <c r="E2590" i="4" s="1"/>
  <c r="D2589" i="4"/>
  <c r="E2589" i="4" s="1"/>
  <c r="C2589" i="4"/>
  <c r="C2588" i="4"/>
  <c r="D2588" i="4" s="1"/>
  <c r="E2588" i="4" s="1"/>
  <c r="C2587" i="4"/>
  <c r="D2587" i="4" s="1"/>
  <c r="E2587" i="4" s="1"/>
  <c r="C2586" i="4"/>
  <c r="D2586" i="4" s="1"/>
  <c r="E2586" i="4" s="1"/>
  <c r="D2585" i="4"/>
  <c r="E2585" i="4" s="1"/>
  <c r="C2585" i="4"/>
  <c r="C2584" i="4"/>
  <c r="D2584" i="4" s="1"/>
  <c r="E2584" i="4" s="1"/>
  <c r="C2583" i="4"/>
  <c r="D2583" i="4" s="1"/>
  <c r="E2583" i="4" s="1"/>
  <c r="C2582" i="4"/>
  <c r="D2582" i="4" s="1"/>
  <c r="E2582" i="4" s="1"/>
  <c r="D2581" i="4"/>
  <c r="E2581" i="4" s="1"/>
  <c r="C2581" i="4"/>
  <c r="C2580" i="4"/>
  <c r="D2580" i="4" s="1"/>
  <c r="E2580" i="4" s="1"/>
  <c r="D2579" i="4"/>
  <c r="E2579" i="4" s="1"/>
  <c r="C2579" i="4"/>
  <c r="C2578" i="4"/>
  <c r="D2578" i="4" s="1"/>
  <c r="E2578" i="4" s="1"/>
  <c r="D2577" i="4"/>
  <c r="E2577" i="4" s="1"/>
  <c r="C2577" i="4"/>
  <c r="C2576" i="4"/>
  <c r="D2576" i="4" s="1"/>
  <c r="E2576" i="4" s="1"/>
  <c r="D2575" i="4"/>
  <c r="E2575" i="4" s="1"/>
  <c r="C2575" i="4"/>
  <c r="C2574" i="4"/>
  <c r="D2574" i="4" s="1"/>
  <c r="E2574" i="4" s="1"/>
  <c r="D2573" i="4"/>
  <c r="E2573" i="4" s="1"/>
  <c r="C2573" i="4"/>
  <c r="C2572" i="4"/>
  <c r="D2572" i="4" s="1"/>
  <c r="E2572" i="4" s="1"/>
  <c r="D2571" i="4"/>
  <c r="E2571" i="4" s="1"/>
  <c r="C2571" i="4"/>
  <c r="C2570" i="4"/>
  <c r="D2570" i="4" s="1"/>
  <c r="E2570" i="4" s="1"/>
  <c r="D2569" i="4"/>
  <c r="E2569" i="4" s="1"/>
  <c r="C2569" i="4"/>
  <c r="C2568" i="4"/>
  <c r="D2568" i="4" s="1"/>
  <c r="E2568" i="4" s="1"/>
  <c r="D2567" i="4"/>
  <c r="E2567" i="4" s="1"/>
  <c r="C2567" i="4"/>
  <c r="C2566" i="4"/>
  <c r="D2566" i="4" s="1"/>
  <c r="E2566" i="4" s="1"/>
  <c r="D2565" i="4"/>
  <c r="E2565" i="4" s="1"/>
  <c r="C2565" i="4"/>
  <c r="C2564" i="4"/>
  <c r="D2564" i="4" s="1"/>
  <c r="E2564" i="4" s="1"/>
  <c r="D2563" i="4"/>
  <c r="E2563" i="4" s="1"/>
  <c r="C2563" i="4"/>
  <c r="C2562" i="4"/>
  <c r="D2562" i="4" s="1"/>
  <c r="E2562" i="4" s="1"/>
  <c r="D2561" i="4"/>
  <c r="E2561" i="4" s="1"/>
  <c r="C2561" i="4"/>
  <c r="C2560" i="4"/>
  <c r="D2560" i="4" s="1"/>
  <c r="E2560" i="4" s="1"/>
  <c r="D2559" i="4"/>
  <c r="E2559" i="4" s="1"/>
  <c r="C2559" i="4"/>
  <c r="C2558" i="4"/>
  <c r="D2558" i="4" s="1"/>
  <c r="E2558" i="4" s="1"/>
  <c r="D2557" i="4"/>
  <c r="E2557" i="4" s="1"/>
  <c r="C2557" i="4"/>
  <c r="C2556" i="4"/>
  <c r="D2556" i="4" s="1"/>
  <c r="E2556" i="4" s="1"/>
  <c r="D2555" i="4"/>
  <c r="E2555" i="4" s="1"/>
  <c r="C2555" i="4"/>
  <c r="C2554" i="4"/>
  <c r="D2554" i="4" s="1"/>
  <c r="E2554" i="4" s="1"/>
  <c r="D2553" i="4"/>
  <c r="E2553" i="4" s="1"/>
  <c r="C2553" i="4"/>
  <c r="C2552" i="4"/>
  <c r="D2552" i="4" s="1"/>
  <c r="E2552" i="4" s="1"/>
  <c r="D2551" i="4"/>
  <c r="E2551" i="4" s="1"/>
  <c r="C2551" i="4"/>
  <c r="C2550" i="4"/>
  <c r="D2550" i="4" s="1"/>
  <c r="E2550" i="4" s="1"/>
  <c r="D2549" i="4"/>
  <c r="E2549" i="4" s="1"/>
  <c r="C2549" i="4"/>
  <c r="C2548" i="4"/>
  <c r="D2548" i="4" s="1"/>
  <c r="E2548" i="4" s="1"/>
  <c r="D2547" i="4"/>
  <c r="E2547" i="4" s="1"/>
  <c r="C2547" i="4"/>
  <c r="C2546" i="4"/>
  <c r="D2546" i="4" s="1"/>
  <c r="E2546" i="4" s="1"/>
  <c r="D2545" i="4"/>
  <c r="E2545" i="4" s="1"/>
  <c r="C2545" i="4"/>
  <c r="C2544" i="4"/>
  <c r="D2544" i="4" s="1"/>
  <c r="E2544" i="4" s="1"/>
  <c r="D2543" i="4"/>
  <c r="E2543" i="4" s="1"/>
  <c r="C2543" i="4"/>
  <c r="C2542" i="4"/>
  <c r="D2542" i="4" s="1"/>
  <c r="E2542" i="4" s="1"/>
  <c r="D2541" i="4"/>
  <c r="E2541" i="4" s="1"/>
  <c r="C2541" i="4"/>
  <c r="C2540" i="4"/>
  <c r="D2540" i="4" s="1"/>
  <c r="E2540" i="4" s="1"/>
  <c r="D2539" i="4"/>
  <c r="E2539" i="4" s="1"/>
  <c r="C2539" i="4"/>
  <c r="C2538" i="4"/>
  <c r="D2538" i="4" s="1"/>
  <c r="E2538" i="4" s="1"/>
  <c r="D2537" i="4"/>
  <c r="E2537" i="4" s="1"/>
  <c r="C2537" i="4"/>
  <c r="C2536" i="4"/>
  <c r="D2536" i="4" s="1"/>
  <c r="E2536" i="4" s="1"/>
  <c r="D2535" i="4"/>
  <c r="E2535" i="4" s="1"/>
  <c r="C2535" i="4"/>
  <c r="C2534" i="4"/>
  <c r="D2534" i="4" s="1"/>
  <c r="E2534" i="4" s="1"/>
  <c r="D2533" i="4"/>
  <c r="E2533" i="4" s="1"/>
  <c r="C2533" i="4"/>
  <c r="C2532" i="4"/>
  <c r="D2532" i="4" s="1"/>
  <c r="E2532" i="4" s="1"/>
  <c r="D2531" i="4"/>
  <c r="E2531" i="4" s="1"/>
  <c r="C2531" i="4"/>
  <c r="C2530" i="4"/>
  <c r="D2530" i="4" s="1"/>
  <c r="E2530" i="4" s="1"/>
  <c r="D2529" i="4"/>
  <c r="E2529" i="4" s="1"/>
  <c r="C2529" i="4"/>
  <c r="C2528" i="4"/>
  <c r="D2528" i="4" s="1"/>
  <c r="E2528" i="4" s="1"/>
  <c r="D2527" i="4"/>
  <c r="E2527" i="4" s="1"/>
  <c r="C2527" i="4"/>
  <c r="C2526" i="4"/>
  <c r="D2526" i="4" s="1"/>
  <c r="E2526" i="4" s="1"/>
  <c r="D2525" i="4"/>
  <c r="E2525" i="4" s="1"/>
  <c r="C2525" i="4"/>
  <c r="C2524" i="4"/>
  <c r="D2524" i="4" s="1"/>
  <c r="E2524" i="4" s="1"/>
  <c r="D2523" i="4"/>
  <c r="E2523" i="4" s="1"/>
  <c r="C2523" i="4"/>
  <c r="C2522" i="4"/>
  <c r="D2522" i="4" s="1"/>
  <c r="E2522" i="4" s="1"/>
  <c r="D2521" i="4"/>
  <c r="E2521" i="4" s="1"/>
  <c r="C2521" i="4"/>
  <c r="C2520" i="4"/>
  <c r="D2520" i="4" s="1"/>
  <c r="E2520" i="4" s="1"/>
  <c r="D2519" i="4"/>
  <c r="E2519" i="4" s="1"/>
  <c r="C2519" i="4"/>
  <c r="C2518" i="4"/>
  <c r="D2518" i="4" s="1"/>
  <c r="E2518" i="4" s="1"/>
  <c r="D2517" i="4"/>
  <c r="E2517" i="4" s="1"/>
  <c r="C2517" i="4"/>
  <c r="C2516" i="4"/>
  <c r="D2516" i="4" s="1"/>
  <c r="E2516" i="4" s="1"/>
  <c r="D2515" i="4"/>
  <c r="E2515" i="4" s="1"/>
  <c r="C2515" i="4"/>
  <c r="C2514" i="4"/>
  <c r="D2514" i="4" s="1"/>
  <c r="E2514" i="4" s="1"/>
  <c r="D2513" i="4"/>
  <c r="E2513" i="4" s="1"/>
  <c r="C2513" i="4"/>
  <c r="C2512" i="4"/>
  <c r="D2512" i="4" s="1"/>
  <c r="E2512" i="4" s="1"/>
  <c r="D2511" i="4"/>
  <c r="E2511" i="4" s="1"/>
  <c r="C2511" i="4"/>
  <c r="C2510" i="4"/>
  <c r="D2510" i="4" s="1"/>
  <c r="E2510" i="4" s="1"/>
  <c r="D2509" i="4"/>
  <c r="E2509" i="4" s="1"/>
  <c r="C2509" i="4"/>
  <c r="C2508" i="4"/>
  <c r="D2508" i="4" s="1"/>
  <c r="E2508" i="4" s="1"/>
  <c r="D2507" i="4"/>
  <c r="E2507" i="4" s="1"/>
  <c r="C2507" i="4"/>
  <c r="C2506" i="4"/>
  <c r="D2506" i="4" s="1"/>
  <c r="E2506" i="4" s="1"/>
  <c r="D2505" i="4"/>
  <c r="E2505" i="4" s="1"/>
  <c r="C2505" i="4"/>
  <c r="C2504" i="4"/>
  <c r="D2504" i="4" s="1"/>
  <c r="E2504" i="4" s="1"/>
  <c r="D2503" i="4"/>
  <c r="E2503" i="4" s="1"/>
  <c r="C2503" i="4"/>
  <c r="C2502" i="4"/>
  <c r="D2502" i="4" s="1"/>
  <c r="E2502" i="4" s="1"/>
  <c r="D2501" i="4"/>
  <c r="E2501" i="4" s="1"/>
  <c r="C2501" i="4"/>
  <c r="C2500" i="4"/>
  <c r="D2500" i="4" s="1"/>
  <c r="E2500" i="4" s="1"/>
  <c r="D2499" i="4"/>
  <c r="E2499" i="4" s="1"/>
  <c r="C2499" i="4"/>
  <c r="C2498" i="4"/>
  <c r="D2498" i="4" s="1"/>
  <c r="E2498" i="4" s="1"/>
  <c r="D2497" i="4"/>
  <c r="E2497" i="4" s="1"/>
  <c r="C2497" i="4"/>
  <c r="C2496" i="4"/>
  <c r="D2496" i="4" s="1"/>
  <c r="E2496" i="4" s="1"/>
  <c r="D2495" i="4"/>
  <c r="E2495" i="4" s="1"/>
  <c r="C2495" i="4"/>
  <c r="C2494" i="4"/>
  <c r="D2494" i="4" s="1"/>
  <c r="E2494" i="4" s="1"/>
  <c r="D2493" i="4"/>
  <c r="E2493" i="4" s="1"/>
  <c r="C2493" i="4"/>
  <c r="C2492" i="4"/>
  <c r="D2492" i="4" s="1"/>
  <c r="E2492" i="4" s="1"/>
  <c r="D2491" i="4"/>
  <c r="E2491" i="4" s="1"/>
  <c r="C2491" i="4"/>
  <c r="C2490" i="4"/>
  <c r="D2490" i="4" s="1"/>
  <c r="E2490" i="4" s="1"/>
  <c r="D2489" i="4"/>
  <c r="E2489" i="4" s="1"/>
  <c r="C2489" i="4"/>
  <c r="C2488" i="4"/>
  <c r="D2488" i="4" s="1"/>
  <c r="E2488" i="4" s="1"/>
  <c r="D2487" i="4"/>
  <c r="E2487" i="4" s="1"/>
  <c r="C2487" i="4"/>
  <c r="C2486" i="4"/>
  <c r="D2486" i="4" s="1"/>
  <c r="E2486" i="4" s="1"/>
  <c r="D2485" i="4"/>
  <c r="E2485" i="4" s="1"/>
  <c r="C2485" i="4"/>
  <c r="C2484" i="4"/>
  <c r="D2484" i="4" s="1"/>
  <c r="E2484" i="4" s="1"/>
  <c r="D2483" i="4"/>
  <c r="E2483" i="4" s="1"/>
  <c r="C2483" i="4"/>
  <c r="C2482" i="4"/>
  <c r="D2482" i="4" s="1"/>
  <c r="E2482" i="4" s="1"/>
  <c r="D2481" i="4"/>
  <c r="E2481" i="4" s="1"/>
  <c r="C2481" i="4"/>
  <c r="C2480" i="4"/>
  <c r="D2480" i="4" s="1"/>
  <c r="E2480" i="4" s="1"/>
  <c r="D2479" i="4"/>
  <c r="E2479" i="4" s="1"/>
  <c r="C2479" i="4"/>
  <c r="C2478" i="4"/>
  <c r="D2478" i="4" s="1"/>
  <c r="E2478" i="4" s="1"/>
  <c r="D2477" i="4"/>
  <c r="E2477" i="4" s="1"/>
  <c r="C2477" i="4"/>
  <c r="C2476" i="4"/>
  <c r="D2476" i="4" s="1"/>
  <c r="E2476" i="4" s="1"/>
  <c r="D2475" i="4"/>
  <c r="E2475" i="4" s="1"/>
  <c r="C2475" i="4"/>
  <c r="C2474" i="4"/>
  <c r="D2474" i="4" s="1"/>
  <c r="E2474" i="4" s="1"/>
  <c r="D2473" i="4"/>
  <c r="E2473" i="4" s="1"/>
  <c r="C2473" i="4"/>
  <c r="C2472" i="4"/>
  <c r="D2472" i="4" s="1"/>
  <c r="E2472" i="4" s="1"/>
  <c r="D2471" i="4"/>
  <c r="E2471" i="4" s="1"/>
  <c r="C2471" i="4"/>
  <c r="C2470" i="4"/>
  <c r="D2470" i="4" s="1"/>
  <c r="E2470" i="4" s="1"/>
  <c r="D2469" i="4"/>
  <c r="E2469" i="4" s="1"/>
  <c r="C2469" i="4"/>
  <c r="C2468" i="4"/>
  <c r="D2468" i="4" s="1"/>
  <c r="E2468" i="4" s="1"/>
  <c r="D2467" i="4"/>
  <c r="E2467" i="4" s="1"/>
  <c r="C2467" i="4"/>
  <c r="E2466" i="4"/>
  <c r="C2466" i="4"/>
  <c r="D2466" i="4" s="1"/>
  <c r="D2465" i="4"/>
  <c r="E2465" i="4" s="1"/>
  <c r="C2465" i="4"/>
  <c r="C2464" i="4"/>
  <c r="D2464" i="4" s="1"/>
  <c r="E2464" i="4" s="1"/>
  <c r="D2463" i="4"/>
  <c r="E2463" i="4" s="1"/>
  <c r="C2463" i="4"/>
  <c r="C2462" i="4"/>
  <c r="D2462" i="4" s="1"/>
  <c r="E2462" i="4" s="1"/>
  <c r="D2461" i="4"/>
  <c r="E2461" i="4" s="1"/>
  <c r="C2461" i="4"/>
  <c r="C2460" i="4"/>
  <c r="D2460" i="4" s="1"/>
  <c r="E2460" i="4" s="1"/>
  <c r="D2459" i="4"/>
  <c r="E2459" i="4" s="1"/>
  <c r="C2459" i="4"/>
  <c r="C2458" i="4"/>
  <c r="D2458" i="4" s="1"/>
  <c r="E2458" i="4" s="1"/>
  <c r="D2457" i="4"/>
  <c r="E2457" i="4" s="1"/>
  <c r="C2457" i="4"/>
  <c r="C2456" i="4"/>
  <c r="D2456" i="4" s="1"/>
  <c r="E2456" i="4" s="1"/>
  <c r="D2455" i="4"/>
  <c r="E2455" i="4" s="1"/>
  <c r="C2455" i="4"/>
  <c r="C2454" i="4"/>
  <c r="D2454" i="4" s="1"/>
  <c r="E2454" i="4" s="1"/>
  <c r="D2453" i="4"/>
  <c r="E2453" i="4" s="1"/>
  <c r="C2453" i="4"/>
  <c r="C2452" i="4"/>
  <c r="D2452" i="4" s="1"/>
  <c r="E2452" i="4" s="1"/>
  <c r="D2451" i="4"/>
  <c r="E2451" i="4" s="1"/>
  <c r="C2451" i="4"/>
  <c r="E2450" i="4"/>
  <c r="C2450" i="4"/>
  <c r="D2450" i="4" s="1"/>
  <c r="D2449" i="4"/>
  <c r="E2449" i="4" s="1"/>
  <c r="C2449" i="4"/>
  <c r="C2448" i="4"/>
  <c r="D2448" i="4" s="1"/>
  <c r="E2448" i="4" s="1"/>
  <c r="D2447" i="4"/>
  <c r="E2447" i="4" s="1"/>
  <c r="C2447" i="4"/>
  <c r="C2446" i="4"/>
  <c r="D2446" i="4" s="1"/>
  <c r="E2446" i="4" s="1"/>
  <c r="D2445" i="4"/>
  <c r="E2445" i="4" s="1"/>
  <c r="C2445" i="4"/>
  <c r="C2444" i="4"/>
  <c r="D2444" i="4" s="1"/>
  <c r="E2444" i="4" s="1"/>
  <c r="D2443" i="4"/>
  <c r="E2443" i="4" s="1"/>
  <c r="C2443" i="4"/>
  <c r="C2442" i="4"/>
  <c r="D2442" i="4" s="1"/>
  <c r="E2442" i="4" s="1"/>
  <c r="D2441" i="4"/>
  <c r="E2441" i="4" s="1"/>
  <c r="C2441" i="4"/>
  <c r="C2440" i="4"/>
  <c r="D2440" i="4" s="1"/>
  <c r="E2440" i="4" s="1"/>
  <c r="D2439" i="4"/>
  <c r="E2439" i="4" s="1"/>
  <c r="C2439" i="4"/>
  <c r="C2438" i="4"/>
  <c r="D2438" i="4" s="1"/>
  <c r="E2438" i="4" s="1"/>
  <c r="D2437" i="4"/>
  <c r="E2437" i="4" s="1"/>
  <c r="C2437" i="4"/>
  <c r="C2436" i="4"/>
  <c r="D2436" i="4" s="1"/>
  <c r="E2436" i="4" s="1"/>
  <c r="D2435" i="4"/>
  <c r="E2435" i="4" s="1"/>
  <c r="C2435" i="4"/>
  <c r="E2434" i="4"/>
  <c r="C2434" i="4"/>
  <c r="D2434" i="4" s="1"/>
  <c r="D2433" i="4"/>
  <c r="E2433" i="4" s="1"/>
  <c r="C2433" i="4"/>
  <c r="C2432" i="4"/>
  <c r="D2432" i="4" s="1"/>
  <c r="E2432" i="4" s="1"/>
  <c r="D2431" i="4"/>
  <c r="E2431" i="4" s="1"/>
  <c r="C2431" i="4"/>
  <c r="C2430" i="4"/>
  <c r="D2430" i="4" s="1"/>
  <c r="E2430" i="4" s="1"/>
  <c r="D2429" i="4"/>
  <c r="E2429" i="4" s="1"/>
  <c r="C2429" i="4"/>
  <c r="C2428" i="4"/>
  <c r="D2428" i="4" s="1"/>
  <c r="E2428" i="4" s="1"/>
  <c r="D2427" i="4"/>
  <c r="E2427" i="4" s="1"/>
  <c r="C2427" i="4"/>
  <c r="C2426" i="4"/>
  <c r="D2426" i="4" s="1"/>
  <c r="E2426" i="4" s="1"/>
  <c r="D2425" i="4"/>
  <c r="E2425" i="4" s="1"/>
  <c r="C2425" i="4"/>
  <c r="C2424" i="4"/>
  <c r="D2424" i="4" s="1"/>
  <c r="E2424" i="4" s="1"/>
  <c r="D2423" i="4"/>
  <c r="E2423" i="4" s="1"/>
  <c r="C2423" i="4"/>
  <c r="C2422" i="4"/>
  <c r="D2422" i="4" s="1"/>
  <c r="E2422" i="4" s="1"/>
  <c r="D2421" i="4"/>
  <c r="E2421" i="4" s="1"/>
  <c r="C2421" i="4"/>
  <c r="C2420" i="4"/>
  <c r="D2420" i="4" s="1"/>
  <c r="E2420" i="4" s="1"/>
  <c r="D2419" i="4"/>
  <c r="E2419" i="4" s="1"/>
  <c r="C2419" i="4"/>
  <c r="E2418" i="4"/>
  <c r="C2418" i="4"/>
  <c r="D2418" i="4" s="1"/>
  <c r="D2417" i="4"/>
  <c r="E2417" i="4" s="1"/>
  <c r="C2417" i="4"/>
  <c r="C2416" i="4"/>
  <c r="D2416" i="4" s="1"/>
  <c r="E2416" i="4" s="1"/>
  <c r="D2415" i="4"/>
  <c r="E2415" i="4" s="1"/>
  <c r="C2415" i="4"/>
  <c r="C2414" i="4"/>
  <c r="D2414" i="4" s="1"/>
  <c r="E2414" i="4" s="1"/>
  <c r="D2413" i="4"/>
  <c r="E2413" i="4" s="1"/>
  <c r="C2413" i="4"/>
  <c r="C2412" i="4"/>
  <c r="D2412" i="4" s="1"/>
  <c r="E2412" i="4" s="1"/>
  <c r="D2411" i="4"/>
  <c r="E2411" i="4" s="1"/>
  <c r="C2411" i="4"/>
  <c r="C2410" i="4"/>
  <c r="D2410" i="4" s="1"/>
  <c r="E2410" i="4" s="1"/>
  <c r="D2409" i="4"/>
  <c r="E2409" i="4" s="1"/>
  <c r="C2409" i="4"/>
  <c r="C2408" i="4"/>
  <c r="D2408" i="4" s="1"/>
  <c r="E2408" i="4" s="1"/>
  <c r="D2407" i="4"/>
  <c r="E2407" i="4" s="1"/>
  <c r="C2407" i="4"/>
  <c r="C2406" i="4"/>
  <c r="D2406" i="4" s="1"/>
  <c r="E2406" i="4" s="1"/>
  <c r="D2405" i="4"/>
  <c r="E2405" i="4" s="1"/>
  <c r="C2405" i="4"/>
  <c r="C2404" i="4"/>
  <c r="D2404" i="4" s="1"/>
  <c r="E2404" i="4" s="1"/>
  <c r="D2403" i="4"/>
  <c r="E2403" i="4" s="1"/>
  <c r="C2403" i="4"/>
  <c r="E2402" i="4"/>
  <c r="C2402" i="4"/>
  <c r="D2402" i="4" s="1"/>
  <c r="D2401" i="4"/>
  <c r="E2401" i="4" s="1"/>
  <c r="C2401" i="4"/>
  <c r="C2400" i="4"/>
  <c r="D2400" i="4" s="1"/>
  <c r="E2400" i="4" s="1"/>
  <c r="D2399" i="4"/>
  <c r="E2399" i="4" s="1"/>
  <c r="C2399" i="4"/>
  <c r="C2398" i="4"/>
  <c r="D2398" i="4" s="1"/>
  <c r="E2398" i="4" s="1"/>
  <c r="D2397" i="4"/>
  <c r="E2397" i="4" s="1"/>
  <c r="C2397" i="4"/>
  <c r="C2396" i="4"/>
  <c r="D2396" i="4" s="1"/>
  <c r="E2396" i="4" s="1"/>
  <c r="D2395" i="4"/>
  <c r="E2395" i="4" s="1"/>
  <c r="C2395" i="4"/>
  <c r="C2394" i="4"/>
  <c r="D2394" i="4" s="1"/>
  <c r="E2394" i="4" s="1"/>
  <c r="D2393" i="4"/>
  <c r="E2393" i="4" s="1"/>
  <c r="C2393" i="4"/>
  <c r="C2392" i="4"/>
  <c r="D2392" i="4" s="1"/>
  <c r="E2392" i="4" s="1"/>
  <c r="D2391" i="4"/>
  <c r="E2391" i="4" s="1"/>
  <c r="C2391" i="4"/>
  <c r="C2390" i="4"/>
  <c r="D2390" i="4" s="1"/>
  <c r="E2390" i="4" s="1"/>
  <c r="D2389" i="4"/>
  <c r="E2389" i="4" s="1"/>
  <c r="C2389" i="4"/>
  <c r="C2388" i="4"/>
  <c r="D2388" i="4" s="1"/>
  <c r="E2388" i="4" s="1"/>
  <c r="D2387" i="4"/>
  <c r="E2387" i="4" s="1"/>
  <c r="C2387" i="4"/>
  <c r="E2386" i="4"/>
  <c r="C2386" i="4"/>
  <c r="D2386" i="4" s="1"/>
  <c r="D2385" i="4"/>
  <c r="E2385" i="4" s="1"/>
  <c r="C2385" i="4"/>
  <c r="C2384" i="4"/>
  <c r="D2384" i="4" s="1"/>
  <c r="E2384" i="4" s="1"/>
  <c r="D2383" i="4"/>
  <c r="E2383" i="4" s="1"/>
  <c r="C2383" i="4"/>
  <c r="C2382" i="4"/>
  <c r="D2382" i="4" s="1"/>
  <c r="E2382" i="4" s="1"/>
  <c r="D2381" i="4"/>
  <c r="E2381" i="4" s="1"/>
  <c r="C2381" i="4"/>
  <c r="C2380" i="4"/>
  <c r="D2380" i="4" s="1"/>
  <c r="E2380" i="4" s="1"/>
  <c r="D2379" i="4"/>
  <c r="E2379" i="4" s="1"/>
  <c r="C2379" i="4"/>
  <c r="C2378" i="4"/>
  <c r="D2378" i="4" s="1"/>
  <c r="E2378" i="4" s="1"/>
  <c r="D2377" i="4"/>
  <c r="E2377" i="4" s="1"/>
  <c r="C2377" i="4"/>
  <c r="C2376" i="4"/>
  <c r="D2376" i="4" s="1"/>
  <c r="E2376" i="4" s="1"/>
  <c r="D2375" i="4"/>
  <c r="E2375" i="4" s="1"/>
  <c r="C2375" i="4"/>
  <c r="C2374" i="4"/>
  <c r="D2374" i="4" s="1"/>
  <c r="E2374" i="4" s="1"/>
  <c r="D2373" i="4"/>
  <c r="E2373" i="4" s="1"/>
  <c r="C2373" i="4"/>
  <c r="C2372" i="4"/>
  <c r="D2372" i="4" s="1"/>
  <c r="E2372" i="4" s="1"/>
  <c r="D2371" i="4"/>
  <c r="E2371" i="4" s="1"/>
  <c r="C2371" i="4"/>
  <c r="E2370" i="4"/>
  <c r="C2370" i="4"/>
  <c r="D2370" i="4" s="1"/>
  <c r="D2369" i="4"/>
  <c r="E2369" i="4" s="1"/>
  <c r="C2369" i="4"/>
  <c r="C2368" i="4"/>
  <c r="D2368" i="4" s="1"/>
  <c r="E2368" i="4" s="1"/>
  <c r="D2367" i="4"/>
  <c r="E2367" i="4" s="1"/>
  <c r="C2367" i="4"/>
  <c r="C2366" i="4"/>
  <c r="D2366" i="4" s="1"/>
  <c r="E2366" i="4" s="1"/>
  <c r="D2365" i="4"/>
  <c r="E2365" i="4" s="1"/>
  <c r="C2365" i="4"/>
  <c r="C2364" i="4"/>
  <c r="D2364" i="4" s="1"/>
  <c r="E2364" i="4" s="1"/>
  <c r="D2363" i="4"/>
  <c r="E2363" i="4" s="1"/>
  <c r="C2363" i="4"/>
  <c r="C2362" i="4"/>
  <c r="D2362" i="4" s="1"/>
  <c r="E2362" i="4" s="1"/>
  <c r="D2361" i="4"/>
  <c r="E2361" i="4" s="1"/>
  <c r="C2361" i="4"/>
  <c r="C2360" i="4"/>
  <c r="D2360" i="4" s="1"/>
  <c r="E2360" i="4" s="1"/>
  <c r="D2359" i="4"/>
  <c r="E2359" i="4" s="1"/>
  <c r="C2359" i="4"/>
  <c r="C2358" i="4"/>
  <c r="D2358" i="4" s="1"/>
  <c r="E2358" i="4" s="1"/>
  <c r="D2357" i="4"/>
  <c r="E2357" i="4" s="1"/>
  <c r="C2357" i="4"/>
  <c r="C2356" i="4"/>
  <c r="D2356" i="4" s="1"/>
  <c r="E2356" i="4" s="1"/>
  <c r="D2355" i="4"/>
  <c r="E2355" i="4" s="1"/>
  <c r="C2355" i="4"/>
  <c r="E2354" i="4"/>
  <c r="C2354" i="4"/>
  <c r="D2354" i="4" s="1"/>
  <c r="D2353" i="4"/>
  <c r="E2353" i="4" s="1"/>
  <c r="C2353" i="4"/>
  <c r="C2352" i="4"/>
  <c r="D2352" i="4" s="1"/>
  <c r="E2352" i="4" s="1"/>
  <c r="D2351" i="4"/>
  <c r="E2351" i="4" s="1"/>
  <c r="C2351" i="4"/>
  <c r="C2350" i="4"/>
  <c r="D2350" i="4" s="1"/>
  <c r="E2350" i="4" s="1"/>
  <c r="D2349" i="4"/>
  <c r="E2349" i="4" s="1"/>
  <c r="C2349" i="4"/>
  <c r="C2348" i="4"/>
  <c r="D2348" i="4" s="1"/>
  <c r="E2348" i="4" s="1"/>
  <c r="D2347" i="4"/>
  <c r="E2347" i="4" s="1"/>
  <c r="C2347" i="4"/>
  <c r="C2346" i="4"/>
  <c r="D2346" i="4" s="1"/>
  <c r="E2346" i="4" s="1"/>
  <c r="D2345" i="4"/>
  <c r="E2345" i="4" s="1"/>
  <c r="C2345" i="4"/>
  <c r="C2344" i="4"/>
  <c r="D2344" i="4" s="1"/>
  <c r="E2344" i="4" s="1"/>
  <c r="D2343" i="4"/>
  <c r="E2343" i="4" s="1"/>
  <c r="C2343" i="4"/>
  <c r="C2342" i="4"/>
  <c r="D2342" i="4" s="1"/>
  <c r="E2342" i="4" s="1"/>
  <c r="D2341" i="4"/>
  <c r="E2341" i="4" s="1"/>
  <c r="C2341" i="4"/>
  <c r="C2340" i="4"/>
  <c r="D2340" i="4" s="1"/>
  <c r="E2340" i="4" s="1"/>
  <c r="D2339" i="4"/>
  <c r="E2339" i="4" s="1"/>
  <c r="C2339" i="4"/>
  <c r="C2338" i="4"/>
  <c r="D2338" i="4" s="1"/>
  <c r="E2338" i="4" s="1"/>
  <c r="D2337" i="4"/>
  <c r="E2337" i="4" s="1"/>
  <c r="C2337" i="4"/>
  <c r="C2336" i="4"/>
  <c r="D2336" i="4" s="1"/>
  <c r="E2336" i="4" s="1"/>
  <c r="D2335" i="4"/>
  <c r="E2335" i="4" s="1"/>
  <c r="C2335" i="4"/>
  <c r="C2334" i="4"/>
  <c r="D2334" i="4" s="1"/>
  <c r="E2334" i="4" s="1"/>
  <c r="D2333" i="4"/>
  <c r="E2333" i="4" s="1"/>
  <c r="C2333" i="4"/>
  <c r="C2332" i="4"/>
  <c r="D2332" i="4" s="1"/>
  <c r="E2332" i="4" s="1"/>
  <c r="D2331" i="4"/>
  <c r="E2331" i="4" s="1"/>
  <c r="C2331" i="4"/>
  <c r="C2330" i="4"/>
  <c r="D2330" i="4" s="1"/>
  <c r="E2330" i="4" s="1"/>
  <c r="D2329" i="4"/>
  <c r="E2329" i="4" s="1"/>
  <c r="C2329" i="4"/>
  <c r="C2328" i="4"/>
  <c r="D2328" i="4" s="1"/>
  <c r="E2328" i="4" s="1"/>
  <c r="D2327" i="4"/>
  <c r="E2327" i="4" s="1"/>
  <c r="C2327" i="4"/>
  <c r="C2326" i="4"/>
  <c r="D2326" i="4" s="1"/>
  <c r="E2326" i="4" s="1"/>
  <c r="D2325" i="4"/>
  <c r="E2325" i="4" s="1"/>
  <c r="C2325" i="4"/>
  <c r="C2324" i="4"/>
  <c r="D2324" i="4" s="1"/>
  <c r="E2324" i="4" s="1"/>
  <c r="D2323" i="4"/>
  <c r="E2323" i="4" s="1"/>
  <c r="C2323" i="4"/>
  <c r="C2322" i="4"/>
  <c r="D2322" i="4" s="1"/>
  <c r="E2322" i="4" s="1"/>
  <c r="D2321" i="4"/>
  <c r="E2321" i="4" s="1"/>
  <c r="C2321" i="4"/>
  <c r="C2320" i="4"/>
  <c r="D2320" i="4" s="1"/>
  <c r="E2320" i="4" s="1"/>
  <c r="D2319" i="4"/>
  <c r="E2319" i="4" s="1"/>
  <c r="C2319" i="4"/>
  <c r="C2318" i="4"/>
  <c r="D2318" i="4" s="1"/>
  <c r="E2318" i="4" s="1"/>
  <c r="D2317" i="4"/>
  <c r="E2317" i="4" s="1"/>
  <c r="C2317" i="4"/>
  <c r="C2316" i="4"/>
  <c r="D2316" i="4" s="1"/>
  <c r="E2316" i="4" s="1"/>
  <c r="D2315" i="4"/>
  <c r="E2315" i="4" s="1"/>
  <c r="C2315" i="4"/>
  <c r="C2314" i="4"/>
  <c r="D2314" i="4" s="1"/>
  <c r="E2314" i="4" s="1"/>
  <c r="D2313" i="4"/>
  <c r="E2313" i="4" s="1"/>
  <c r="C2313" i="4"/>
  <c r="C2312" i="4"/>
  <c r="D2312" i="4" s="1"/>
  <c r="E2312" i="4" s="1"/>
  <c r="D2311" i="4"/>
  <c r="E2311" i="4" s="1"/>
  <c r="C2311" i="4"/>
  <c r="C2310" i="4"/>
  <c r="D2310" i="4" s="1"/>
  <c r="E2310" i="4" s="1"/>
  <c r="D2309" i="4"/>
  <c r="E2309" i="4" s="1"/>
  <c r="C2309" i="4"/>
  <c r="C2308" i="4"/>
  <c r="D2308" i="4" s="1"/>
  <c r="E2308" i="4" s="1"/>
  <c r="D2307" i="4"/>
  <c r="E2307" i="4" s="1"/>
  <c r="C2307" i="4"/>
  <c r="C2306" i="4"/>
  <c r="D2306" i="4" s="1"/>
  <c r="E2306" i="4" s="1"/>
  <c r="D2305" i="4"/>
  <c r="E2305" i="4" s="1"/>
  <c r="C2305" i="4"/>
  <c r="C2304" i="4"/>
  <c r="D2304" i="4" s="1"/>
  <c r="E2304" i="4" s="1"/>
  <c r="D2303" i="4"/>
  <c r="E2303" i="4" s="1"/>
  <c r="C2303" i="4"/>
  <c r="C2302" i="4"/>
  <c r="D2302" i="4" s="1"/>
  <c r="E2302" i="4" s="1"/>
  <c r="D2301" i="4"/>
  <c r="E2301" i="4" s="1"/>
  <c r="C2301" i="4"/>
  <c r="C2300" i="4"/>
  <c r="D2300" i="4" s="1"/>
  <c r="E2300" i="4" s="1"/>
  <c r="D2299" i="4"/>
  <c r="E2299" i="4" s="1"/>
  <c r="C2299" i="4"/>
  <c r="C2298" i="4"/>
  <c r="D2298" i="4" s="1"/>
  <c r="E2298" i="4" s="1"/>
  <c r="D2297" i="4"/>
  <c r="E2297" i="4" s="1"/>
  <c r="C2297" i="4"/>
  <c r="C2296" i="4"/>
  <c r="D2296" i="4" s="1"/>
  <c r="E2296" i="4" s="1"/>
  <c r="D2295" i="4"/>
  <c r="E2295" i="4" s="1"/>
  <c r="C2295" i="4"/>
  <c r="C2294" i="4"/>
  <c r="D2294" i="4" s="1"/>
  <c r="E2294" i="4" s="1"/>
  <c r="D2293" i="4"/>
  <c r="E2293" i="4" s="1"/>
  <c r="C2293" i="4"/>
  <c r="C2292" i="4"/>
  <c r="D2292" i="4" s="1"/>
  <c r="E2292" i="4" s="1"/>
  <c r="D2291" i="4"/>
  <c r="E2291" i="4" s="1"/>
  <c r="C2291" i="4"/>
  <c r="C2290" i="4"/>
  <c r="D2290" i="4" s="1"/>
  <c r="E2290" i="4" s="1"/>
  <c r="C2289" i="4"/>
  <c r="D2289" i="4" s="1"/>
  <c r="E2289" i="4" s="1"/>
  <c r="C2288" i="4"/>
  <c r="D2288" i="4" s="1"/>
  <c r="E2288" i="4" s="1"/>
  <c r="D2287" i="4"/>
  <c r="E2287" i="4" s="1"/>
  <c r="C2287" i="4"/>
  <c r="C2286" i="4"/>
  <c r="D2286" i="4" s="1"/>
  <c r="E2286" i="4" s="1"/>
  <c r="C2285" i="4"/>
  <c r="D2285" i="4" s="1"/>
  <c r="E2285" i="4" s="1"/>
  <c r="C2284" i="4"/>
  <c r="D2284" i="4" s="1"/>
  <c r="E2284" i="4" s="1"/>
  <c r="D2283" i="4"/>
  <c r="E2283" i="4" s="1"/>
  <c r="C2283" i="4"/>
  <c r="C2282" i="4"/>
  <c r="D2282" i="4" s="1"/>
  <c r="E2282" i="4" s="1"/>
  <c r="C2281" i="4"/>
  <c r="D2281" i="4" s="1"/>
  <c r="E2281" i="4" s="1"/>
  <c r="C2280" i="4"/>
  <c r="D2280" i="4" s="1"/>
  <c r="E2280" i="4" s="1"/>
  <c r="D2279" i="4"/>
  <c r="E2279" i="4" s="1"/>
  <c r="C2279" i="4"/>
  <c r="C2278" i="4"/>
  <c r="D2278" i="4" s="1"/>
  <c r="E2278" i="4" s="1"/>
  <c r="C2277" i="4"/>
  <c r="D2277" i="4" s="1"/>
  <c r="E2277" i="4" s="1"/>
  <c r="C2276" i="4"/>
  <c r="D2276" i="4" s="1"/>
  <c r="E2276" i="4" s="1"/>
  <c r="D2275" i="4"/>
  <c r="E2275" i="4" s="1"/>
  <c r="C2275" i="4"/>
  <c r="C2274" i="4"/>
  <c r="D2274" i="4" s="1"/>
  <c r="E2274" i="4" s="1"/>
  <c r="D2273" i="4"/>
  <c r="E2273" i="4" s="1"/>
  <c r="C2273" i="4"/>
  <c r="C2272" i="4"/>
  <c r="D2272" i="4" s="1"/>
  <c r="E2272" i="4" s="1"/>
  <c r="C2271" i="4"/>
  <c r="D2271" i="4" s="1"/>
  <c r="E2271" i="4" s="1"/>
  <c r="C2270" i="4"/>
  <c r="D2270" i="4" s="1"/>
  <c r="E2270" i="4" s="1"/>
  <c r="D2269" i="4"/>
  <c r="E2269" i="4" s="1"/>
  <c r="C2269" i="4"/>
  <c r="C2268" i="4"/>
  <c r="D2268" i="4" s="1"/>
  <c r="E2268" i="4" s="1"/>
  <c r="C2267" i="4"/>
  <c r="D2267" i="4" s="1"/>
  <c r="E2267" i="4" s="1"/>
  <c r="C2266" i="4"/>
  <c r="D2266" i="4" s="1"/>
  <c r="E2266" i="4" s="1"/>
  <c r="D2265" i="4"/>
  <c r="E2265" i="4" s="1"/>
  <c r="C2265" i="4"/>
  <c r="C2264" i="4"/>
  <c r="D2264" i="4" s="1"/>
  <c r="E2264" i="4" s="1"/>
  <c r="C2263" i="4"/>
  <c r="D2263" i="4" s="1"/>
  <c r="E2263" i="4" s="1"/>
  <c r="C2262" i="4"/>
  <c r="D2262" i="4" s="1"/>
  <c r="E2262" i="4" s="1"/>
  <c r="D2261" i="4"/>
  <c r="E2261" i="4" s="1"/>
  <c r="C2261" i="4"/>
  <c r="C2260" i="4"/>
  <c r="D2260" i="4" s="1"/>
  <c r="E2260" i="4" s="1"/>
  <c r="C2259" i="4"/>
  <c r="D2259" i="4" s="1"/>
  <c r="E2259" i="4" s="1"/>
  <c r="C2258" i="4"/>
  <c r="D2258" i="4" s="1"/>
  <c r="E2258" i="4" s="1"/>
  <c r="D2257" i="4"/>
  <c r="E2257" i="4" s="1"/>
  <c r="C2257" i="4"/>
  <c r="C2256" i="4"/>
  <c r="D2256" i="4" s="1"/>
  <c r="E2256" i="4" s="1"/>
  <c r="C2255" i="4"/>
  <c r="D2255" i="4" s="1"/>
  <c r="E2255" i="4" s="1"/>
  <c r="C2254" i="4"/>
  <c r="D2254" i="4" s="1"/>
  <c r="E2254" i="4" s="1"/>
  <c r="D2253" i="4"/>
  <c r="E2253" i="4" s="1"/>
  <c r="C2253" i="4"/>
  <c r="E2252" i="4"/>
  <c r="C2252" i="4"/>
  <c r="D2252" i="4" s="1"/>
  <c r="C2251" i="4"/>
  <c r="D2251" i="4" s="1"/>
  <c r="E2251" i="4" s="1"/>
  <c r="C2250" i="4"/>
  <c r="D2250" i="4" s="1"/>
  <c r="E2250" i="4" s="1"/>
  <c r="D2249" i="4"/>
  <c r="E2249" i="4" s="1"/>
  <c r="C2249" i="4"/>
  <c r="C2248" i="4"/>
  <c r="D2248" i="4" s="1"/>
  <c r="E2248" i="4" s="1"/>
  <c r="C2247" i="4"/>
  <c r="D2247" i="4" s="1"/>
  <c r="E2247" i="4" s="1"/>
  <c r="C2246" i="4"/>
  <c r="D2246" i="4" s="1"/>
  <c r="E2246" i="4" s="1"/>
  <c r="D2245" i="4"/>
  <c r="E2245" i="4" s="1"/>
  <c r="C2245" i="4"/>
  <c r="C2244" i="4"/>
  <c r="D2244" i="4" s="1"/>
  <c r="E2244" i="4" s="1"/>
  <c r="C2243" i="4"/>
  <c r="D2243" i="4" s="1"/>
  <c r="E2243" i="4" s="1"/>
  <c r="C2242" i="4"/>
  <c r="D2242" i="4" s="1"/>
  <c r="E2242" i="4" s="1"/>
  <c r="D2241" i="4"/>
  <c r="E2241" i="4" s="1"/>
  <c r="C2241" i="4"/>
  <c r="C2240" i="4"/>
  <c r="D2240" i="4" s="1"/>
  <c r="E2240" i="4" s="1"/>
  <c r="C2239" i="4"/>
  <c r="D2239" i="4" s="1"/>
  <c r="E2239" i="4" s="1"/>
  <c r="C2238" i="4"/>
  <c r="D2238" i="4" s="1"/>
  <c r="E2238" i="4" s="1"/>
  <c r="D2237" i="4"/>
  <c r="E2237" i="4" s="1"/>
  <c r="C2237" i="4"/>
  <c r="C2236" i="4"/>
  <c r="D2236" i="4" s="1"/>
  <c r="E2236" i="4" s="1"/>
  <c r="C2235" i="4"/>
  <c r="D2235" i="4" s="1"/>
  <c r="E2235" i="4" s="1"/>
  <c r="C2234" i="4"/>
  <c r="D2234" i="4" s="1"/>
  <c r="E2234" i="4" s="1"/>
  <c r="D2233" i="4"/>
  <c r="E2233" i="4" s="1"/>
  <c r="C2233" i="4"/>
  <c r="C2232" i="4"/>
  <c r="D2232" i="4" s="1"/>
  <c r="E2232" i="4" s="1"/>
  <c r="C2231" i="4"/>
  <c r="D2231" i="4" s="1"/>
  <c r="E2231" i="4" s="1"/>
  <c r="C2230" i="4"/>
  <c r="D2230" i="4" s="1"/>
  <c r="E2230" i="4" s="1"/>
  <c r="D2229" i="4"/>
  <c r="E2229" i="4" s="1"/>
  <c r="C2229" i="4"/>
  <c r="C2228" i="4"/>
  <c r="D2228" i="4" s="1"/>
  <c r="E2228" i="4" s="1"/>
  <c r="C2227" i="4"/>
  <c r="D2227" i="4" s="1"/>
  <c r="E2227" i="4" s="1"/>
  <c r="C2226" i="4"/>
  <c r="D2226" i="4" s="1"/>
  <c r="E2226" i="4" s="1"/>
  <c r="D2225" i="4"/>
  <c r="E2225" i="4" s="1"/>
  <c r="C2225" i="4"/>
  <c r="C2224" i="4"/>
  <c r="D2224" i="4" s="1"/>
  <c r="E2224" i="4" s="1"/>
  <c r="C2223" i="4"/>
  <c r="D2223" i="4" s="1"/>
  <c r="E2223" i="4" s="1"/>
  <c r="C2222" i="4"/>
  <c r="D2222" i="4" s="1"/>
  <c r="E2222" i="4" s="1"/>
  <c r="D2221" i="4"/>
  <c r="E2221" i="4" s="1"/>
  <c r="C2221" i="4"/>
  <c r="E2220" i="4"/>
  <c r="C2220" i="4"/>
  <c r="D2220" i="4" s="1"/>
  <c r="C2219" i="4"/>
  <c r="D2219" i="4" s="1"/>
  <c r="E2219" i="4" s="1"/>
  <c r="C2218" i="4"/>
  <c r="D2218" i="4" s="1"/>
  <c r="E2218" i="4" s="1"/>
  <c r="D2217" i="4"/>
  <c r="E2217" i="4" s="1"/>
  <c r="C2217" i="4"/>
  <c r="C2216" i="4"/>
  <c r="D2216" i="4" s="1"/>
  <c r="E2216" i="4" s="1"/>
  <c r="C2215" i="4"/>
  <c r="D2215" i="4" s="1"/>
  <c r="E2215" i="4" s="1"/>
  <c r="C2214" i="4"/>
  <c r="D2214" i="4" s="1"/>
  <c r="E2214" i="4" s="1"/>
  <c r="D2213" i="4"/>
  <c r="E2213" i="4" s="1"/>
  <c r="C2213" i="4"/>
  <c r="C2212" i="4"/>
  <c r="D2212" i="4" s="1"/>
  <c r="E2212" i="4" s="1"/>
  <c r="C2211" i="4"/>
  <c r="D2211" i="4" s="1"/>
  <c r="E2211" i="4" s="1"/>
  <c r="C2210" i="4"/>
  <c r="D2210" i="4" s="1"/>
  <c r="E2210" i="4" s="1"/>
  <c r="D2209" i="4"/>
  <c r="E2209" i="4" s="1"/>
  <c r="C2209" i="4"/>
  <c r="C2208" i="4"/>
  <c r="D2208" i="4" s="1"/>
  <c r="E2208" i="4" s="1"/>
  <c r="C2207" i="4"/>
  <c r="D2207" i="4" s="1"/>
  <c r="E2207" i="4" s="1"/>
  <c r="C2206" i="4"/>
  <c r="D2206" i="4" s="1"/>
  <c r="E2206" i="4" s="1"/>
  <c r="D2205" i="4"/>
  <c r="E2205" i="4" s="1"/>
  <c r="C2205" i="4"/>
  <c r="C2204" i="4"/>
  <c r="D2204" i="4" s="1"/>
  <c r="E2204" i="4" s="1"/>
  <c r="C2203" i="4"/>
  <c r="D2203" i="4" s="1"/>
  <c r="E2203" i="4" s="1"/>
  <c r="C2202" i="4"/>
  <c r="D2202" i="4" s="1"/>
  <c r="E2202" i="4" s="1"/>
  <c r="D2201" i="4"/>
  <c r="E2201" i="4" s="1"/>
  <c r="C2201" i="4"/>
  <c r="E2200" i="4"/>
  <c r="C2200" i="4"/>
  <c r="D2200" i="4" s="1"/>
  <c r="C2199" i="4"/>
  <c r="D2199" i="4" s="1"/>
  <c r="E2199" i="4" s="1"/>
  <c r="C2198" i="4"/>
  <c r="D2198" i="4" s="1"/>
  <c r="E2198" i="4" s="1"/>
  <c r="D2197" i="4"/>
  <c r="E2197" i="4" s="1"/>
  <c r="C2197" i="4"/>
  <c r="C2196" i="4"/>
  <c r="D2196" i="4" s="1"/>
  <c r="E2196" i="4" s="1"/>
  <c r="C2195" i="4"/>
  <c r="D2195" i="4" s="1"/>
  <c r="E2195" i="4" s="1"/>
  <c r="C2194" i="4"/>
  <c r="D2194" i="4" s="1"/>
  <c r="E2194" i="4" s="1"/>
  <c r="D2193" i="4"/>
  <c r="E2193" i="4" s="1"/>
  <c r="C2193" i="4"/>
  <c r="E2192" i="4"/>
  <c r="C2192" i="4"/>
  <c r="D2192" i="4" s="1"/>
  <c r="C2191" i="4"/>
  <c r="D2191" i="4" s="1"/>
  <c r="E2191" i="4" s="1"/>
  <c r="C2190" i="4"/>
  <c r="D2190" i="4" s="1"/>
  <c r="E2190" i="4" s="1"/>
  <c r="D2189" i="4"/>
  <c r="E2189" i="4" s="1"/>
  <c r="C2189" i="4"/>
  <c r="C2188" i="4"/>
  <c r="D2188" i="4" s="1"/>
  <c r="E2188" i="4" s="1"/>
  <c r="C2187" i="4"/>
  <c r="D2187" i="4" s="1"/>
  <c r="E2187" i="4" s="1"/>
  <c r="C2186" i="4"/>
  <c r="D2186" i="4" s="1"/>
  <c r="E2186" i="4" s="1"/>
  <c r="D2185" i="4"/>
  <c r="E2185" i="4" s="1"/>
  <c r="C2185" i="4"/>
  <c r="E2184" i="4"/>
  <c r="C2184" i="4"/>
  <c r="D2184" i="4" s="1"/>
  <c r="C2183" i="4"/>
  <c r="D2183" i="4" s="1"/>
  <c r="E2183" i="4" s="1"/>
  <c r="C2182" i="4"/>
  <c r="D2182" i="4" s="1"/>
  <c r="E2182" i="4" s="1"/>
  <c r="D2181" i="4"/>
  <c r="E2181" i="4" s="1"/>
  <c r="C2181" i="4"/>
  <c r="C2180" i="4"/>
  <c r="D2180" i="4" s="1"/>
  <c r="E2180" i="4" s="1"/>
  <c r="C2179" i="4"/>
  <c r="D2179" i="4" s="1"/>
  <c r="E2179" i="4" s="1"/>
  <c r="C2178" i="4"/>
  <c r="D2178" i="4" s="1"/>
  <c r="E2178" i="4" s="1"/>
  <c r="D2177" i="4"/>
  <c r="E2177" i="4" s="1"/>
  <c r="C2177" i="4"/>
  <c r="E2176" i="4"/>
  <c r="C2176" i="4"/>
  <c r="D2176" i="4" s="1"/>
  <c r="C2175" i="4"/>
  <c r="D2175" i="4" s="1"/>
  <c r="E2175" i="4" s="1"/>
  <c r="C2174" i="4"/>
  <c r="D2174" i="4" s="1"/>
  <c r="E2174" i="4" s="1"/>
  <c r="D2173" i="4"/>
  <c r="E2173" i="4" s="1"/>
  <c r="C2173" i="4"/>
  <c r="C2172" i="4"/>
  <c r="D2172" i="4" s="1"/>
  <c r="E2172" i="4" s="1"/>
  <c r="C2171" i="4"/>
  <c r="D2171" i="4" s="1"/>
  <c r="E2171" i="4" s="1"/>
  <c r="C2170" i="4"/>
  <c r="D2170" i="4" s="1"/>
  <c r="E2170" i="4" s="1"/>
  <c r="D2169" i="4"/>
  <c r="E2169" i="4" s="1"/>
  <c r="C2169" i="4"/>
  <c r="E2168" i="4"/>
  <c r="C2168" i="4"/>
  <c r="D2168" i="4" s="1"/>
  <c r="C2167" i="4"/>
  <c r="D2167" i="4" s="1"/>
  <c r="E2167" i="4" s="1"/>
  <c r="C2166" i="4"/>
  <c r="D2166" i="4" s="1"/>
  <c r="E2166" i="4" s="1"/>
  <c r="D2165" i="4"/>
  <c r="E2165" i="4" s="1"/>
  <c r="C2165" i="4"/>
  <c r="C2164" i="4"/>
  <c r="D2164" i="4" s="1"/>
  <c r="E2164" i="4" s="1"/>
  <c r="C2163" i="4"/>
  <c r="D2163" i="4" s="1"/>
  <c r="E2163" i="4" s="1"/>
  <c r="C2162" i="4"/>
  <c r="D2162" i="4" s="1"/>
  <c r="E2162" i="4" s="1"/>
  <c r="D2161" i="4"/>
  <c r="E2161" i="4" s="1"/>
  <c r="C2161" i="4"/>
  <c r="E2160" i="4"/>
  <c r="C2160" i="4"/>
  <c r="D2160" i="4" s="1"/>
  <c r="C2159" i="4"/>
  <c r="D2159" i="4" s="1"/>
  <c r="E2159" i="4" s="1"/>
  <c r="C2158" i="4"/>
  <c r="D2158" i="4" s="1"/>
  <c r="E2158" i="4" s="1"/>
  <c r="D2157" i="4"/>
  <c r="E2157" i="4" s="1"/>
  <c r="C2157" i="4"/>
  <c r="C2156" i="4"/>
  <c r="D2156" i="4" s="1"/>
  <c r="E2156" i="4" s="1"/>
  <c r="C2155" i="4"/>
  <c r="D2155" i="4" s="1"/>
  <c r="E2155" i="4" s="1"/>
  <c r="C2154" i="4"/>
  <c r="D2154" i="4" s="1"/>
  <c r="E2154" i="4" s="1"/>
  <c r="D2153" i="4"/>
  <c r="E2153" i="4" s="1"/>
  <c r="C2153" i="4"/>
  <c r="E2152" i="4"/>
  <c r="C2152" i="4"/>
  <c r="D2152" i="4" s="1"/>
  <c r="C2151" i="4"/>
  <c r="D2151" i="4" s="1"/>
  <c r="E2151" i="4" s="1"/>
  <c r="C2150" i="4"/>
  <c r="D2150" i="4" s="1"/>
  <c r="E2150" i="4" s="1"/>
  <c r="D2149" i="4"/>
  <c r="E2149" i="4" s="1"/>
  <c r="C2149" i="4"/>
  <c r="C2148" i="4"/>
  <c r="D2148" i="4" s="1"/>
  <c r="E2148" i="4" s="1"/>
  <c r="C2147" i="4"/>
  <c r="D2147" i="4" s="1"/>
  <c r="E2147" i="4" s="1"/>
  <c r="C2146" i="4"/>
  <c r="D2146" i="4" s="1"/>
  <c r="E2146" i="4" s="1"/>
  <c r="D2145" i="4"/>
  <c r="E2145" i="4" s="1"/>
  <c r="C2145" i="4"/>
  <c r="E2144" i="4"/>
  <c r="C2144" i="4"/>
  <c r="D2144" i="4" s="1"/>
  <c r="C2143" i="4"/>
  <c r="D2143" i="4" s="1"/>
  <c r="E2143" i="4" s="1"/>
  <c r="C2142" i="4"/>
  <c r="D2142" i="4" s="1"/>
  <c r="E2142" i="4" s="1"/>
  <c r="D2141" i="4"/>
  <c r="E2141" i="4" s="1"/>
  <c r="C2141" i="4"/>
  <c r="C2140" i="4"/>
  <c r="D2140" i="4" s="1"/>
  <c r="E2140" i="4" s="1"/>
  <c r="C2139" i="4"/>
  <c r="D2139" i="4" s="1"/>
  <c r="E2139" i="4" s="1"/>
  <c r="C2138" i="4"/>
  <c r="D2138" i="4" s="1"/>
  <c r="E2138" i="4" s="1"/>
  <c r="D2137" i="4"/>
  <c r="E2137" i="4" s="1"/>
  <c r="C2137" i="4"/>
  <c r="E2136" i="4"/>
  <c r="C2136" i="4"/>
  <c r="D2136" i="4" s="1"/>
  <c r="C2135" i="4"/>
  <c r="D2135" i="4" s="1"/>
  <c r="E2135" i="4" s="1"/>
  <c r="C2134" i="4"/>
  <c r="D2134" i="4" s="1"/>
  <c r="E2134" i="4" s="1"/>
  <c r="D2133" i="4"/>
  <c r="E2133" i="4" s="1"/>
  <c r="C2133" i="4"/>
  <c r="C2132" i="4"/>
  <c r="D2132" i="4" s="1"/>
  <c r="E2132" i="4" s="1"/>
  <c r="C2131" i="4"/>
  <c r="D2131" i="4" s="1"/>
  <c r="E2131" i="4" s="1"/>
  <c r="C2130" i="4"/>
  <c r="D2130" i="4" s="1"/>
  <c r="E2130" i="4" s="1"/>
  <c r="D2129" i="4"/>
  <c r="E2129" i="4" s="1"/>
  <c r="C2129" i="4"/>
  <c r="E2128" i="4"/>
  <c r="C2128" i="4"/>
  <c r="D2128" i="4" s="1"/>
  <c r="C2127" i="4"/>
  <c r="D2127" i="4" s="1"/>
  <c r="E2127" i="4" s="1"/>
  <c r="C2126" i="4"/>
  <c r="D2126" i="4" s="1"/>
  <c r="E2126" i="4" s="1"/>
  <c r="D2125" i="4"/>
  <c r="E2125" i="4" s="1"/>
  <c r="C2125" i="4"/>
  <c r="C2124" i="4"/>
  <c r="D2124" i="4" s="1"/>
  <c r="E2124" i="4" s="1"/>
  <c r="C2123" i="4"/>
  <c r="D2123" i="4" s="1"/>
  <c r="E2123" i="4" s="1"/>
  <c r="C2122" i="4"/>
  <c r="D2122" i="4" s="1"/>
  <c r="E2122" i="4" s="1"/>
  <c r="D2121" i="4"/>
  <c r="E2121" i="4" s="1"/>
  <c r="C2121" i="4"/>
  <c r="E2120" i="4"/>
  <c r="C2120" i="4"/>
  <c r="D2120" i="4" s="1"/>
  <c r="C2119" i="4"/>
  <c r="D2119" i="4" s="1"/>
  <c r="E2119" i="4" s="1"/>
  <c r="C2118" i="4"/>
  <c r="D2118" i="4" s="1"/>
  <c r="E2118" i="4" s="1"/>
  <c r="D2117" i="4"/>
  <c r="E2117" i="4" s="1"/>
  <c r="C2117" i="4"/>
  <c r="C2116" i="4"/>
  <c r="D2116" i="4" s="1"/>
  <c r="E2116" i="4" s="1"/>
  <c r="C2115" i="4"/>
  <c r="D2115" i="4" s="1"/>
  <c r="E2115" i="4" s="1"/>
  <c r="C2114" i="4"/>
  <c r="D2114" i="4" s="1"/>
  <c r="E2114" i="4" s="1"/>
  <c r="D2113" i="4"/>
  <c r="E2113" i="4" s="1"/>
  <c r="C2113" i="4"/>
  <c r="E2112" i="4"/>
  <c r="C2112" i="4"/>
  <c r="D2112" i="4" s="1"/>
  <c r="C2111" i="4"/>
  <c r="D2111" i="4" s="1"/>
  <c r="E2111" i="4" s="1"/>
  <c r="C2110" i="4"/>
  <c r="D2110" i="4" s="1"/>
  <c r="E2110" i="4" s="1"/>
  <c r="D2109" i="4"/>
  <c r="E2109" i="4" s="1"/>
  <c r="C2109" i="4"/>
  <c r="C2108" i="4"/>
  <c r="D2108" i="4" s="1"/>
  <c r="E2108" i="4" s="1"/>
  <c r="D2107" i="4"/>
  <c r="E2107" i="4" s="1"/>
  <c r="C2107" i="4"/>
  <c r="C2106" i="4"/>
  <c r="D2106" i="4" s="1"/>
  <c r="E2106" i="4" s="1"/>
  <c r="D2105" i="4"/>
  <c r="E2105" i="4" s="1"/>
  <c r="C2105" i="4"/>
  <c r="C2104" i="4"/>
  <c r="D2104" i="4" s="1"/>
  <c r="E2104" i="4" s="1"/>
  <c r="C2103" i="4"/>
  <c r="D2103" i="4" s="1"/>
  <c r="E2103" i="4" s="1"/>
  <c r="C2102" i="4"/>
  <c r="D2102" i="4" s="1"/>
  <c r="E2102" i="4" s="1"/>
  <c r="D2101" i="4"/>
  <c r="E2101" i="4" s="1"/>
  <c r="C2101" i="4"/>
  <c r="C2100" i="4"/>
  <c r="D2100" i="4" s="1"/>
  <c r="E2100" i="4" s="1"/>
  <c r="D2099" i="4"/>
  <c r="E2099" i="4" s="1"/>
  <c r="C2099" i="4"/>
  <c r="C2098" i="4"/>
  <c r="D2098" i="4" s="1"/>
  <c r="E2098" i="4" s="1"/>
  <c r="D2097" i="4"/>
  <c r="E2097" i="4" s="1"/>
  <c r="C2097" i="4"/>
  <c r="C2096" i="4"/>
  <c r="D2096" i="4" s="1"/>
  <c r="E2096" i="4" s="1"/>
  <c r="C2095" i="4"/>
  <c r="D2095" i="4" s="1"/>
  <c r="E2095" i="4" s="1"/>
  <c r="C2094" i="4"/>
  <c r="D2094" i="4" s="1"/>
  <c r="E2094" i="4" s="1"/>
  <c r="D2093" i="4"/>
  <c r="E2093" i="4" s="1"/>
  <c r="C2093" i="4"/>
  <c r="C2092" i="4"/>
  <c r="D2092" i="4" s="1"/>
  <c r="E2092" i="4" s="1"/>
  <c r="D2091" i="4"/>
  <c r="E2091" i="4" s="1"/>
  <c r="C2091" i="4"/>
  <c r="C2090" i="4"/>
  <c r="D2090" i="4" s="1"/>
  <c r="E2090" i="4" s="1"/>
  <c r="D2089" i="4"/>
  <c r="E2089" i="4" s="1"/>
  <c r="C2089" i="4"/>
  <c r="C2088" i="4"/>
  <c r="D2088" i="4" s="1"/>
  <c r="E2088" i="4" s="1"/>
  <c r="C2087" i="4"/>
  <c r="D2087" i="4" s="1"/>
  <c r="E2087" i="4" s="1"/>
  <c r="C2086" i="4"/>
  <c r="D2086" i="4" s="1"/>
  <c r="E2086" i="4" s="1"/>
  <c r="D2085" i="4"/>
  <c r="E2085" i="4" s="1"/>
  <c r="C2085" i="4"/>
  <c r="C2084" i="4"/>
  <c r="D2084" i="4" s="1"/>
  <c r="E2084" i="4" s="1"/>
  <c r="D2083" i="4"/>
  <c r="E2083" i="4" s="1"/>
  <c r="C2083" i="4"/>
  <c r="C2082" i="4"/>
  <c r="D2082" i="4" s="1"/>
  <c r="E2082" i="4" s="1"/>
  <c r="D2081" i="4"/>
  <c r="E2081" i="4" s="1"/>
  <c r="C2081" i="4"/>
  <c r="C2080" i="4"/>
  <c r="D2080" i="4" s="1"/>
  <c r="E2080" i="4" s="1"/>
  <c r="C2079" i="4"/>
  <c r="D2079" i="4" s="1"/>
  <c r="E2079" i="4" s="1"/>
  <c r="C2078" i="4"/>
  <c r="D2078" i="4" s="1"/>
  <c r="E2078" i="4" s="1"/>
  <c r="D2077" i="4"/>
  <c r="E2077" i="4" s="1"/>
  <c r="C2077" i="4"/>
  <c r="C2076" i="4"/>
  <c r="D2076" i="4" s="1"/>
  <c r="E2076" i="4" s="1"/>
  <c r="D2075" i="4"/>
  <c r="E2075" i="4" s="1"/>
  <c r="C2075" i="4"/>
  <c r="C2074" i="4"/>
  <c r="D2074" i="4" s="1"/>
  <c r="E2074" i="4" s="1"/>
  <c r="D2073" i="4"/>
  <c r="E2073" i="4" s="1"/>
  <c r="C2073" i="4"/>
  <c r="C2072" i="4"/>
  <c r="D2072" i="4" s="1"/>
  <c r="E2072" i="4" s="1"/>
  <c r="C2071" i="4"/>
  <c r="D2071" i="4" s="1"/>
  <c r="E2071" i="4" s="1"/>
  <c r="C2070" i="4"/>
  <c r="D2070" i="4" s="1"/>
  <c r="E2070" i="4" s="1"/>
  <c r="D2069" i="4"/>
  <c r="E2069" i="4" s="1"/>
  <c r="C2069" i="4"/>
  <c r="C2068" i="4"/>
  <c r="D2068" i="4" s="1"/>
  <c r="E2068" i="4" s="1"/>
  <c r="D2067" i="4"/>
  <c r="E2067" i="4" s="1"/>
  <c r="C2067" i="4"/>
  <c r="C2066" i="4"/>
  <c r="D2066" i="4" s="1"/>
  <c r="E2066" i="4" s="1"/>
  <c r="D2065" i="4"/>
  <c r="E2065" i="4" s="1"/>
  <c r="C2065" i="4"/>
  <c r="C2064" i="4"/>
  <c r="D2064" i="4" s="1"/>
  <c r="E2064" i="4" s="1"/>
  <c r="C2063" i="4"/>
  <c r="D2063" i="4" s="1"/>
  <c r="E2063" i="4" s="1"/>
  <c r="C2062" i="4"/>
  <c r="D2062" i="4" s="1"/>
  <c r="E2062" i="4" s="1"/>
  <c r="D2061" i="4"/>
  <c r="E2061" i="4" s="1"/>
  <c r="C2061" i="4"/>
  <c r="C2060" i="4"/>
  <c r="D2060" i="4" s="1"/>
  <c r="E2060" i="4" s="1"/>
  <c r="D2059" i="4"/>
  <c r="E2059" i="4" s="1"/>
  <c r="C2059" i="4"/>
  <c r="C2058" i="4"/>
  <c r="D2058" i="4" s="1"/>
  <c r="E2058" i="4" s="1"/>
  <c r="D2057" i="4"/>
  <c r="E2057" i="4" s="1"/>
  <c r="C2057" i="4"/>
  <c r="C2056" i="4"/>
  <c r="D2056" i="4" s="1"/>
  <c r="E2056" i="4" s="1"/>
  <c r="C2055" i="4"/>
  <c r="D2055" i="4" s="1"/>
  <c r="E2055" i="4" s="1"/>
  <c r="C2054" i="4"/>
  <c r="D2054" i="4" s="1"/>
  <c r="E2054" i="4" s="1"/>
  <c r="D2053" i="4"/>
  <c r="E2053" i="4" s="1"/>
  <c r="C2053" i="4"/>
  <c r="C2052" i="4"/>
  <c r="D2052" i="4" s="1"/>
  <c r="E2052" i="4" s="1"/>
  <c r="D2051" i="4"/>
  <c r="E2051" i="4" s="1"/>
  <c r="C2051" i="4"/>
  <c r="C2050" i="4"/>
  <c r="D2050" i="4" s="1"/>
  <c r="E2050" i="4" s="1"/>
  <c r="D2049" i="4"/>
  <c r="E2049" i="4" s="1"/>
  <c r="C2049" i="4"/>
  <c r="C2048" i="4"/>
  <c r="D2048" i="4" s="1"/>
  <c r="E2048" i="4" s="1"/>
  <c r="C2047" i="4"/>
  <c r="D2047" i="4" s="1"/>
  <c r="E2047" i="4" s="1"/>
  <c r="C2046" i="4"/>
  <c r="D2046" i="4" s="1"/>
  <c r="E2046" i="4" s="1"/>
  <c r="D2045" i="4"/>
  <c r="E2045" i="4" s="1"/>
  <c r="C2045" i="4"/>
  <c r="C2044" i="4"/>
  <c r="D2044" i="4" s="1"/>
  <c r="E2044" i="4" s="1"/>
  <c r="D2043" i="4"/>
  <c r="E2043" i="4" s="1"/>
  <c r="C2043" i="4"/>
  <c r="C2042" i="4"/>
  <c r="D2042" i="4" s="1"/>
  <c r="E2042" i="4" s="1"/>
  <c r="D2041" i="4"/>
  <c r="E2041" i="4" s="1"/>
  <c r="C2041" i="4"/>
  <c r="C2040" i="4"/>
  <c r="D2040" i="4" s="1"/>
  <c r="E2040" i="4" s="1"/>
  <c r="C2039" i="4"/>
  <c r="D2039" i="4" s="1"/>
  <c r="E2039" i="4" s="1"/>
  <c r="C2038" i="4"/>
  <c r="D2038" i="4" s="1"/>
  <c r="E2038" i="4" s="1"/>
  <c r="D2037" i="4"/>
  <c r="E2037" i="4" s="1"/>
  <c r="C2037" i="4"/>
  <c r="C2036" i="4"/>
  <c r="D2036" i="4" s="1"/>
  <c r="E2036" i="4" s="1"/>
  <c r="D2035" i="4"/>
  <c r="E2035" i="4" s="1"/>
  <c r="C2035" i="4"/>
  <c r="C2034" i="4"/>
  <c r="D2034" i="4" s="1"/>
  <c r="E2034" i="4" s="1"/>
  <c r="D2033" i="4"/>
  <c r="E2033" i="4" s="1"/>
  <c r="C2033" i="4"/>
  <c r="C2032" i="4"/>
  <c r="D2032" i="4" s="1"/>
  <c r="E2032" i="4" s="1"/>
  <c r="C2031" i="4"/>
  <c r="D2031" i="4" s="1"/>
  <c r="E2031" i="4" s="1"/>
  <c r="C2030" i="4"/>
  <c r="D2030" i="4" s="1"/>
  <c r="E2030" i="4" s="1"/>
  <c r="D2029" i="4"/>
  <c r="E2029" i="4" s="1"/>
  <c r="C2029" i="4"/>
  <c r="C2028" i="4"/>
  <c r="D2028" i="4" s="1"/>
  <c r="E2028" i="4" s="1"/>
  <c r="D2027" i="4"/>
  <c r="E2027" i="4" s="1"/>
  <c r="C2027" i="4"/>
  <c r="C2026" i="4"/>
  <c r="D2026" i="4" s="1"/>
  <c r="E2026" i="4" s="1"/>
  <c r="D2025" i="4"/>
  <c r="E2025" i="4" s="1"/>
  <c r="C2025" i="4"/>
  <c r="C2024" i="4"/>
  <c r="D2024" i="4" s="1"/>
  <c r="E2024" i="4" s="1"/>
  <c r="C2023" i="4"/>
  <c r="D2023" i="4" s="1"/>
  <c r="E2023" i="4" s="1"/>
  <c r="C2022" i="4"/>
  <c r="D2022" i="4" s="1"/>
  <c r="E2022" i="4" s="1"/>
  <c r="D2021" i="4"/>
  <c r="E2021" i="4" s="1"/>
  <c r="C2021" i="4"/>
  <c r="C2020" i="4"/>
  <c r="D2020" i="4" s="1"/>
  <c r="E2020" i="4" s="1"/>
  <c r="D2019" i="4"/>
  <c r="E2019" i="4" s="1"/>
  <c r="C2019" i="4"/>
  <c r="C2018" i="4"/>
  <c r="D2018" i="4" s="1"/>
  <c r="E2018" i="4" s="1"/>
  <c r="E2017" i="4"/>
  <c r="C2017" i="4"/>
  <c r="D2017" i="4" s="1"/>
  <c r="D2016" i="4"/>
  <c r="E2016" i="4" s="1"/>
  <c r="C2016" i="4"/>
  <c r="C2015" i="4"/>
  <c r="D2015" i="4" s="1"/>
  <c r="E2015" i="4" s="1"/>
  <c r="D2014" i="4"/>
  <c r="E2014" i="4" s="1"/>
  <c r="C2014" i="4"/>
  <c r="C2013" i="4"/>
  <c r="D2013" i="4" s="1"/>
  <c r="E2013" i="4" s="1"/>
  <c r="E2012" i="4"/>
  <c r="D2012" i="4"/>
  <c r="C2012" i="4"/>
  <c r="D2011" i="4"/>
  <c r="E2011" i="4" s="1"/>
  <c r="C2011" i="4"/>
  <c r="C2010" i="4"/>
  <c r="D2010" i="4" s="1"/>
  <c r="E2010" i="4" s="1"/>
  <c r="E2009" i="4"/>
  <c r="C2009" i="4"/>
  <c r="D2009" i="4" s="1"/>
  <c r="D2008" i="4"/>
  <c r="E2008" i="4" s="1"/>
  <c r="C2008" i="4"/>
  <c r="C2007" i="4"/>
  <c r="D2007" i="4" s="1"/>
  <c r="E2007" i="4" s="1"/>
  <c r="D2006" i="4"/>
  <c r="E2006" i="4" s="1"/>
  <c r="C2006" i="4"/>
  <c r="C2005" i="4"/>
  <c r="D2005" i="4" s="1"/>
  <c r="E2005" i="4" s="1"/>
  <c r="E2004" i="4"/>
  <c r="D2004" i="4"/>
  <c r="C2004" i="4"/>
  <c r="D2003" i="4"/>
  <c r="E2003" i="4" s="1"/>
  <c r="C2003" i="4"/>
  <c r="C2002" i="4"/>
  <c r="D2002" i="4" s="1"/>
  <c r="E2002" i="4" s="1"/>
  <c r="E2001" i="4"/>
  <c r="C2001" i="4"/>
  <c r="D2001" i="4" s="1"/>
  <c r="D2000" i="4"/>
  <c r="E2000" i="4" s="1"/>
  <c r="C2000" i="4"/>
  <c r="C1999" i="4"/>
  <c r="D1999" i="4" s="1"/>
  <c r="E1999" i="4" s="1"/>
  <c r="D1998" i="4"/>
  <c r="E1998" i="4" s="1"/>
  <c r="C1998" i="4"/>
  <c r="C1997" i="4"/>
  <c r="D1997" i="4" s="1"/>
  <c r="E1997" i="4" s="1"/>
  <c r="E1996" i="4"/>
  <c r="D1996" i="4"/>
  <c r="C1996" i="4"/>
  <c r="D1995" i="4"/>
  <c r="E1995" i="4" s="1"/>
  <c r="C1995" i="4"/>
  <c r="C1994" i="4"/>
  <c r="D1994" i="4" s="1"/>
  <c r="E1994" i="4" s="1"/>
  <c r="E1993" i="4"/>
  <c r="C1993" i="4"/>
  <c r="D1993" i="4" s="1"/>
  <c r="D1992" i="4"/>
  <c r="E1992" i="4" s="1"/>
  <c r="C1992" i="4"/>
  <c r="C1991" i="4"/>
  <c r="D1991" i="4" s="1"/>
  <c r="E1991" i="4" s="1"/>
  <c r="D1990" i="4"/>
  <c r="E1990" i="4" s="1"/>
  <c r="C1990" i="4"/>
  <c r="C1989" i="4"/>
  <c r="D1989" i="4" s="1"/>
  <c r="E1989" i="4" s="1"/>
  <c r="E1988" i="4"/>
  <c r="D1988" i="4"/>
  <c r="C1988" i="4"/>
  <c r="E1987" i="4"/>
  <c r="D1987" i="4"/>
  <c r="C1987" i="4"/>
  <c r="C1986" i="4"/>
  <c r="D1986" i="4" s="1"/>
  <c r="E1986" i="4" s="1"/>
  <c r="E1985" i="4"/>
  <c r="C1985" i="4"/>
  <c r="D1985" i="4" s="1"/>
  <c r="D1984" i="4"/>
  <c r="E1984" i="4" s="1"/>
  <c r="C1984" i="4"/>
  <c r="C1983" i="4"/>
  <c r="D1983" i="4" s="1"/>
  <c r="E1983" i="4" s="1"/>
  <c r="D1982" i="4"/>
  <c r="E1982" i="4" s="1"/>
  <c r="C1982" i="4"/>
  <c r="C1981" i="4"/>
  <c r="D1981" i="4" s="1"/>
  <c r="E1981" i="4" s="1"/>
  <c r="E1980" i="4"/>
  <c r="D1980" i="4"/>
  <c r="C1980" i="4"/>
  <c r="E1979" i="4"/>
  <c r="D1979" i="4"/>
  <c r="C1979" i="4"/>
  <c r="C1978" i="4"/>
  <c r="D1978" i="4" s="1"/>
  <c r="E1978" i="4" s="1"/>
  <c r="E1977" i="4"/>
  <c r="C1977" i="4"/>
  <c r="D1977" i="4" s="1"/>
  <c r="D1976" i="4"/>
  <c r="E1976" i="4" s="1"/>
  <c r="C1976" i="4"/>
  <c r="C1975" i="4"/>
  <c r="D1975" i="4" s="1"/>
  <c r="E1975" i="4" s="1"/>
  <c r="D1974" i="4"/>
  <c r="E1974" i="4" s="1"/>
  <c r="C1974" i="4"/>
  <c r="C1973" i="4"/>
  <c r="D1973" i="4" s="1"/>
  <c r="E1973" i="4" s="1"/>
  <c r="E1972" i="4"/>
  <c r="D1972" i="4"/>
  <c r="C1972" i="4"/>
  <c r="E1971" i="4"/>
  <c r="D1971" i="4"/>
  <c r="C1971" i="4"/>
  <c r="C1970" i="4"/>
  <c r="D1970" i="4" s="1"/>
  <c r="E1970" i="4" s="1"/>
  <c r="E1969" i="4"/>
  <c r="C1969" i="4"/>
  <c r="D1969" i="4" s="1"/>
  <c r="D1968" i="4"/>
  <c r="E1968" i="4" s="1"/>
  <c r="C1968" i="4"/>
  <c r="C1967" i="4"/>
  <c r="D1967" i="4" s="1"/>
  <c r="E1967" i="4" s="1"/>
  <c r="D1966" i="4"/>
  <c r="E1966" i="4" s="1"/>
  <c r="C1966" i="4"/>
  <c r="C1965" i="4"/>
  <c r="D1965" i="4" s="1"/>
  <c r="E1965" i="4" s="1"/>
  <c r="E1964" i="4"/>
  <c r="D1964" i="4"/>
  <c r="C1964" i="4"/>
  <c r="E1963" i="4"/>
  <c r="D1963" i="4"/>
  <c r="C1963" i="4"/>
  <c r="C1962" i="4"/>
  <c r="D1962" i="4" s="1"/>
  <c r="E1962" i="4" s="1"/>
  <c r="E1961" i="4"/>
  <c r="C1961" i="4"/>
  <c r="D1961" i="4" s="1"/>
  <c r="D1960" i="4"/>
  <c r="E1960" i="4" s="1"/>
  <c r="C1960" i="4"/>
  <c r="C1959" i="4"/>
  <c r="D1959" i="4" s="1"/>
  <c r="E1959" i="4" s="1"/>
  <c r="D1958" i="4"/>
  <c r="E1958" i="4" s="1"/>
  <c r="C1958" i="4"/>
  <c r="D1957" i="4"/>
  <c r="E1957" i="4" s="1"/>
  <c r="C1957" i="4"/>
  <c r="C1956" i="4"/>
  <c r="D1956" i="4" s="1"/>
  <c r="E1956" i="4" s="1"/>
  <c r="E1955" i="4"/>
  <c r="D1955" i="4"/>
  <c r="C1955" i="4"/>
  <c r="E1954" i="4"/>
  <c r="D1954" i="4"/>
  <c r="C1954" i="4"/>
  <c r="D1953" i="4"/>
  <c r="E1953" i="4" s="1"/>
  <c r="C1953" i="4"/>
  <c r="C1952" i="4"/>
  <c r="D1952" i="4" s="1"/>
  <c r="E1952" i="4" s="1"/>
  <c r="E1951" i="4"/>
  <c r="D1951" i="4"/>
  <c r="C1951" i="4"/>
  <c r="E1950" i="4"/>
  <c r="D1950" i="4"/>
  <c r="C1950" i="4"/>
  <c r="D1949" i="4"/>
  <c r="E1949" i="4" s="1"/>
  <c r="C1949" i="4"/>
  <c r="C1948" i="4"/>
  <c r="D1948" i="4" s="1"/>
  <c r="E1948" i="4" s="1"/>
  <c r="E1947" i="4"/>
  <c r="D1947" i="4"/>
  <c r="C1947" i="4"/>
  <c r="E1946" i="4"/>
  <c r="D1946" i="4"/>
  <c r="C1946" i="4"/>
  <c r="D1945" i="4"/>
  <c r="E1945" i="4" s="1"/>
  <c r="C1945" i="4"/>
  <c r="C1944" i="4"/>
  <c r="D1944" i="4" s="1"/>
  <c r="E1944" i="4" s="1"/>
  <c r="E1943" i="4"/>
  <c r="D1943" i="4"/>
  <c r="C1943" i="4"/>
  <c r="E1942" i="4"/>
  <c r="D1942" i="4"/>
  <c r="C1942" i="4"/>
  <c r="D1941" i="4"/>
  <c r="E1941" i="4" s="1"/>
  <c r="C1941" i="4"/>
  <c r="C1940" i="4"/>
  <c r="D1940" i="4" s="1"/>
  <c r="E1940" i="4" s="1"/>
  <c r="E1939" i="4"/>
  <c r="D1939" i="4"/>
  <c r="C1939" i="4"/>
  <c r="E1938" i="4"/>
  <c r="D1938" i="4"/>
  <c r="C1938" i="4"/>
  <c r="D1937" i="4"/>
  <c r="E1937" i="4" s="1"/>
  <c r="C1937" i="4"/>
  <c r="C1936" i="4"/>
  <c r="D1936" i="4" s="1"/>
  <c r="E1936" i="4" s="1"/>
  <c r="E1935" i="4"/>
  <c r="D1935" i="4"/>
  <c r="C1935" i="4"/>
  <c r="E1934" i="4"/>
  <c r="D1934" i="4"/>
  <c r="C1934" i="4"/>
  <c r="D1933" i="4"/>
  <c r="E1933" i="4" s="1"/>
  <c r="C1933" i="4"/>
  <c r="C1932" i="4"/>
  <c r="D1932" i="4" s="1"/>
  <c r="E1932" i="4" s="1"/>
  <c r="E1931" i="4"/>
  <c r="D1931" i="4"/>
  <c r="C1931" i="4"/>
  <c r="E1930" i="4"/>
  <c r="D1930" i="4"/>
  <c r="C1930" i="4"/>
  <c r="D1929" i="4"/>
  <c r="E1929" i="4" s="1"/>
  <c r="C1929" i="4"/>
  <c r="C1928" i="4"/>
  <c r="D1928" i="4" s="1"/>
  <c r="E1928" i="4" s="1"/>
  <c r="E1927" i="4"/>
  <c r="D1927" i="4"/>
  <c r="C1927" i="4"/>
  <c r="E1926" i="4"/>
  <c r="D1926" i="4"/>
  <c r="C1926" i="4"/>
  <c r="D1925" i="4"/>
  <c r="E1925" i="4" s="1"/>
  <c r="C1925" i="4"/>
  <c r="C1924" i="4"/>
  <c r="D1924" i="4" s="1"/>
  <c r="E1924" i="4" s="1"/>
  <c r="E1923" i="4"/>
  <c r="D1923" i="4"/>
  <c r="C1923" i="4"/>
  <c r="E1922" i="4"/>
  <c r="D1922" i="4"/>
  <c r="C1922" i="4"/>
  <c r="D1921" i="4"/>
  <c r="E1921" i="4" s="1"/>
  <c r="C1921" i="4"/>
  <c r="C1920" i="4"/>
  <c r="D1920" i="4" s="1"/>
  <c r="E1920" i="4" s="1"/>
  <c r="E1919" i="4"/>
  <c r="D1919" i="4"/>
  <c r="C1919" i="4"/>
  <c r="E1918" i="4"/>
  <c r="D1918" i="4"/>
  <c r="C1918" i="4"/>
  <c r="D1917" i="4"/>
  <c r="E1917" i="4" s="1"/>
  <c r="C1917" i="4"/>
  <c r="C1916" i="4"/>
  <c r="D1916" i="4" s="1"/>
  <c r="E1916" i="4" s="1"/>
  <c r="E1915" i="4"/>
  <c r="D1915" i="4"/>
  <c r="C1915" i="4"/>
  <c r="E1914" i="4"/>
  <c r="D1914" i="4"/>
  <c r="C1914" i="4"/>
  <c r="D1913" i="4"/>
  <c r="E1913" i="4" s="1"/>
  <c r="C1913" i="4"/>
  <c r="C1912" i="4"/>
  <c r="D1912" i="4" s="1"/>
  <c r="E1912" i="4" s="1"/>
  <c r="E1911" i="4"/>
  <c r="D1911" i="4"/>
  <c r="C1911" i="4"/>
  <c r="E1910" i="4"/>
  <c r="D1910" i="4"/>
  <c r="C1910" i="4"/>
  <c r="D1909" i="4"/>
  <c r="E1909" i="4" s="1"/>
  <c r="C1909" i="4"/>
  <c r="C1908" i="4"/>
  <c r="D1908" i="4" s="1"/>
  <c r="E1908" i="4" s="1"/>
  <c r="E1907" i="4"/>
  <c r="D1907" i="4"/>
  <c r="C1907" i="4"/>
  <c r="E1906" i="4"/>
  <c r="D1906" i="4"/>
  <c r="C1906" i="4"/>
  <c r="D1905" i="4"/>
  <c r="E1905" i="4" s="1"/>
  <c r="C1905" i="4"/>
  <c r="C1904" i="4"/>
  <c r="D1904" i="4" s="1"/>
  <c r="E1904" i="4" s="1"/>
  <c r="E1903" i="4"/>
  <c r="D1903" i="4"/>
  <c r="C1903" i="4"/>
  <c r="E1902" i="4"/>
  <c r="D1902" i="4"/>
  <c r="C1902" i="4"/>
  <c r="D1901" i="4"/>
  <c r="E1901" i="4" s="1"/>
  <c r="C1901" i="4"/>
  <c r="C1900" i="4"/>
  <c r="D1900" i="4" s="1"/>
  <c r="E1900" i="4" s="1"/>
  <c r="E1899" i="4"/>
  <c r="D1899" i="4"/>
  <c r="C1899" i="4"/>
  <c r="E1898" i="4"/>
  <c r="D1898" i="4"/>
  <c r="C1898" i="4"/>
  <c r="D1897" i="4"/>
  <c r="E1897" i="4" s="1"/>
  <c r="C1897" i="4"/>
  <c r="C1896" i="4"/>
  <c r="D1896" i="4" s="1"/>
  <c r="E1896" i="4" s="1"/>
  <c r="E1895" i="4"/>
  <c r="D1895" i="4"/>
  <c r="C1895" i="4"/>
  <c r="E1894" i="4"/>
  <c r="D1894" i="4"/>
  <c r="C1894" i="4"/>
  <c r="D1893" i="4"/>
  <c r="E1893" i="4" s="1"/>
  <c r="C1893" i="4"/>
  <c r="C1892" i="4"/>
  <c r="D1892" i="4" s="1"/>
  <c r="E1892" i="4" s="1"/>
  <c r="E1891" i="4"/>
  <c r="D1891" i="4"/>
  <c r="C1891" i="4"/>
  <c r="E1890" i="4"/>
  <c r="D1890" i="4"/>
  <c r="C1890" i="4"/>
  <c r="D1889" i="4"/>
  <c r="E1889" i="4" s="1"/>
  <c r="C1889" i="4"/>
  <c r="C1888" i="4"/>
  <c r="D1888" i="4" s="1"/>
  <c r="E1888" i="4" s="1"/>
  <c r="E1887" i="4"/>
  <c r="D1887" i="4"/>
  <c r="C1887" i="4"/>
  <c r="E1886" i="4"/>
  <c r="D1886" i="4"/>
  <c r="C1886" i="4"/>
  <c r="D1885" i="4"/>
  <c r="E1885" i="4" s="1"/>
  <c r="C1885" i="4"/>
  <c r="C1884" i="4"/>
  <c r="D1884" i="4" s="1"/>
  <c r="E1884" i="4" s="1"/>
  <c r="E1883" i="4"/>
  <c r="D1883" i="4"/>
  <c r="C1883" i="4"/>
  <c r="E1882" i="4"/>
  <c r="D1882" i="4"/>
  <c r="C1882" i="4"/>
  <c r="D1881" i="4"/>
  <c r="E1881" i="4" s="1"/>
  <c r="C1881" i="4"/>
  <c r="C1880" i="4"/>
  <c r="D1880" i="4" s="1"/>
  <c r="E1880" i="4" s="1"/>
  <c r="E1879" i="4"/>
  <c r="D1879" i="4"/>
  <c r="C1879" i="4"/>
  <c r="E1878" i="4"/>
  <c r="D1878" i="4"/>
  <c r="C1878" i="4"/>
  <c r="D1877" i="4"/>
  <c r="E1877" i="4" s="1"/>
  <c r="C1877" i="4"/>
  <c r="C1876" i="4"/>
  <c r="D1876" i="4" s="1"/>
  <c r="E1876" i="4" s="1"/>
  <c r="E1875" i="4"/>
  <c r="D1875" i="4"/>
  <c r="C1875" i="4"/>
  <c r="E1874" i="4"/>
  <c r="D1874" i="4"/>
  <c r="C1874" i="4"/>
  <c r="D1873" i="4"/>
  <c r="E1873" i="4" s="1"/>
  <c r="C1873" i="4"/>
  <c r="C1872" i="4"/>
  <c r="D1872" i="4" s="1"/>
  <c r="E1872" i="4" s="1"/>
  <c r="E1871" i="4"/>
  <c r="D1871" i="4"/>
  <c r="C1871" i="4"/>
  <c r="E1870" i="4"/>
  <c r="D1870" i="4"/>
  <c r="C1870" i="4"/>
  <c r="D1869" i="4"/>
  <c r="E1869" i="4" s="1"/>
  <c r="C1869" i="4"/>
  <c r="C1868" i="4"/>
  <c r="D1868" i="4" s="1"/>
  <c r="E1868" i="4" s="1"/>
  <c r="E1867" i="4"/>
  <c r="D1867" i="4"/>
  <c r="C1867" i="4"/>
  <c r="E1866" i="4"/>
  <c r="D1866" i="4"/>
  <c r="C1866" i="4"/>
  <c r="D1865" i="4"/>
  <c r="E1865" i="4" s="1"/>
  <c r="C1865" i="4"/>
  <c r="C1864" i="4"/>
  <c r="D1864" i="4" s="1"/>
  <c r="E1864" i="4" s="1"/>
  <c r="E1863" i="4"/>
  <c r="D1863" i="4"/>
  <c r="C1863" i="4"/>
  <c r="E1862" i="4"/>
  <c r="D1862" i="4"/>
  <c r="C1862" i="4"/>
  <c r="D1861" i="4"/>
  <c r="E1861" i="4" s="1"/>
  <c r="C1861" i="4"/>
  <c r="C1860" i="4"/>
  <c r="D1860" i="4" s="1"/>
  <c r="E1860" i="4" s="1"/>
  <c r="E1859" i="4"/>
  <c r="D1859" i="4"/>
  <c r="C1859" i="4"/>
  <c r="E1858" i="4"/>
  <c r="D1858" i="4"/>
  <c r="C1858" i="4"/>
  <c r="D1857" i="4"/>
  <c r="E1857" i="4" s="1"/>
  <c r="C1857" i="4"/>
  <c r="C1856" i="4"/>
  <c r="D1856" i="4" s="1"/>
  <c r="E1856" i="4" s="1"/>
  <c r="E1855" i="4"/>
  <c r="D1855" i="4"/>
  <c r="C1855" i="4"/>
  <c r="E1854" i="4"/>
  <c r="D1854" i="4"/>
  <c r="C1854" i="4"/>
  <c r="D1853" i="4"/>
  <c r="E1853" i="4" s="1"/>
  <c r="C1853" i="4"/>
  <c r="C1852" i="4"/>
  <c r="D1852" i="4" s="1"/>
  <c r="E1852" i="4" s="1"/>
  <c r="E1851" i="4"/>
  <c r="D1851" i="4"/>
  <c r="C1851" i="4"/>
  <c r="E1850" i="4"/>
  <c r="D1850" i="4"/>
  <c r="C1850" i="4"/>
  <c r="D1849" i="4"/>
  <c r="E1849" i="4" s="1"/>
  <c r="C1849" i="4"/>
  <c r="C1848" i="4"/>
  <c r="D1848" i="4" s="1"/>
  <c r="E1848" i="4" s="1"/>
  <c r="E1847" i="4"/>
  <c r="D1847" i="4"/>
  <c r="C1847" i="4"/>
  <c r="E1846" i="4"/>
  <c r="D1846" i="4"/>
  <c r="C1846" i="4"/>
  <c r="D1845" i="4"/>
  <c r="E1845" i="4" s="1"/>
  <c r="C1845" i="4"/>
  <c r="C1844" i="4"/>
  <c r="D1844" i="4" s="1"/>
  <c r="E1844" i="4" s="1"/>
  <c r="E1843" i="4"/>
  <c r="D1843" i="4"/>
  <c r="C1843" i="4"/>
  <c r="E1842" i="4"/>
  <c r="D1842" i="4"/>
  <c r="C1842" i="4"/>
  <c r="D1841" i="4"/>
  <c r="E1841" i="4" s="1"/>
  <c r="C1841" i="4"/>
  <c r="C1840" i="4"/>
  <c r="D1840" i="4" s="1"/>
  <c r="E1840" i="4" s="1"/>
  <c r="E1839" i="4"/>
  <c r="D1839" i="4"/>
  <c r="C1839" i="4"/>
  <c r="E1838" i="4"/>
  <c r="D1838" i="4"/>
  <c r="C1838" i="4"/>
  <c r="D1837" i="4"/>
  <c r="E1837" i="4" s="1"/>
  <c r="C1837" i="4"/>
  <c r="C1836" i="4"/>
  <c r="D1836" i="4" s="1"/>
  <c r="E1836" i="4" s="1"/>
  <c r="E1835" i="4"/>
  <c r="D1835" i="4"/>
  <c r="C1835" i="4"/>
  <c r="E1834" i="4"/>
  <c r="D1834" i="4"/>
  <c r="C1834" i="4"/>
  <c r="D1833" i="4"/>
  <c r="E1833" i="4" s="1"/>
  <c r="C1833" i="4"/>
  <c r="C1832" i="4"/>
  <c r="D1832" i="4" s="1"/>
  <c r="E1832" i="4" s="1"/>
  <c r="E1831" i="4"/>
  <c r="D1831" i="4"/>
  <c r="C1831" i="4"/>
  <c r="E1830" i="4"/>
  <c r="D1830" i="4"/>
  <c r="C1830" i="4"/>
  <c r="D1829" i="4"/>
  <c r="E1829" i="4" s="1"/>
  <c r="C1829" i="4"/>
  <c r="C1828" i="4"/>
  <c r="D1828" i="4" s="1"/>
  <c r="E1828" i="4" s="1"/>
  <c r="E1827" i="4"/>
  <c r="D1827" i="4"/>
  <c r="C1827" i="4"/>
  <c r="E1826" i="4"/>
  <c r="D1826" i="4"/>
  <c r="C1826" i="4"/>
  <c r="D1825" i="4"/>
  <c r="E1825" i="4" s="1"/>
  <c r="C1825" i="4"/>
  <c r="C1824" i="4"/>
  <c r="D1824" i="4" s="1"/>
  <c r="E1824" i="4" s="1"/>
  <c r="E1823" i="4"/>
  <c r="D1823" i="4"/>
  <c r="C1823" i="4"/>
  <c r="E1822" i="4"/>
  <c r="D1822" i="4"/>
  <c r="C1822" i="4"/>
  <c r="D1821" i="4"/>
  <c r="E1821" i="4" s="1"/>
  <c r="C1821" i="4"/>
  <c r="C1820" i="4"/>
  <c r="D1820" i="4" s="1"/>
  <c r="E1820" i="4" s="1"/>
  <c r="E1819" i="4"/>
  <c r="D1819" i="4"/>
  <c r="C1819" i="4"/>
  <c r="E1818" i="4"/>
  <c r="D1818" i="4"/>
  <c r="C1818" i="4"/>
  <c r="D1817" i="4"/>
  <c r="E1817" i="4" s="1"/>
  <c r="C1817" i="4"/>
  <c r="C1816" i="4"/>
  <c r="D1816" i="4" s="1"/>
  <c r="E1816" i="4" s="1"/>
  <c r="E1815" i="4"/>
  <c r="D1815" i="4"/>
  <c r="C1815" i="4"/>
  <c r="E1814" i="4"/>
  <c r="D1814" i="4"/>
  <c r="C1814" i="4"/>
  <c r="D1813" i="4"/>
  <c r="E1813" i="4" s="1"/>
  <c r="C1813" i="4"/>
  <c r="C1812" i="4"/>
  <c r="D1812" i="4" s="1"/>
  <c r="E1812" i="4" s="1"/>
  <c r="E1811" i="4"/>
  <c r="D1811" i="4"/>
  <c r="C1811" i="4"/>
  <c r="E1810" i="4"/>
  <c r="D1810" i="4"/>
  <c r="C1810" i="4"/>
  <c r="D1809" i="4"/>
  <c r="E1809" i="4" s="1"/>
  <c r="C1809" i="4"/>
  <c r="C1808" i="4"/>
  <c r="D1808" i="4" s="1"/>
  <c r="E1808" i="4" s="1"/>
  <c r="E1807" i="4"/>
  <c r="D1807" i="4"/>
  <c r="C1807" i="4"/>
  <c r="E1806" i="4"/>
  <c r="D1806" i="4"/>
  <c r="C1806" i="4"/>
  <c r="D1805" i="4"/>
  <c r="E1805" i="4" s="1"/>
  <c r="C1805" i="4"/>
  <c r="C1804" i="4"/>
  <c r="D1804" i="4" s="1"/>
  <c r="E1804" i="4" s="1"/>
  <c r="E1803" i="4"/>
  <c r="D1803" i="4"/>
  <c r="C1803" i="4"/>
  <c r="E1802" i="4"/>
  <c r="D1802" i="4"/>
  <c r="C1802" i="4"/>
  <c r="D1801" i="4"/>
  <c r="E1801" i="4" s="1"/>
  <c r="C1801" i="4"/>
  <c r="C1800" i="4"/>
  <c r="D1800" i="4" s="1"/>
  <c r="E1800" i="4" s="1"/>
  <c r="E1799" i="4"/>
  <c r="D1799" i="4"/>
  <c r="C1799" i="4"/>
  <c r="E1798" i="4"/>
  <c r="D1798" i="4"/>
  <c r="C1798" i="4"/>
  <c r="D1797" i="4"/>
  <c r="E1797" i="4" s="1"/>
  <c r="C1797" i="4"/>
  <c r="C1796" i="4"/>
  <c r="D1796" i="4" s="1"/>
  <c r="E1796" i="4" s="1"/>
  <c r="E1795" i="4"/>
  <c r="D1795" i="4"/>
  <c r="C1795" i="4"/>
  <c r="E1794" i="4"/>
  <c r="D1794" i="4"/>
  <c r="C1794" i="4"/>
  <c r="D1793" i="4"/>
  <c r="E1793" i="4" s="1"/>
  <c r="C1793" i="4"/>
  <c r="C1792" i="4"/>
  <c r="D1792" i="4" s="1"/>
  <c r="E1792" i="4" s="1"/>
  <c r="E1791" i="4"/>
  <c r="D1791" i="4"/>
  <c r="C1791" i="4"/>
  <c r="E1790" i="4"/>
  <c r="D1790" i="4"/>
  <c r="C1790" i="4"/>
  <c r="D1789" i="4"/>
  <c r="E1789" i="4" s="1"/>
  <c r="C1789" i="4"/>
  <c r="C1788" i="4"/>
  <c r="D1788" i="4" s="1"/>
  <c r="E1788" i="4" s="1"/>
  <c r="E1787" i="4"/>
  <c r="D1787" i="4"/>
  <c r="C1787" i="4"/>
  <c r="E1786" i="4"/>
  <c r="D1786" i="4"/>
  <c r="C1786" i="4"/>
  <c r="D1785" i="4"/>
  <c r="E1785" i="4" s="1"/>
  <c r="C1785" i="4"/>
  <c r="C1784" i="4"/>
  <c r="D1784" i="4" s="1"/>
  <c r="E1784" i="4" s="1"/>
  <c r="E1783" i="4"/>
  <c r="D1783" i="4"/>
  <c r="C1783" i="4"/>
  <c r="E1782" i="4"/>
  <c r="D1782" i="4"/>
  <c r="C1782" i="4"/>
  <c r="D1781" i="4"/>
  <c r="E1781" i="4" s="1"/>
  <c r="C1781" i="4"/>
  <c r="C1780" i="4"/>
  <c r="D1780" i="4" s="1"/>
  <c r="E1780" i="4" s="1"/>
  <c r="E1779" i="4"/>
  <c r="D1779" i="4"/>
  <c r="C1779" i="4"/>
  <c r="E1778" i="4"/>
  <c r="D1778" i="4"/>
  <c r="C1778" i="4"/>
  <c r="D1777" i="4"/>
  <c r="E1777" i="4" s="1"/>
  <c r="C1777" i="4"/>
  <c r="C1776" i="4"/>
  <c r="D1776" i="4" s="1"/>
  <c r="E1776" i="4" s="1"/>
  <c r="E1775" i="4"/>
  <c r="D1775" i="4"/>
  <c r="C1775" i="4"/>
  <c r="E1774" i="4"/>
  <c r="D1774" i="4"/>
  <c r="C1774" i="4"/>
  <c r="D1773" i="4"/>
  <c r="E1773" i="4" s="1"/>
  <c r="C1773" i="4"/>
  <c r="C1772" i="4"/>
  <c r="D1772" i="4" s="1"/>
  <c r="E1772" i="4" s="1"/>
  <c r="E1771" i="4"/>
  <c r="D1771" i="4"/>
  <c r="C1771" i="4"/>
  <c r="E1770" i="4"/>
  <c r="D1770" i="4"/>
  <c r="C1770" i="4"/>
  <c r="D1769" i="4"/>
  <c r="E1769" i="4" s="1"/>
  <c r="C1769" i="4"/>
  <c r="C1768" i="4"/>
  <c r="D1768" i="4" s="1"/>
  <c r="E1768" i="4" s="1"/>
  <c r="E1767" i="4"/>
  <c r="D1767" i="4"/>
  <c r="C1767" i="4"/>
  <c r="E1766" i="4"/>
  <c r="D1766" i="4"/>
  <c r="C1766" i="4"/>
  <c r="D1765" i="4"/>
  <c r="E1765" i="4" s="1"/>
  <c r="C1765" i="4"/>
  <c r="C1764" i="4"/>
  <c r="D1764" i="4" s="1"/>
  <c r="E1764" i="4" s="1"/>
  <c r="E1763" i="4"/>
  <c r="D1763" i="4"/>
  <c r="C1763" i="4"/>
  <c r="E1762" i="4"/>
  <c r="D1762" i="4"/>
  <c r="C1762" i="4"/>
  <c r="D1761" i="4"/>
  <c r="E1761" i="4" s="1"/>
  <c r="C1761" i="4"/>
  <c r="C1760" i="4"/>
  <c r="D1760" i="4" s="1"/>
  <c r="E1760" i="4" s="1"/>
  <c r="E1759" i="4"/>
  <c r="D1759" i="4"/>
  <c r="C1759" i="4"/>
  <c r="E1758" i="4"/>
  <c r="D1758" i="4"/>
  <c r="C1758" i="4"/>
  <c r="D1757" i="4"/>
  <c r="E1757" i="4" s="1"/>
  <c r="C1757" i="4"/>
  <c r="C1756" i="4"/>
  <c r="D1756" i="4" s="1"/>
  <c r="E1756" i="4" s="1"/>
  <c r="E1755" i="4"/>
  <c r="D1755" i="4"/>
  <c r="C1755" i="4"/>
  <c r="E1754" i="4"/>
  <c r="D1754" i="4"/>
  <c r="C1754" i="4"/>
  <c r="D1753" i="4"/>
  <c r="E1753" i="4" s="1"/>
  <c r="C1753" i="4"/>
  <c r="C1752" i="4"/>
  <c r="D1752" i="4" s="1"/>
  <c r="E1752" i="4" s="1"/>
  <c r="E1751" i="4"/>
  <c r="D1751" i="4"/>
  <c r="C1751" i="4"/>
  <c r="E1750" i="4"/>
  <c r="D1750" i="4"/>
  <c r="C1750" i="4"/>
  <c r="D1749" i="4"/>
  <c r="E1749" i="4" s="1"/>
  <c r="C1749" i="4"/>
  <c r="C1748" i="4"/>
  <c r="D1748" i="4" s="1"/>
  <c r="E1748" i="4" s="1"/>
  <c r="E1747" i="4"/>
  <c r="D1747" i="4"/>
  <c r="C1747" i="4"/>
  <c r="E1746" i="4"/>
  <c r="D1746" i="4"/>
  <c r="C1746" i="4"/>
  <c r="D1745" i="4"/>
  <c r="E1745" i="4" s="1"/>
  <c r="C1745" i="4"/>
  <c r="C1744" i="4"/>
  <c r="D1744" i="4" s="1"/>
  <c r="E1744" i="4" s="1"/>
  <c r="E1743" i="4"/>
  <c r="D1743" i="4"/>
  <c r="C1743" i="4"/>
  <c r="E1742" i="4"/>
  <c r="D1742" i="4"/>
  <c r="C1742" i="4"/>
  <c r="D1741" i="4"/>
  <c r="E1741" i="4" s="1"/>
  <c r="C1741" i="4"/>
  <c r="C1740" i="4"/>
  <c r="D1740" i="4" s="1"/>
  <c r="E1740" i="4" s="1"/>
  <c r="E1739" i="4"/>
  <c r="D1739" i="4"/>
  <c r="C1739" i="4"/>
  <c r="E1738" i="4"/>
  <c r="D1738" i="4"/>
  <c r="C1738" i="4"/>
  <c r="D1737" i="4"/>
  <c r="E1737" i="4" s="1"/>
  <c r="C1737" i="4"/>
  <c r="C1736" i="4"/>
  <c r="D1736" i="4" s="1"/>
  <c r="E1736" i="4" s="1"/>
  <c r="E1735" i="4"/>
  <c r="D1735" i="4"/>
  <c r="C1735" i="4"/>
  <c r="E1734" i="4"/>
  <c r="D1734" i="4"/>
  <c r="C1734" i="4"/>
  <c r="D1733" i="4"/>
  <c r="E1733" i="4" s="1"/>
  <c r="C1733" i="4"/>
  <c r="C1732" i="4"/>
  <c r="D1732" i="4" s="1"/>
  <c r="E1732" i="4" s="1"/>
  <c r="E1731" i="4"/>
  <c r="D1731" i="4"/>
  <c r="C1731" i="4"/>
  <c r="E1730" i="4"/>
  <c r="D1730" i="4"/>
  <c r="C1730" i="4"/>
  <c r="D1729" i="4"/>
  <c r="E1729" i="4" s="1"/>
  <c r="C1729" i="4"/>
  <c r="C1728" i="4"/>
  <c r="D1728" i="4" s="1"/>
  <c r="E1728" i="4" s="1"/>
  <c r="E1727" i="4"/>
  <c r="D1727" i="4"/>
  <c r="C1727" i="4"/>
  <c r="E1726" i="4"/>
  <c r="D1726" i="4"/>
  <c r="C1726" i="4"/>
  <c r="D1725" i="4"/>
  <c r="E1725" i="4" s="1"/>
  <c r="C1725" i="4"/>
  <c r="C1724" i="4"/>
  <c r="D1724" i="4" s="1"/>
  <c r="E1724" i="4" s="1"/>
  <c r="E1723" i="4"/>
  <c r="D1723" i="4"/>
  <c r="C1723" i="4"/>
  <c r="E1722" i="4"/>
  <c r="D1722" i="4"/>
  <c r="C1722" i="4"/>
  <c r="D1721" i="4"/>
  <c r="E1721" i="4" s="1"/>
  <c r="C1721" i="4"/>
  <c r="C1720" i="4"/>
  <c r="D1720" i="4" s="1"/>
  <c r="E1720" i="4" s="1"/>
  <c r="E1719" i="4"/>
  <c r="D1719" i="4"/>
  <c r="C1719" i="4"/>
  <c r="E1718" i="4"/>
  <c r="D1718" i="4"/>
  <c r="C1718" i="4"/>
  <c r="D1717" i="4"/>
  <c r="E1717" i="4" s="1"/>
  <c r="C1717" i="4"/>
  <c r="C1716" i="4"/>
  <c r="D1716" i="4" s="1"/>
  <c r="E1716" i="4" s="1"/>
  <c r="E1715" i="4"/>
  <c r="D1715" i="4"/>
  <c r="C1715" i="4"/>
  <c r="E1714" i="4"/>
  <c r="D1714" i="4"/>
  <c r="C1714" i="4"/>
  <c r="D1713" i="4"/>
  <c r="E1713" i="4" s="1"/>
  <c r="C1713" i="4"/>
  <c r="C1712" i="4"/>
  <c r="D1712" i="4" s="1"/>
  <c r="E1712" i="4" s="1"/>
  <c r="E1711" i="4"/>
  <c r="D1711" i="4"/>
  <c r="C1711" i="4"/>
  <c r="E1710" i="4"/>
  <c r="D1710" i="4"/>
  <c r="C1710" i="4"/>
  <c r="D1709" i="4"/>
  <c r="E1709" i="4" s="1"/>
  <c r="C1709" i="4"/>
  <c r="C1708" i="4"/>
  <c r="D1708" i="4" s="1"/>
  <c r="E1708" i="4" s="1"/>
  <c r="E1707" i="4"/>
  <c r="D1707" i="4"/>
  <c r="C1707" i="4"/>
  <c r="E1706" i="4"/>
  <c r="D1706" i="4"/>
  <c r="C1706" i="4"/>
  <c r="D1705" i="4"/>
  <c r="E1705" i="4" s="1"/>
  <c r="C1705" i="4"/>
  <c r="C1704" i="4"/>
  <c r="D1704" i="4" s="1"/>
  <c r="E1704" i="4" s="1"/>
  <c r="E1703" i="4"/>
  <c r="D1703" i="4"/>
  <c r="C1703" i="4"/>
  <c r="E1702" i="4"/>
  <c r="D1702" i="4"/>
  <c r="C1702" i="4"/>
  <c r="D1701" i="4"/>
  <c r="E1701" i="4" s="1"/>
  <c r="C1701" i="4"/>
  <c r="C1700" i="4"/>
  <c r="D1700" i="4" s="1"/>
  <c r="E1700" i="4" s="1"/>
  <c r="E1699" i="4"/>
  <c r="D1699" i="4"/>
  <c r="C1699" i="4"/>
  <c r="E1698" i="4"/>
  <c r="D1698" i="4"/>
  <c r="C1698" i="4"/>
  <c r="D1697" i="4"/>
  <c r="E1697" i="4" s="1"/>
  <c r="C1697" i="4"/>
  <c r="C1696" i="4"/>
  <c r="D1696" i="4" s="1"/>
  <c r="E1696" i="4" s="1"/>
  <c r="E1695" i="4"/>
  <c r="D1695" i="4"/>
  <c r="C1695" i="4"/>
  <c r="E1694" i="4"/>
  <c r="D1694" i="4"/>
  <c r="C1694" i="4"/>
  <c r="D1693" i="4"/>
  <c r="E1693" i="4" s="1"/>
  <c r="C1693" i="4"/>
  <c r="C1692" i="4"/>
  <c r="D1692" i="4" s="1"/>
  <c r="E1692" i="4" s="1"/>
  <c r="E1691" i="4"/>
  <c r="D1691" i="4"/>
  <c r="C1691" i="4"/>
  <c r="E1690" i="4"/>
  <c r="D1690" i="4"/>
  <c r="C1690" i="4"/>
  <c r="D1689" i="4"/>
  <c r="E1689" i="4" s="1"/>
  <c r="C1689" i="4"/>
  <c r="C1688" i="4"/>
  <c r="D1688" i="4" s="1"/>
  <c r="E1688" i="4" s="1"/>
  <c r="E1687" i="4"/>
  <c r="D1687" i="4"/>
  <c r="C1687" i="4"/>
  <c r="E1686" i="4"/>
  <c r="D1686" i="4"/>
  <c r="C1686" i="4"/>
  <c r="D1685" i="4"/>
  <c r="E1685" i="4" s="1"/>
  <c r="C1685" i="4"/>
  <c r="C1684" i="4"/>
  <c r="D1684" i="4" s="1"/>
  <c r="E1684" i="4" s="1"/>
  <c r="E1683" i="4"/>
  <c r="D1683" i="4"/>
  <c r="C1683" i="4"/>
  <c r="E1682" i="4"/>
  <c r="D1682" i="4"/>
  <c r="C1682" i="4"/>
  <c r="D1681" i="4"/>
  <c r="E1681" i="4" s="1"/>
  <c r="C1681" i="4"/>
  <c r="C1680" i="4"/>
  <c r="D1680" i="4" s="1"/>
  <c r="E1680" i="4" s="1"/>
  <c r="E1679" i="4"/>
  <c r="D1679" i="4"/>
  <c r="C1679" i="4"/>
  <c r="E1678" i="4"/>
  <c r="D1678" i="4"/>
  <c r="C1678" i="4"/>
  <c r="D1677" i="4"/>
  <c r="E1677" i="4" s="1"/>
  <c r="C1677" i="4"/>
  <c r="C1676" i="4"/>
  <c r="D1676" i="4" s="1"/>
  <c r="E1676" i="4" s="1"/>
  <c r="E1675" i="4"/>
  <c r="D1675" i="4"/>
  <c r="C1675" i="4"/>
  <c r="E1674" i="4"/>
  <c r="D1674" i="4"/>
  <c r="C1674" i="4"/>
  <c r="D1673" i="4"/>
  <c r="E1673" i="4" s="1"/>
  <c r="C1673" i="4"/>
  <c r="C1672" i="4"/>
  <c r="D1672" i="4" s="1"/>
  <c r="E1672" i="4" s="1"/>
  <c r="E1671" i="4"/>
  <c r="D1671" i="4"/>
  <c r="C1671" i="4"/>
  <c r="E1670" i="4"/>
  <c r="D1670" i="4"/>
  <c r="C1670" i="4"/>
  <c r="C1669" i="4"/>
  <c r="D1669" i="4" s="1"/>
  <c r="E1669" i="4" s="1"/>
  <c r="C1668" i="4"/>
  <c r="D1668" i="4" s="1"/>
  <c r="E1668" i="4" s="1"/>
  <c r="E1667" i="4"/>
  <c r="D1667" i="4"/>
  <c r="C1667" i="4"/>
  <c r="E1666" i="4"/>
  <c r="D1666" i="4"/>
  <c r="C1666" i="4"/>
  <c r="C1665" i="4"/>
  <c r="D1665" i="4" s="1"/>
  <c r="E1665" i="4" s="1"/>
  <c r="C1664" i="4"/>
  <c r="D1664" i="4" s="1"/>
  <c r="E1664" i="4" s="1"/>
  <c r="E1663" i="4"/>
  <c r="D1663" i="4"/>
  <c r="C1663" i="4"/>
  <c r="E1662" i="4"/>
  <c r="D1662" i="4"/>
  <c r="C1662" i="4"/>
  <c r="C1661" i="4"/>
  <c r="D1661" i="4" s="1"/>
  <c r="E1661" i="4" s="1"/>
  <c r="C1660" i="4"/>
  <c r="D1660" i="4" s="1"/>
  <c r="E1660" i="4" s="1"/>
  <c r="E1659" i="4"/>
  <c r="D1659" i="4"/>
  <c r="C1659" i="4"/>
  <c r="E1658" i="4"/>
  <c r="D1658" i="4"/>
  <c r="C1658" i="4"/>
  <c r="C1657" i="4"/>
  <c r="D1657" i="4" s="1"/>
  <c r="E1657" i="4" s="1"/>
  <c r="C1656" i="4"/>
  <c r="D1656" i="4" s="1"/>
  <c r="E1656" i="4" s="1"/>
  <c r="E1655" i="4"/>
  <c r="D1655" i="4"/>
  <c r="C1655" i="4"/>
  <c r="E1654" i="4"/>
  <c r="D1654" i="4"/>
  <c r="C1654" i="4"/>
  <c r="C1653" i="4"/>
  <c r="D1653" i="4" s="1"/>
  <c r="E1653" i="4" s="1"/>
  <c r="C1652" i="4"/>
  <c r="D1652" i="4" s="1"/>
  <c r="E1652" i="4" s="1"/>
  <c r="E1651" i="4"/>
  <c r="D1651" i="4"/>
  <c r="C1651" i="4"/>
  <c r="E1650" i="4"/>
  <c r="D1650" i="4"/>
  <c r="C1650" i="4"/>
  <c r="C1649" i="4"/>
  <c r="D1649" i="4" s="1"/>
  <c r="E1649" i="4" s="1"/>
  <c r="C1648" i="4"/>
  <c r="D1648" i="4" s="1"/>
  <c r="E1648" i="4" s="1"/>
  <c r="E1647" i="4"/>
  <c r="D1647" i="4"/>
  <c r="C1647" i="4"/>
  <c r="E1646" i="4"/>
  <c r="D1646" i="4"/>
  <c r="C1646" i="4"/>
  <c r="C1645" i="4"/>
  <c r="D1645" i="4" s="1"/>
  <c r="E1645" i="4" s="1"/>
  <c r="C1644" i="4"/>
  <c r="D1644" i="4" s="1"/>
  <c r="E1644" i="4" s="1"/>
  <c r="E1643" i="4"/>
  <c r="D1643" i="4"/>
  <c r="C1643" i="4"/>
  <c r="D1642" i="4"/>
  <c r="E1642" i="4" s="1"/>
  <c r="C1642" i="4"/>
  <c r="C1641" i="4"/>
  <c r="D1641" i="4" s="1"/>
  <c r="E1641" i="4" s="1"/>
  <c r="C1640" i="4"/>
  <c r="D1640" i="4" s="1"/>
  <c r="E1640" i="4" s="1"/>
  <c r="E1639" i="4"/>
  <c r="D1639" i="4"/>
  <c r="C1639" i="4"/>
  <c r="D1638" i="4"/>
  <c r="E1638" i="4" s="1"/>
  <c r="C1638" i="4"/>
  <c r="C1637" i="4"/>
  <c r="D1637" i="4" s="1"/>
  <c r="E1637" i="4" s="1"/>
  <c r="C1636" i="4"/>
  <c r="D1636" i="4" s="1"/>
  <c r="E1636" i="4" s="1"/>
  <c r="E1635" i="4"/>
  <c r="D1635" i="4"/>
  <c r="C1635" i="4"/>
  <c r="D1634" i="4"/>
  <c r="E1634" i="4" s="1"/>
  <c r="C1634" i="4"/>
  <c r="C1633" i="4"/>
  <c r="D1633" i="4" s="1"/>
  <c r="E1633" i="4" s="1"/>
  <c r="C1632" i="4"/>
  <c r="D1632" i="4" s="1"/>
  <c r="E1632" i="4" s="1"/>
  <c r="E1631" i="4"/>
  <c r="D1631" i="4"/>
  <c r="C1631" i="4"/>
  <c r="D1630" i="4"/>
  <c r="E1630" i="4" s="1"/>
  <c r="C1630" i="4"/>
  <c r="C1629" i="4"/>
  <c r="D1629" i="4" s="1"/>
  <c r="E1629" i="4" s="1"/>
  <c r="C1628" i="4"/>
  <c r="D1628" i="4" s="1"/>
  <c r="E1628" i="4" s="1"/>
  <c r="E1627" i="4"/>
  <c r="D1627" i="4"/>
  <c r="C1627" i="4"/>
  <c r="D1626" i="4"/>
  <c r="E1626" i="4" s="1"/>
  <c r="C1626" i="4"/>
  <c r="C1625" i="4"/>
  <c r="D1625" i="4" s="1"/>
  <c r="E1625" i="4" s="1"/>
  <c r="C1624" i="4"/>
  <c r="D1624" i="4" s="1"/>
  <c r="E1624" i="4" s="1"/>
  <c r="E1623" i="4"/>
  <c r="D1623" i="4"/>
  <c r="C1623" i="4"/>
  <c r="D1622" i="4"/>
  <c r="E1622" i="4" s="1"/>
  <c r="C1622" i="4"/>
  <c r="C1621" i="4"/>
  <c r="D1621" i="4" s="1"/>
  <c r="E1621" i="4" s="1"/>
  <c r="C1620" i="4"/>
  <c r="D1620" i="4" s="1"/>
  <c r="E1620" i="4" s="1"/>
  <c r="E1619" i="4"/>
  <c r="D1619" i="4"/>
  <c r="C1619" i="4"/>
  <c r="D1618" i="4"/>
  <c r="E1618" i="4" s="1"/>
  <c r="C1618" i="4"/>
  <c r="C1617" i="4"/>
  <c r="D1617" i="4" s="1"/>
  <c r="E1617" i="4" s="1"/>
  <c r="C1616" i="4"/>
  <c r="D1616" i="4" s="1"/>
  <c r="E1616" i="4" s="1"/>
  <c r="E1615" i="4"/>
  <c r="D1615" i="4"/>
  <c r="C1615" i="4"/>
  <c r="D1614" i="4"/>
  <c r="E1614" i="4" s="1"/>
  <c r="C1614" i="4"/>
  <c r="C1613" i="4"/>
  <c r="D1613" i="4" s="1"/>
  <c r="E1613" i="4" s="1"/>
  <c r="C1612" i="4"/>
  <c r="D1612" i="4" s="1"/>
  <c r="E1612" i="4" s="1"/>
  <c r="E1611" i="4"/>
  <c r="D1611" i="4"/>
  <c r="C1611" i="4"/>
  <c r="D1610" i="4"/>
  <c r="E1610" i="4" s="1"/>
  <c r="C1610" i="4"/>
  <c r="C1609" i="4"/>
  <c r="D1609" i="4" s="1"/>
  <c r="E1609" i="4" s="1"/>
  <c r="C1608" i="4"/>
  <c r="D1608" i="4" s="1"/>
  <c r="E1608" i="4" s="1"/>
  <c r="E1607" i="4"/>
  <c r="D1607" i="4"/>
  <c r="C1607" i="4"/>
  <c r="D1606" i="4"/>
  <c r="E1606" i="4" s="1"/>
  <c r="C1606" i="4"/>
  <c r="C1605" i="4"/>
  <c r="D1605" i="4" s="1"/>
  <c r="E1605" i="4" s="1"/>
  <c r="C1604" i="4"/>
  <c r="D1604" i="4" s="1"/>
  <c r="E1604" i="4" s="1"/>
  <c r="E1603" i="4"/>
  <c r="D1603" i="4"/>
  <c r="C1603" i="4"/>
  <c r="D1602" i="4"/>
  <c r="E1602" i="4" s="1"/>
  <c r="C1602" i="4"/>
  <c r="C1601" i="4"/>
  <c r="D1601" i="4" s="1"/>
  <c r="E1601" i="4" s="1"/>
  <c r="C1600" i="4"/>
  <c r="D1600" i="4" s="1"/>
  <c r="E1600" i="4" s="1"/>
  <c r="E1599" i="4"/>
  <c r="D1599" i="4"/>
  <c r="C1599" i="4"/>
  <c r="D1598" i="4"/>
  <c r="E1598" i="4" s="1"/>
  <c r="C1598" i="4"/>
  <c r="C1597" i="4"/>
  <c r="D1597" i="4" s="1"/>
  <c r="E1597" i="4" s="1"/>
  <c r="C1596" i="4"/>
  <c r="D1596" i="4" s="1"/>
  <c r="E1596" i="4" s="1"/>
  <c r="E1595" i="4"/>
  <c r="D1595" i="4"/>
  <c r="C1595" i="4"/>
  <c r="D1594" i="4"/>
  <c r="E1594" i="4" s="1"/>
  <c r="C1594" i="4"/>
  <c r="C1593" i="4"/>
  <c r="D1593" i="4" s="1"/>
  <c r="E1593" i="4" s="1"/>
  <c r="C1592" i="4"/>
  <c r="D1592" i="4" s="1"/>
  <c r="E1592" i="4" s="1"/>
  <c r="E1591" i="4"/>
  <c r="D1591" i="4"/>
  <c r="C1591" i="4"/>
  <c r="D1590" i="4"/>
  <c r="E1590" i="4" s="1"/>
  <c r="C1590" i="4"/>
  <c r="C1589" i="4"/>
  <c r="D1589" i="4" s="1"/>
  <c r="E1589" i="4" s="1"/>
  <c r="C1588" i="4"/>
  <c r="D1588" i="4" s="1"/>
  <c r="E1588" i="4" s="1"/>
  <c r="E1587" i="4"/>
  <c r="D1587" i="4"/>
  <c r="C1587" i="4"/>
  <c r="D1586" i="4"/>
  <c r="E1586" i="4" s="1"/>
  <c r="C1586" i="4"/>
  <c r="C1585" i="4"/>
  <c r="D1585" i="4" s="1"/>
  <c r="E1585" i="4" s="1"/>
  <c r="C1584" i="4"/>
  <c r="D1584" i="4" s="1"/>
  <c r="E1584" i="4" s="1"/>
  <c r="E1583" i="4"/>
  <c r="D1583" i="4"/>
  <c r="C1583" i="4"/>
  <c r="D1582" i="4"/>
  <c r="E1582" i="4" s="1"/>
  <c r="C1582" i="4"/>
  <c r="C1581" i="4"/>
  <c r="D1581" i="4" s="1"/>
  <c r="E1581" i="4" s="1"/>
  <c r="C1580" i="4"/>
  <c r="D1580" i="4" s="1"/>
  <c r="E1580" i="4" s="1"/>
  <c r="E1579" i="4"/>
  <c r="D1579" i="4"/>
  <c r="C1579" i="4"/>
  <c r="D1578" i="4"/>
  <c r="E1578" i="4" s="1"/>
  <c r="C1578" i="4"/>
  <c r="C1577" i="4"/>
  <c r="D1577" i="4" s="1"/>
  <c r="E1577" i="4" s="1"/>
  <c r="C1576" i="4"/>
  <c r="D1576" i="4" s="1"/>
  <c r="E1576" i="4" s="1"/>
  <c r="E1575" i="4"/>
  <c r="D1575" i="4"/>
  <c r="C1575" i="4"/>
  <c r="D1574" i="4"/>
  <c r="E1574" i="4" s="1"/>
  <c r="C1574" i="4"/>
  <c r="C1573" i="4"/>
  <c r="D1573" i="4" s="1"/>
  <c r="E1573" i="4" s="1"/>
  <c r="C1572" i="4"/>
  <c r="D1572" i="4" s="1"/>
  <c r="E1572" i="4" s="1"/>
  <c r="E1571" i="4"/>
  <c r="D1571" i="4"/>
  <c r="C1571" i="4"/>
  <c r="D1570" i="4"/>
  <c r="E1570" i="4" s="1"/>
  <c r="C1570" i="4"/>
  <c r="C1569" i="4"/>
  <c r="D1569" i="4" s="1"/>
  <c r="E1569" i="4" s="1"/>
  <c r="C1568" i="4"/>
  <c r="D1568" i="4" s="1"/>
  <c r="E1568" i="4" s="1"/>
  <c r="E1567" i="4"/>
  <c r="D1567" i="4"/>
  <c r="C1567" i="4"/>
  <c r="D1566" i="4"/>
  <c r="E1566" i="4" s="1"/>
  <c r="C1566" i="4"/>
  <c r="C1565" i="4"/>
  <c r="D1565" i="4" s="1"/>
  <c r="E1565" i="4" s="1"/>
  <c r="C1564" i="4"/>
  <c r="D1564" i="4" s="1"/>
  <c r="E1564" i="4" s="1"/>
  <c r="E1563" i="4"/>
  <c r="D1563" i="4"/>
  <c r="C1563" i="4"/>
  <c r="D1562" i="4"/>
  <c r="E1562" i="4" s="1"/>
  <c r="C1562" i="4"/>
  <c r="C1561" i="4"/>
  <c r="D1561" i="4" s="1"/>
  <c r="E1561" i="4" s="1"/>
  <c r="C1560" i="4"/>
  <c r="D1560" i="4" s="1"/>
  <c r="E1560" i="4" s="1"/>
  <c r="E1559" i="4"/>
  <c r="D1559" i="4"/>
  <c r="C1559" i="4"/>
  <c r="D1558" i="4"/>
  <c r="E1558" i="4" s="1"/>
  <c r="C1558" i="4"/>
  <c r="C1557" i="4"/>
  <c r="D1557" i="4" s="1"/>
  <c r="E1557" i="4" s="1"/>
  <c r="C1556" i="4"/>
  <c r="D1556" i="4" s="1"/>
  <c r="E1556" i="4" s="1"/>
  <c r="E1555" i="4"/>
  <c r="D1555" i="4"/>
  <c r="C1555" i="4"/>
  <c r="D1554" i="4"/>
  <c r="E1554" i="4" s="1"/>
  <c r="C1554" i="4"/>
  <c r="C1553" i="4"/>
  <c r="D1553" i="4" s="1"/>
  <c r="E1553" i="4" s="1"/>
  <c r="C1552" i="4"/>
  <c r="D1552" i="4" s="1"/>
  <c r="E1552" i="4" s="1"/>
  <c r="E1551" i="4"/>
  <c r="D1551" i="4"/>
  <c r="C1551" i="4"/>
  <c r="D1550" i="4"/>
  <c r="E1550" i="4" s="1"/>
  <c r="C1550" i="4"/>
  <c r="C1549" i="4"/>
  <c r="D1549" i="4" s="1"/>
  <c r="E1549" i="4" s="1"/>
  <c r="C1548" i="4"/>
  <c r="D1548" i="4" s="1"/>
  <c r="E1548" i="4" s="1"/>
  <c r="E1547" i="4"/>
  <c r="D1547" i="4"/>
  <c r="C1547" i="4"/>
  <c r="D1546" i="4"/>
  <c r="E1546" i="4" s="1"/>
  <c r="C1546" i="4"/>
  <c r="C1545" i="4"/>
  <c r="D1545" i="4" s="1"/>
  <c r="E1545" i="4" s="1"/>
  <c r="C1544" i="4"/>
  <c r="D1544" i="4" s="1"/>
  <c r="E1544" i="4" s="1"/>
  <c r="E1543" i="4"/>
  <c r="D1543" i="4"/>
  <c r="C1543" i="4"/>
  <c r="D1542" i="4"/>
  <c r="E1542" i="4" s="1"/>
  <c r="C1542" i="4"/>
  <c r="C1541" i="4"/>
  <c r="D1541" i="4" s="1"/>
  <c r="E1541" i="4" s="1"/>
  <c r="C1540" i="4"/>
  <c r="D1540" i="4" s="1"/>
  <c r="E1540" i="4" s="1"/>
  <c r="E1539" i="4"/>
  <c r="D1539" i="4"/>
  <c r="C1539" i="4"/>
  <c r="D1538" i="4"/>
  <c r="E1538" i="4" s="1"/>
  <c r="C1538" i="4"/>
  <c r="C1537" i="4"/>
  <c r="D1537" i="4" s="1"/>
  <c r="E1537" i="4" s="1"/>
  <c r="C1536" i="4"/>
  <c r="D1536" i="4" s="1"/>
  <c r="E1536" i="4" s="1"/>
  <c r="E1535" i="4"/>
  <c r="D1535" i="4"/>
  <c r="C1535" i="4"/>
  <c r="D1534" i="4"/>
  <c r="E1534" i="4" s="1"/>
  <c r="C1534" i="4"/>
  <c r="C1533" i="4"/>
  <c r="D1533" i="4" s="1"/>
  <c r="E1533" i="4" s="1"/>
  <c r="C1532" i="4"/>
  <c r="D1532" i="4" s="1"/>
  <c r="E1532" i="4" s="1"/>
  <c r="E1531" i="4"/>
  <c r="D1531" i="4"/>
  <c r="C1531" i="4"/>
  <c r="D1530" i="4"/>
  <c r="E1530" i="4" s="1"/>
  <c r="C1530" i="4"/>
  <c r="C1529" i="4"/>
  <c r="D1529" i="4" s="1"/>
  <c r="E1529" i="4" s="1"/>
  <c r="C1528" i="4"/>
  <c r="D1528" i="4" s="1"/>
  <c r="E1528" i="4" s="1"/>
  <c r="E1527" i="4"/>
  <c r="D1527" i="4"/>
  <c r="C1527" i="4"/>
  <c r="D1526" i="4"/>
  <c r="E1526" i="4" s="1"/>
  <c r="C1526" i="4"/>
  <c r="C1525" i="4"/>
  <c r="D1525" i="4" s="1"/>
  <c r="E1525" i="4" s="1"/>
  <c r="C1524" i="4"/>
  <c r="D1524" i="4" s="1"/>
  <c r="E1524" i="4" s="1"/>
  <c r="E1523" i="4"/>
  <c r="D1523" i="4"/>
  <c r="C1523" i="4"/>
  <c r="D1522" i="4"/>
  <c r="E1522" i="4" s="1"/>
  <c r="C1522" i="4"/>
  <c r="C1521" i="4"/>
  <c r="D1521" i="4" s="1"/>
  <c r="E1521" i="4" s="1"/>
  <c r="C1520" i="4"/>
  <c r="D1520" i="4" s="1"/>
  <c r="E1520" i="4" s="1"/>
  <c r="E1519" i="4"/>
  <c r="D1519" i="4"/>
  <c r="C1519" i="4"/>
  <c r="D1518" i="4"/>
  <c r="E1518" i="4" s="1"/>
  <c r="C1518" i="4"/>
  <c r="C1517" i="4"/>
  <c r="D1517" i="4" s="1"/>
  <c r="E1517" i="4" s="1"/>
  <c r="C1516" i="4"/>
  <c r="D1516" i="4" s="1"/>
  <c r="E1516" i="4" s="1"/>
  <c r="E1515" i="4"/>
  <c r="D1515" i="4"/>
  <c r="C1515" i="4"/>
  <c r="D1514" i="4"/>
  <c r="E1514" i="4" s="1"/>
  <c r="C1514" i="4"/>
  <c r="C1513" i="4"/>
  <c r="D1513" i="4" s="1"/>
  <c r="E1513" i="4" s="1"/>
  <c r="C1512" i="4"/>
  <c r="D1512" i="4" s="1"/>
  <c r="E1512" i="4" s="1"/>
  <c r="E1511" i="4"/>
  <c r="D1511" i="4"/>
  <c r="C1511" i="4"/>
  <c r="D1510" i="4"/>
  <c r="E1510" i="4" s="1"/>
  <c r="C1510" i="4"/>
  <c r="C1509" i="4"/>
  <c r="D1509" i="4" s="1"/>
  <c r="E1509" i="4" s="1"/>
  <c r="C1508" i="4"/>
  <c r="D1508" i="4" s="1"/>
  <c r="E1508" i="4" s="1"/>
  <c r="E1507" i="4"/>
  <c r="D1507" i="4"/>
  <c r="C1507" i="4"/>
  <c r="D1506" i="4"/>
  <c r="E1506" i="4" s="1"/>
  <c r="C1506" i="4"/>
  <c r="C1505" i="4"/>
  <c r="D1505" i="4" s="1"/>
  <c r="E1505" i="4" s="1"/>
  <c r="C1504" i="4"/>
  <c r="D1504" i="4" s="1"/>
  <c r="E1504" i="4" s="1"/>
  <c r="E1503" i="4"/>
  <c r="D1503" i="4"/>
  <c r="C1503" i="4"/>
  <c r="D1502" i="4"/>
  <c r="E1502" i="4" s="1"/>
  <c r="C1502" i="4"/>
  <c r="C1501" i="4"/>
  <c r="D1501" i="4" s="1"/>
  <c r="E1501" i="4" s="1"/>
  <c r="C1500" i="4"/>
  <c r="D1500" i="4" s="1"/>
  <c r="E1500" i="4" s="1"/>
  <c r="E1499" i="4"/>
  <c r="D1499" i="4"/>
  <c r="C1499" i="4"/>
  <c r="D1498" i="4"/>
  <c r="E1498" i="4" s="1"/>
  <c r="C1498" i="4"/>
  <c r="C1497" i="4"/>
  <c r="D1497" i="4" s="1"/>
  <c r="E1497" i="4" s="1"/>
  <c r="C1496" i="4"/>
  <c r="D1496" i="4" s="1"/>
  <c r="E1496" i="4" s="1"/>
  <c r="E1495" i="4"/>
  <c r="D1495" i="4"/>
  <c r="C1495" i="4"/>
  <c r="D1494" i="4"/>
  <c r="E1494" i="4" s="1"/>
  <c r="C1494" i="4"/>
  <c r="C1493" i="4"/>
  <c r="D1493" i="4" s="1"/>
  <c r="E1493" i="4" s="1"/>
  <c r="C1492" i="4"/>
  <c r="D1492" i="4" s="1"/>
  <c r="E1492" i="4" s="1"/>
  <c r="E1491" i="4"/>
  <c r="D1491" i="4"/>
  <c r="C1491" i="4"/>
  <c r="D1490" i="4"/>
  <c r="E1490" i="4" s="1"/>
  <c r="C1490" i="4"/>
  <c r="C1489" i="4"/>
  <c r="D1489" i="4" s="1"/>
  <c r="E1489" i="4" s="1"/>
  <c r="C1488" i="4"/>
  <c r="D1488" i="4" s="1"/>
  <c r="E1488" i="4" s="1"/>
  <c r="E1487" i="4"/>
  <c r="D1487" i="4"/>
  <c r="C1487" i="4"/>
  <c r="D1486" i="4"/>
  <c r="E1486" i="4" s="1"/>
  <c r="C1486" i="4"/>
  <c r="C1485" i="4"/>
  <c r="D1485" i="4" s="1"/>
  <c r="E1485" i="4" s="1"/>
  <c r="C1484" i="4"/>
  <c r="D1484" i="4" s="1"/>
  <c r="E1484" i="4" s="1"/>
  <c r="E1483" i="4"/>
  <c r="D1483" i="4"/>
  <c r="C1483" i="4"/>
  <c r="D1482" i="4"/>
  <c r="E1482" i="4" s="1"/>
  <c r="C1482" i="4"/>
  <c r="C1481" i="4"/>
  <c r="D1481" i="4" s="1"/>
  <c r="E1481" i="4" s="1"/>
  <c r="C1480" i="4"/>
  <c r="D1480" i="4" s="1"/>
  <c r="E1480" i="4" s="1"/>
  <c r="E1479" i="4"/>
  <c r="D1479" i="4"/>
  <c r="C1479" i="4"/>
  <c r="D1478" i="4"/>
  <c r="E1478" i="4" s="1"/>
  <c r="C1478" i="4"/>
  <c r="C1477" i="4"/>
  <c r="D1477" i="4" s="1"/>
  <c r="E1477" i="4" s="1"/>
  <c r="C1476" i="4"/>
  <c r="D1476" i="4" s="1"/>
  <c r="E1476" i="4" s="1"/>
  <c r="E1475" i="4"/>
  <c r="D1475" i="4"/>
  <c r="C1475" i="4"/>
  <c r="D1474" i="4"/>
  <c r="E1474" i="4" s="1"/>
  <c r="C1474" i="4"/>
  <c r="C1473" i="4"/>
  <c r="D1473" i="4" s="1"/>
  <c r="E1473" i="4" s="1"/>
  <c r="C1472" i="4"/>
  <c r="D1472" i="4" s="1"/>
  <c r="E1472" i="4" s="1"/>
  <c r="E1471" i="4"/>
  <c r="D1471" i="4"/>
  <c r="C1471" i="4"/>
  <c r="D1470" i="4"/>
  <c r="E1470" i="4" s="1"/>
  <c r="C1470" i="4"/>
  <c r="C1469" i="4"/>
  <c r="D1469" i="4" s="1"/>
  <c r="E1469" i="4" s="1"/>
  <c r="C1468" i="4"/>
  <c r="D1468" i="4" s="1"/>
  <c r="E1468" i="4" s="1"/>
  <c r="E1467" i="4"/>
  <c r="D1467" i="4"/>
  <c r="C1467" i="4"/>
  <c r="D1466" i="4"/>
  <c r="E1466" i="4" s="1"/>
  <c r="C1466" i="4"/>
  <c r="C1465" i="4"/>
  <c r="D1465" i="4" s="1"/>
  <c r="E1465" i="4" s="1"/>
  <c r="C1464" i="4"/>
  <c r="D1464" i="4" s="1"/>
  <c r="E1464" i="4" s="1"/>
  <c r="E1463" i="4"/>
  <c r="D1463" i="4"/>
  <c r="C1463" i="4"/>
  <c r="D1462" i="4"/>
  <c r="E1462" i="4" s="1"/>
  <c r="C1462" i="4"/>
  <c r="C1461" i="4"/>
  <c r="D1461" i="4" s="1"/>
  <c r="E1461" i="4" s="1"/>
  <c r="C1460" i="4"/>
  <c r="D1460" i="4" s="1"/>
  <c r="E1460" i="4" s="1"/>
  <c r="E1459" i="4"/>
  <c r="D1459" i="4"/>
  <c r="C1459" i="4"/>
  <c r="D1458" i="4"/>
  <c r="E1458" i="4" s="1"/>
  <c r="C1458" i="4"/>
  <c r="C1457" i="4"/>
  <c r="D1457" i="4" s="1"/>
  <c r="E1457" i="4" s="1"/>
  <c r="C1456" i="4"/>
  <c r="D1456" i="4" s="1"/>
  <c r="E1456" i="4" s="1"/>
  <c r="E1455" i="4"/>
  <c r="D1455" i="4"/>
  <c r="C1455" i="4"/>
  <c r="D1454" i="4"/>
  <c r="E1454" i="4" s="1"/>
  <c r="C1454" i="4"/>
  <c r="C1453" i="4"/>
  <c r="D1453" i="4" s="1"/>
  <c r="E1453" i="4" s="1"/>
  <c r="C1452" i="4"/>
  <c r="D1452" i="4" s="1"/>
  <c r="E1452" i="4" s="1"/>
  <c r="E1451" i="4"/>
  <c r="D1451" i="4"/>
  <c r="C1451" i="4"/>
  <c r="D1450" i="4"/>
  <c r="E1450" i="4" s="1"/>
  <c r="C1450" i="4"/>
  <c r="C1449" i="4"/>
  <c r="D1449" i="4" s="1"/>
  <c r="E1449" i="4" s="1"/>
  <c r="C1448" i="4"/>
  <c r="D1448" i="4" s="1"/>
  <c r="E1448" i="4" s="1"/>
  <c r="E1447" i="4"/>
  <c r="D1447" i="4"/>
  <c r="C1447" i="4"/>
  <c r="D1446" i="4"/>
  <c r="E1446" i="4" s="1"/>
  <c r="C1446" i="4"/>
  <c r="C1445" i="4"/>
  <c r="D1445" i="4" s="1"/>
  <c r="E1445" i="4" s="1"/>
  <c r="C1444" i="4"/>
  <c r="D1444" i="4" s="1"/>
  <c r="E1444" i="4" s="1"/>
  <c r="E1443" i="4"/>
  <c r="D1443" i="4"/>
  <c r="C1443" i="4"/>
  <c r="D1442" i="4"/>
  <c r="E1442" i="4" s="1"/>
  <c r="C1442" i="4"/>
  <c r="C1441" i="4"/>
  <c r="D1441" i="4" s="1"/>
  <c r="E1441" i="4" s="1"/>
  <c r="C1440" i="4"/>
  <c r="D1440" i="4" s="1"/>
  <c r="E1440" i="4" s="1"/>
  <c r="E1439" i="4"/>
  <c r="D1439" i="4"/>
  <c r="C1439" i="4"/>
  <c r="D1438" i="4"/>
  <c r="E1438" i="4" s="1"/>
  <c r="C1438" i="4"/>
  <c r="C1437" i="4"/>
  <c r="D1437" i="4" s="1"/>
  <c r="E1437" i="4" s="1"/>
  <c r="C1436" i="4"/>
  <c r="D1436" i="4" s="1"/>
  <c r="E1436" i="4" s="1"/>
  <c r="E1435" i="4"/>
  <c r="D1435" i="4"/>
  <c r="C1435" i="4"/>
  <c r="D1434" i="4"/>
  <c r="E1434" i="4" s="1"/>
  <c r="C1434" i="4"/>
  <c r="C1433" i="4"/>
  <c r="D1433" i="4" s="1"/>
  <c r="E1433" i="4" s="1"/>
  <c r="C1432" i="4"/>
  <c r="D1432" i="4" s="1"/>
  <c r="E1432" i="4" s="1"/>
  <c r="C1431" i="4"/>
  <c r="D1431" i="4" s="1"/>
  <c r="E1431" i="4" s="1"/>
  <c r="E1430" i="4"/>
  <c r="D1430" i="4"/>
  <c r="C1430" i="4"/>
  <c r="D1429" i="4"/>
  <c r="E1429" i="4" s="1"/>
  <c r="C1429" i="4"/>
  <c r="C1428" i="4"/>
  <c r="D1428" i="4" s="1"/>
  <c r="E1428" i="4" s="1"/>
  <c r="C1427" i="4"/>
  <c r="D1427" i="4" s="1"/>
  <c r="E1427" i="4" s="1"/>
  <c r="E1426" i="4"/>
  <c r="D1426" i="4"/>
  <c r="C1426" i="4"/>
  <c r="D1425" i="4"/>
  <c r="E1425" i="4" s="1"/>
  <c r="C1425" i="4"/>
  <c r="C1424" i="4"/>
  <c r="D1424" i="4" s="1"/>
  <c r="E1424" i="4" s="1"/>
  <c r="C1423" i="4"/>
  <c r="D1423" i="4" s="1"/>
  <c r="E1423" i="4" s="1"/>
  <c r="E1422" i="4"/>
  <c r="D1422" i="4"/>
  <c r="C1422" i="4"/>
  <c r="D1421" i="4"/>
  <c r="E1421" i="4" s="1"/>
  <c r="C1421" i="4"/>
  <c r="C1420" i="4"/>
  <c r="D1420" i="4" s="1"/>
  <c r="E1420" i="4" s="1"/>
  <c r="C1419" i="4"/>
  <c r="D1419" i="4" s="1"/>
  <c r="E1419" i="4" s="1"/>
  <c r="E1418" i="4"/>
  <c r="D1418" i="4"/>
  <c r="C1418" i="4"/>
  <c r="D1417" i="4"/>
  <c r="E1417" i="4" s="1"/>
  <c r="C1417" i="4"/>
  <c r="C1416" i="4"/>
  <c r="D1416" i="4" s="1"/>
  <c r="E1416" i="4" s="1"/>
  <c r="C1415" i="4"/>
  <c r="D1415" i="4" s="1"/>
  <c r="E1415" i="4" s="1"/>
  <c r="E1414" i="4"/>
  <c r="D1414" i="4"/>
  <c r="C1414" i="4"/>
  <c r="D1413" i="4"/>
  <c r="E1413" i="4" s="1"/>
  <c r="C1413" i="4"/>
  <c r="C1412" i="4"/>
  <c r="D1412" i="4" s="1"/>
  <c r="E1412" i="4" s="1"/>
  <c r="C1411" i="4"/>
  <c r="D1411" i="4" s="1"/>
  <c r="E1411" i="4" s="1"/>
  <c r="E1410" i="4"/>
  <c r="D1410" i="4"/>
  <c r="C1410" i="4"/>
  <c r="D1409" i="4"/>
  <c r="E1409" i="4" s="1"/>
  <c r="C1409" i="4"/>
  <c r="C1408" i="4"/>
  <c r="D1408" i="4" s="1"/>
  <c r="E1408" i="4" s="1"/>
  <c r="C1407" i="4"/>
  <c r="D1407" i="4" s="1"/>
  <c r="E1407" i="4" s="1"/>
  <c r="E1406" i="4"/>
  <c r="D1406" i="4"/>
  <c r="C1406" i="4"/>
  <c r="D1405" i="4"/>
  <c r="E1405" i="4" s="1"/>
  <c r="C1405" i="4"/>
  <c r="C1404" i="4"/>
  <c r="D1404" i="4" s="1"/>
  <c r="E1404" i="4" s="1"/>
  <c r="C1403" i="4"/>
  <c r="D1403" i="4" s="1"/>
  <c r="E1403" i="4" s="1"/>
  <c r="E1402" i="4"/>
  <c r="D1402" i="4"/>
  <c r="C1402" i="4"/>
  <c r="D1401" i="4"/>
  <c r="E1401" i="4" s="1"/>
  <c r="C1401" i="4"/>
  <c r="C1400" i="4"/>
  <c r="D1400" i="4" s="1"/>
  <c r="E1400" i="4" s="1"/>
  <c r="C1399" i="4"/>
  <c r="D1399" i="4" s="1"/>
  <c r="E1399" i="4" s="1"/>
  <c r="E1398" i="4"/>
  <c r="D1398" i="4"/>
  <c r="C1398" i="4"/>
  <c r="D1397" i="4"/>
  <c r="E1397" i="4" s="1"/>
  <c r="C1397" i="4"/>
  <c r="C1396" i="4"/>
  <c r="D1396" i="4" s="1"/>
  <c r="E1396" i="4" s="1"/>
  <c r="C1395" i="4"/>
  <c r="D1395" i="4" s="1"/>
  <c r="E1395" i="4" s="1"/>
  <c r="E1394" i="4"/>
  <c r="D1394" i="4"/>
  <c r="C1394" i="4"/>
  <c r="D1393" i="4"/>
  <c r="E1393" i="4" s="1"/>
  <c r="C1393" i="4"/>
  <c r="C1392" i="4"/>
  <c r="D1392" i="4" s="1"/>
  <c r="E1392" i="4" s="1"/>
  <c r="C1391" i="4"/>
  <c r="D1391" i="4" s="1"/>
  <c r="E1391" i="4" s="1"/>
  <c r="E1390" i="4"/>
  <c r="D1390" i="4"/>
  <c r="C1390" i="4"/>
  <c r="D1389" i="4"/>
  <c r="E1389" i="4" s="1"/>
  <c r="C1389" i="4"/>
  <c r="C1388" i="4"/>
  <c r="D1388" i="4" s="1"/>
  <c r="E1388" i="4" s="1"/>
  <c r="C1387" i="4"/>
  <c r="D1387" i="4" s="1"/>
  <c r="E1387" i="4" s="1"/>
  <c r="E1386" i="4"/>
  <c r="D1386" i="4"/>
  <c r="C1386" i="4"/>
  <c r="D1385" i="4"/>
  <c r="E1385" i="4" s="1"/>
  <c r="C1385" i="4"/>
  <c r="C1384" i="4"/>
  <c r="D1384" i="4" s="1"/>
  <c r="E1384" i="4" s="1"/>
  <c r="C1383" i="4"/>
  <c r="D1383" i="4" s="1"/>
  <c r="E1383" i="4" s="1"/>
  <c r="E1382" i="4"/>
  <c r="D1382" i="4"/>
  <c r="C1382" i="4"/>
  <c r="D1381" i="4"/>
  <c r="E1381" i="4" s="1"/>
  <c r="C1381" i="4"/>
  <c r="C1380" i="4"/>
  <c r="D1380" i="4" s="1"/>
  <c r="E1380" i="4" s="1"/>
  <c r="C1379" i="4"/>
  <c r="D1379" i="4" s="1"/>
  <c r="E1379" i="4" s="1"/>
  <c r="E1378" i="4"/>
  <c r="D1378" i="4"/>
  <c r="C1378" i="4"/>
  <c r="D1377" i="4"/>
  <c r="E1377" i="4" s="1"/>
  <c r="C1377" i="4"/>
  <c r="C1376" i="4"/>
  <c r="D1376" i="4" s="1"/>
  <c r="E1376" i="4" s="1"/>
  <c r="C1375" i="4"/>
  <c r="D1375" i="4" s="1"/>
  <c r="E1375" i="4" s="1"/>
  <c r="E1374" i="4"/>
  <c r="D1374" i="4"/>
  <c r="C1374" i="4"/>
  <c r="D1373" i="4"/>
  <c r="E1373" i="4" s="1"/>
  <c r="C1373" i="4"/>
  <c r="C1372" i="4"/>
  <c r="D1372" i="4" s="1"/>
  <c r="E1372" i="4" s="1"/>
  <c r="C1371" i="4"/>
  <c r="D1371" i="4" s="1"/>
  <c r="E1371" i="4" s="1"/>
  <c r="E1370" i="4"/>
  <c r="D1370" i="4"/>
  <c r="C1370" i="4"/>
  <c r="D1369" i="4"/>
  <c r="E1369" i="4" s="1"/>
  <c r="C1369" i="4"/>
  <c r="C1368" i="4"/>
  <c r="D1368" i="4" s="1"/>
  <c r="E1368" i="4" s="1"/>
  <c r="C1367" i="4"/>
  <c r="D1367" i="4" s="1"/>
  <c r="E1367" i="4" s="1"/>
  <c r="E1366" i="4"/>
  <c r="D1366" i="4"/>
  <c r="C1366" i="4"/>
  <c r="D1365" i="4"/>
  <c r="E1365" i="4" s="1"/>
  <c r="C1365" i="4"/>
  <c r="C1364" i="4"/>
  <c r="D1364" i="4" s="1"/>
  <c r="E1364" i="4" s="1"/>
  <c r="C1363" i="4"/>
  <c r="D1363" i="4" s="1"/>
  <c r="E1363" i="4" s="1"/>
  <c r="E1362" i="4"/>
  <c r="D1362" i="4"/>
  <c r="C1362" i="4"/>
  <c r="D1361" i="4"/>
  <c r="E1361" i="4" s="1"/>
  <c r="C1361" i="4"/>
  <c r="C1360" i="4"/>
  <c r="D1360" i="4" s="1"/>
  <c r="E1360" i="4" s="1"/>
  <c r="C1359" i="4"/>
  <c r="D1359" i="4" s="1"/>
  <c r="E1359" i="4" s="1"/>
  <c r="E1358" i="4"/>
  <c r="D1358" i="4"/>
  <c r="C1358" i="4"/>
  <c r="D1357" i="4"/>
  <c r="E1357" i="4" s="1"/>
  <c r="C1357" i="4"/>
  <c r="C1356" i="4"/>
  <c r="D1356" i="4" s="1"/>
  <c r="E1356" i="4" s="1"/>
  <c r="C1355" i="4"/>
  <c r="D1355" i="4" s="1"/>
  <c r="E1355" i="4" s="1"/>
  <c r="E1354" i="4"/>
  <c r="D1354" i="4"/>
  <c r="C1354" i="4"/>
  <c r="D1353" i="4"/>
  <c r="E1353" i="4" s="1"/>
  <c r="C1353" i="4"/>
  <c r="C1352" i="4"/>
  <c r="D1352" i="4" s="1"/>
  <c r="E1352" i="4" s="1"/>
  <c r="C1351" i="4"/>
  <c r="D1351" i="4" s="1"/>
  <c r="E1351" i="4" s="1"/>
  <c r="E1350" i="4"/>
  <c r="D1350" i="4"/>
  <c r="C1350" i="4"/>
  <c r="D1349" i="4"/>
  <c r="E1349" i="4" s="1"/>
  <c r="C1349" i="4"/>
  <c r="C1348" i="4"/>
  <c r="D1348" i="4" s="1"/>
  <c r="E1348" i="4" s="1"/>
  <c r="C1347" i="4"/>
  <c r="D1347" i="4" s="1"/>
  <c r="E1347" i="4" s="1"/>
  <c r="E1346" i="4"/>
  <c r="D1346" i="4"/>
  <c r="C1346" i="4"/>
  <c r="D1345" i="4"/>
  <c r="E1345" i="4" s="1"/>
  <c r="C1345" i="4"/>
  <c r="C1344" i="4"/>
  <c r="D1344" i="4" s="1"/>
  <c r="E1344" i="4" s="1"/>
  <c r="C1343" i="4"/>
  <c r="D1343" i="4" s="1"/>
  <c r="E1343" i="4" s="1"/>
  <c r="E1342" i="4"/>
  <c r="D1342" i="4"/>
  <c r="C1342" i="4"/>
  <c r="D1341" i="4"/>
  <c r="E1341" i="4" s="1"/>
  <c r="C1341" i="4"/>
  <c r="C1340" i="4"/>
  <c r="D1340" i="4" s="1"/>
  <c r="E1340" i="4" s="1"/>
  <c r="C1339" i="4"/>
  <c r="D1339" i="4" s="1"/>
  <c r="E1339" i="4" s="1"/>
  <c r="E1338" i="4"/>
  <c r="D1338" i="4"/>
  <c r="C1338" i="4"/>
  <c r="D1337" i="4"/>
  <c r="E1337" i="4" s="1"/>
  <c r="C1337" i="4"/>
  <c r="C1336" i="4"/>
  <c r="D1336" i="4" s="1"/>
  <c r="E1336" i="4" s="1"/>
  <c r="C1335" i="4"/>
  <c r="D1335" i="4" s="1"/>
  <c r="E1335" i="4" s="1"/>
  <c r="E1334" i="4"/>
  <c r="D1334" i="4"/>
  <c r="C1334" i="4"/>
  <c r="D1333" i="4"/>
  <c r="E1333" i="4" s="1"/>
  <c r="C1333" i="4"/>
  <c r="C1332" i="4"/>
  <c r="D1332" i="4" s="1"/>
  <c r="E1332" i="4" s="1"/>
  <c r="C1331" i="4"/>
  <c r="D1331" i="4" s="1"/>
  <c r="E1331" i="4" s="1"/>
  <c r="E1330" i="4"/>
  <c r="D1330" i="4"/>
  <c r="C1330" i="4"/>
  <c r="D1329" i="4"/>
  <c r="E1329" i="4" s="1"/>
  <c r="C1329" i="4"/>
  <c r="C1328" i="4"/>
  <c r="D1328" i="4" s="1"/>
  <c r="E1328" i="4" s="1"/>
  <c r="C1327" i="4"/>
  <c r="D1327" i="4" s="1"/>
  <c r="E1327" i="4" s="1"/>
  <c r="E1326" i="4"/>
  <c r="D1326" i="4"/>
  <c r="C1326" i="4"/>
  <c r="D1325" i="4"/>
  <c r="E1325" i="4" s="1"/>
  <c r="C1325" i="4"/>
  <c r="C1324" i="4"/>
  <c r="D1324" i="4" s="1"/>
  <c r="E1324" i="4" s="1"/>
  <c r="C1323" i="4"/>
  <c r="D1323" i="4" s="1"/>
  <c r="E1323" i="4" s="1"/>
  <c r="E1322" i="4"/>
  <c r="D1322" i="4"/>
  <c r="C1322" i="4"/>
  <c r="D1321" i="4"/>
  <c r="E1321" i="4" s="1"/>
  <c r="C1321" i="4"/>
  <c r="C1320" i="4"/>
  <c r="D1320" i="4" s="1"/>
  <c r="E1320" i="4" s="1"/>
  <c r="C1319" i="4"/>
  <c r="D1319" i="4" s="1"/>
  <c r="E1319" i="4" s="1"/>
  <c r="E1318" i="4"/>
  <c r="D1318" i="4"/>
  <c r="C1318" i="4"/>
  <c r="D1317" i="4"/>
  <c r="E1317" i="4" s="1"/>
  <c r="C1317" i="4"/>
  <c r="C1316" i="4"/>
  <c r="D1316" i="4" s="1"/>
  <c r="E1316" i="4" s="1"/>
  <c r="C1315" i="4"/>
  <c r="D1315" i="4" s="1"/>
  <c r="E1315" i="4" s="1"/>
  <c r="E1314" i="4"/>
  <c r="D1314" i="4"/>
  <c r="C1314" i="4"/>
  <c r="D1313" i="4"/>
  <c r="E1313" i="4" s="1"/>
  <c r="C1313" i="4"/>
  <c r="C1312" i="4"/>
  <c r="D1312" i="4" s="1"/>
  <c r="E1312" i="4" s="1"/>
  <c r="C1311" i="4"/>
  <c r="D1311" i="4" s="1"/>
  <c r="E1311" i="4" s="1"/>
  <c r="E1310" i="4"/>
  <c r="D1310" i="4"/>
  <c r="C1310" i="4"/>
  <c r="D1309" i="4"/>
  <c r="E1309" i="4" s="1"/>
  <c r="C1309" i="4"/>
  <c r="C1308" i="4"/>
  <c r="D1308" i="4" s="1"/>
  <c r="E1308" i="4" s="1"/>
  <c r="C1307" i="4"/>
  <c r="D1307" i="4" s="1"/>
  <c r="E1307" i="4" s="1"/>
  <c r="E1306" i="4"/>
  <c r="D1306" i="4"/>
  <c r="C1306" i="4"/>
  <c r="D1305" i="4"/>
  <c r="E1305" i="4" s="1"/>
  <c r="C1305" i="4"/>
  <c r="C1304" i="4"/>
  <c r="D1304" i="4" s="1"/>
  <c r="E1304" i="4" s="1"/>
  <c r="C1303" i="4"/>
  <c r="D1303" i="4" s="1"/>
  <c r="E1303" i="4" s="1"/>
  <c r="E1302" i="4"/>
  <c r="D1302" i="4"/>
  <c r="C1302" i="4"/>
  <c r="D1301" i="4"/>
  <c r="E1301" i="4" s="1"/>
  <c r="C1301" i="4"/>
  <c r="C1300" i="4"/>
  <c r="D1300" i="4" s="1"/>
  <c r="E1300" i="4" s="1"/>
  <c r="C1299" i="4"/>
  <c r="D1299" i="4" s="1"/>
  <c r="E1299" i="4" s="1"/>
  <c r="E1298" i="4"/>
  <c r="D1298" i="4"/>
  <c r="C1298" i="4"/>
  <c r="D1297" i="4"/>
  <c r="E1297" i="4" s="1"/>
  <c r="C1297" i="4"/>
  <c r="C1296" i="4"/>
  <c r="D1296" i="4" s="1"/>
  <c r="E1296" i="4" s="1"/>
  <c r="C1295" i="4"/>
  <c r="D1295" i="4" s="1"/>
  <c r="E1295" i="4" s="1"/>
  <c r="E1294" i="4"/>
  <c r="D1294" i="4"/>
  <c r="C1294" i="4"/>
  <c r="D1293" i="4"/>
  <c r="E1293" i="4" s="1"/>
  <c r="C1293" i="4"/>
  <c r="C1292" i="4"/>
  <c r="D1292" i="4" s="1"/>
  <c r="E1292" i="4" s="1"/>
  <c r="C1291" i="4"/>
  <c r="D1291" i="4" s="1"/>
  <c r="E1291" i="4" s="1"/>
  <c r="E1290" i="4"/>
  <c r="D1290" i="4"/>
  <c r="C1290" i="4"/>
  <c r="D1289" i="4"/>
  <c r="E1289" i="4" s="1"/>
  <c r="C1289" i="4"/>
  <c r="C1288" i="4"/>
  <c r="D1288" i="4" s="1"/>
  <c r="E1288" i="4" s="1"/>
  <c r="C1287" i="4"/>
  <c r="D1287" i="4" s="1"/>
  <c r="E1287" i="4" s="1"/>
  <c r="E1286" i="4"/>
  <c r="D1286" i="4"/>
  <c r="C1286" i="4"/>
  <c r="D1285" i="4"/>
  <c r="E1285" i="4" s="1"/>
  <c r="C1285" i="4"/>
  <c r="C1284" i="4"/>
  <c r="D1284" i="4" s="1"/>
  <c r="E1284" i="4" s="1"/>
  <c r="C1283" i="4"/>
  <c r="D1283" i="4" s="1"/>
  <c r="E1283" i="4" s="1"/>
  <c r="E1282" i="4"/>
  <c r="D1282" i="4"/>
  <c r="C1282" i="4"/>
  <c r="D1281" i="4"/>
  <c r="E1281" i="4" s="1"/>
  <c r="C1281" i="4"/>
  <c r="C1280" i="4"/>
  <c r="D1280" i="4" s="1"/>
  <c r="E1280" i="4" s="1"/>
  <c r="C1279" i="4"/>
  <c r="D1279" i="4" s="1"/>
  <c r="E1279" i="4" s="1"/>
  <c r="E1278" i="4"/>
  <c r="D1278" i="4"/>
  <c r="C1278" i="4"/>
  <c r="D1277" i="4"/>
  <c r="E1277" i="4" s="1"/>
  <c r="C1277" i="4"/>
  <c r="C1276" i="4"/>
  <c r="D1276" i="4" s="1"/>
  <c r="E1276" i="4" s="1"/>
  <c r="C1275" i="4"/>
  <c r="D1275" i="4" s="1"/>
  <c r="E1275" i="4" s="1"/>
  <c r="E1274" i="4"/>
  <c r="D1274" i="4"/>
  <c r="C1274" i="4"/>
  <c r="D1273" i="4"/>
  <c r="E1273" i="4" s="1"/>
  <c r="C1273" i="4"/>
  <c r="C1272" i="4"/>
  <c r="D1272" i="4" s="1"/>
  <c r="E1272" i="4" s="1"/>
  <c r="C1271" i="4"/>
  <c r="D1271" i="4" s="1"/>
  <c r="E1271" i="4" s="1"/>
  <c r="E1270" i="4"/>
  <c r="D1270" i="4"/>
  <c r="C1270" i="4"/>
  <c r="D1269" i="4"/>
  <c r="E1269" i="4" s="1"/>
  <c r="C1269" i="4"/>
  <c r="C1268" i="4"/>
  <c r="D1268" i="4" s="1"/>
  <c r="E1268" i="4" s="1"/>
  <c r="C1267" i="4"/>
  <c r="D1267" i="4" s="1"/>
  <c r="E1267" i="4" s="1"/>
  <c r="E1266" i="4"/>
  <c r="D1266" i="4"/>
  <c r="C1266" i="4"/>
  <c r="D1265" i="4"/>
  <c r="E1265" i="4" s="1"/>
  <c r="C1265" i="4"/>
  <c r="C1264" i="4"/>
  <c r="D1264" i="4" s="1"/>
  <c r="E1264" i="4" s="1"/>
  <c r="C1263" i="4"/>
  <c r="D1263" i="4" s="1"/>
  <c r="E1263" i="4" s="1"/>
  <c r="E1262" i="4"/>
  <c r="D1262" i="4"/>
  <c r="C1262" i="4"/>
  <c r="D1261" i="4"/>
  <c r="E1261" i="4" s="1"/>
  <c r="C1261" i="4"/>
  <c r="C1260" i="4"/>
  <c r="D1260" i="4" s="1"/>
  <c r="E1260" i="4" s="1"/>
  <c r="C1259" i="4"/>
  <c r="D1259" i="4" s="1"/>
  <c r="E1259" i="4" s="1"/>
  <c r="E1258" i="4"/>
  <c r="D1258" i="4"/>
  <c r="C1258" i="4"/>
  <c r="D1257" i="4"/>
  <c r="E1257" i="4" s="1"/>
  <c r="C1257" i="4"/>
  <c r="C1256" i="4"/>
  <c r="D1256" i="4" s="1"/>
  <c r="E1256" i="4" s="1"/>
  <c r="C1255" i="4"/>
  <c r="D1255" i="4" s="1"/>
  <c r="E1255" i="4" s="1"/>
  <c r="E1254" i="4"/>
  <c r="D1254" i="4"/>
  <c r="C1254" i="4"/>
  <c r="D1253" i="4"/>
  <c r="E1253" i="4" s="1"/>
  <c r="C1253" i="4"/>
  <c r="C1252" i="4"/>
  <c r="D1252" i="4" s="1"/>
  <c r="E1252" i="4" s="1"/>
  <c r="C1251" i="4"/>
  <c r="D1251" i="4" s="1"/>
  <c r="E1251" i="4" s="1"/>
  <c r="E1250" i="4"/>
  <c r="D1250" i="4"/>
  <c r="C1250" i="4"/>
  <c r="D1249" i="4"/>
  <c r="E1249" i="4" s="1"/>
  <c r="C1249" i="4"/>
  <c r="C1248" i="4"/>
  <c r="D1248" i="4" s="1"/>
  <c r="E1248" i="4" s="1"/>
  <c r="C1247" i="4"/>
  <c r="D1247" i="4" s="1"/>
  <c r="E1247" i="4" s="1"/>
  <c r="E1246" i="4"/>
  <c r="D1246" i="4"/>
  <c r="C1246" i="4"/>
  <c r="D1245" i="4"/>
  <c r="E1245" i="4" s="1"/>
  <c r="C1245" i="4"/>
  <c r="C1244" i="4"/>
  <c r="D1244" i="4" s="1"/>
  <c r="E1244" i="4" s="1"/>
  <c r="C1243" i="4"/>
  <c r="D1243" i="4" s="1"/>
  <c r="E1243" i="4" s="1"/>
  <c r="E1242" i="4"/>
  <c r="D1242" i="4"/>
  <c r="C1242" i="4"/>
  <c r="D1241" i="4"/>
  <c r="E1241" i="4" s="1"/>
  <c r="C1241" i="4"/>
  <c r="C1240" i="4"/>
  <c r="D1240" i="4" s="1"/>
  <c r="E1240" i="4" s="1"/>
  <c r="C1239" i="4"/>
  <c r="D1239" i="4" s="1"/>
  <c r="E1239" i="4" s="1"/>
  <c r="E1238" i="4"/>
  <c r="D1238" i="4"/>
  <c r="C1238" i="4"/>
  <c r="D1237" i="4"/>
  <c r="E1237" i="4" s="1"/>
  <c r="C1237" i="4"/>
  <c r="C1236" i="4"/>
  <c r="D1236" i="4" s="1"/>
  <c r="E1236" i="4" s="1"/>
  <c r="C1235" i="4"/>
  <c r="D1235" i="4" s="1"/>
  <c r="E1235" i="4" s="1"/>
  <c r="E1234" i="4"/>
  <c r="D1234" i="4"/>
  <c r="C1234" i="4"/>
  <c r="D1233" i="4"/>
  <c r="E1233" i="4" s="1"/>
  <c r="C1233" i="4"/>
  <c r="C1232" i="4"/>
  <c r="D1232" i="4" s="1"/>
  <c r="E1232" i="4" s="1"/>
  <c r="C1231" i="4"/>
  <c r="D1231" i="4" s="1"/>
  <c r="E1231" i="4" s="1"/>
  <c r="E1230" i="4"/>
  <c r="D1230" i="4"/>
  <c r="C1230" i="4"/>
  <c r="D1229" i="4"/>
  <c r="E1229" i="4" s="1"/>
  <c r="C1229" i="4"/>
  <c r="C1228" i="4"/>
  <c r="D1228" i="4" s="1"/>
  <c r="E1228" i="4" s="1"/>
  <c r="C1227" i="4"/>
  <c r="D1227" i="4" s="1"/>
  <c r="E1227" i="4" s="1"/>
  <c r="E1226" i="4"/>
  <c r="D1226" i="4"/>
  <c r="C1226" i="4"/>
  <c r="D1225" i="4"/>
  <c r="E1225" i="4" s="1"/>
  <c r="C1225" i="4"/>
  <c r="C1224" i="4"/>
  <c r="D1224" i="4" s="1"/>
  <c r="E1224" i="4" s="1"/>
  <c r="C1223" i="4"/>
  <c r="D1223" i="4" s="1"/>
  <c r="E1223" i="4" s="1"/>
  <c r="E1222" i="4"/>
  <c r="D1222" i="4"/>
  <c r="C1222" i="4"/>
  <c r="D1221" i="4"/>
  <c r="E1221" i="4" s="1"/>
  <c r="C1221" i="4"/>
  <c r="C1220" i="4"/>
  <c r="D1220" i="4" s="1"/>
  <c r="E1220" i="4" s="1"/>
  <c r="C1219" i="4"/>
  <c r="D1219" i="4" s="1"/>
  <c r="E1219" i="4" s="1"/>
  <c r="E1218" i="4"/>
  <c r="D1218" i="4"/>
  <c r="C1218" i="4"/>
  <c r="D1217" i="4"/>
  <c r="E1217" i="4" s="1"/>
  <c r="C1217" i="4"/>
  <c r="C1216" i="4"/>
  <c r="D1216" i="4" s="1"/>
  <c r="E1216" i="4" s="1"/>
  <c r="C1215" i="4"/>
  <c r="D1215" i="4" s="1"/>
  <c r="E1215" i="4" s="1"/>
  <c r="E1214" i="4"/>
  <c r="D1214" i="4"/>
  <c r="C1214" i="4"/>
  <c r="D1213" i="4"/>
  <c r="E1213" i="4" s="1"/>
  <c r="C1213" i="4"/>
  <c r="C1212" i="4"/>
  <c r="D1212" i="4" s="1"/>
  <c r="E1212" i="4" s="1"/>
  <c r="C1211" i="4"/>
  <c r="D1211" i="4" s="1"/>
  <c r="E1211" i="4" s="1"/>
  <c r="E1210" i="4"/>
  <c r="D1210" i="4"/>
  <c r="C1210" i="4"/>
  <c r="D1209" i="4"/>
  <c r="E1209" i="4" s="1"/>
  <c r="C1209" i="4"/>
  <c r="C1208" i="4"/>
  <c r="D1208" i="4" s="1"/>
  <c r="E1208" i="4" s="1"/>
  <c r="C1207" i="4"/>
  <c r="D1207" i="4" s="1"/>
  <c r="E1207" i="4" s="1"/>
  <c r="E1206" i="4"/>
  <c r="D1206" i="4"/>
  <c r="C1206" i="4"/>
  <c r="D1205" i="4"/>
  <c r="E1205" i="4" s="1"/>
  <c r="C1205" i="4"/>
  <c r="C1204" i="4"/>
  <c r="D1204" i="4" s="1"/>
  <c r="E1204" i="4" s="1"/>
  <c r="C1203" i="4"/>
  <c r="D1203" i="4" s="1"/>
  <c r="E1203" i="4" s="1"/>
  <c r="E1202" i="4"/>
  <c r="D1202" i="4"/>
  <c r="C1202" i="4"/>
  <c r="D1201" i="4"/>
  <c r="E1201" i="4" s="1"/>
  <c r="C1201" i="4"/>
  <c r="C1200" i="4"/>
  <c r="D1200" i="4" s="1"/>
  <c r="E1200" i="4" s="1"/>
  <c r="C1199" i="4"/>
  <c r="D1199" i="4" s="1"/>
  <c r="E1199" i="4" s="1"/>
  <c r="E1198" i="4"/>
  <c r="D1198" i="4"/>
  <c r="C1198" i="4"/>
  <c r="D1197" i="4"/>
  <c r="E1197" i="4" s="1"/>
  <c r="C1197" i="4"/>
  <c r="C1196" i="4"/>
  <c r="D1196" i="4" s="1"/>
  <c r="E1196" i="4" s="1"/>
  <c r="C1195" i="4"/>
  <c r="D1195" i="4" s="1"/>
  <c r="E1195" i="4" s="1"/>
  <c r="E1194" i="4"/>
  <c r="D1194" i="4"/>
  <c r="C1194" i="4"/>
  <c r="D1193" i="4"/>
  <c r="E1193" i="4" s="1"/>
  <c r="C1193" i="4"/>
  <c r="C1192" i="4"/>
  <c r="D1192" i="4" s="1"/>
  <c r="E1192" i="4" s="1"/>
  <c r="C1191" i="4"/>
  <c r="D1191" i="4" s="1"/>
  <c r="E1191" i="4" s="1"/>
  <c r="E1190" i="4"/>
  <c r="D1190" i="4"/>
  <c r="C1190" i="4"/>
  <c r="D1189" i="4"/>
  <c r="E1189" i="4" s="1"/>
  <c r="C1189" i="4"/>
  <c r="C1188" i="4"/>
  <c r="D1188" i="4" s="1"/>
  <c r="E1188" i="4" s="1"/>
  <c r="C1187" i="4"/>
  <c r="D1187" i="4" s="1"/>
  <c r="E1187" i="4" s="1"/>
  <c r="E1186" i="4"/>
  <c r="D1186" i="4"/>
  <c r="C1186" i="4"/>
  <c r="D1185" i="4"/>
  <c r="E1185" i="4" s="1"/>
  <c r="C1185" i="4"/>
  <c r="C1184" i="4"/>
  <c r="D1184" i="4" s="1"/>
  <c r="E1184" i="4" s="1"/>
  <c r="C1183" i="4"/>
  <c r="D1183" i="4" s="1"/>
  <c r="E1183" i="4" s="1"/>
  <c r="E1182" i="4"/>
  <c r="D1182" i="4"/>
  <c r="C1182" i="4"/>
  <c r="D1181" i="4"/>
  <c r="E1181" i="4" s="1"/>
  <c r="C1181" i="4"/>
  <c r="C1180" i="4"/>
  <c r="D1180" i="4" s="1"/>
  <c r="E1180" i="4" s="1"/>
  <c r="C1179" i="4"/>
  <c r="D1179" i="4" s="1"/>
  <c r="E1179" i="4" s="1"/>
  <c r="E1178" i="4"/>
  <c r="D1178" i="4"/>
  <c r="C1178" i="4"/>
  <c r="D1177" i="4"/>
  <c r="E1177" i="4" s="1"/>
  <c r="C1177" i="4"/>
  <c r="C1176" i="4"/>
  <c r="D1176" i="4" s="1"/>
  <c r="E1176" i="4" s="1"/>
  <c r="C1175" i="4"/>
  <c r="D1175" i="4" s="1"/>
  <c r="E1175" i="4" s="1"/>
  <c r="E1174" i="4"/>
  <c r="D1174" i="4"/>
  <c r="C1174" i="4"/>
  <c r="D1173" i="4"/>
  <c r="E1173" i="4" s="1"/>
  <c r="C1173" i="4"/>
  <c r="C1172" i="4"/>
  <c r="D1172" i="4" s="1"/>
  <c r="E1172" i="4" s="1"/>
  <c r="C1171" i="4"/>
  <c r="D1171" i="4" s="1"/>
  <c r="E1171" i="4" s="1"/>
  <c r="E1170" i="4"/>
  <c r="D1170" i="4"/>
  <c r="C1170" i="4"/>
  <c r="D1169" i="4"/>
  <c r="E1169" i="4" s="1"/>
  <c r="C1169" i="4"/>
  <c r="C1168" i="4"/>
  <c r="D1168" i="4" s="1"/>
  <c r="E1168" i="4" s="1"/>
  <c r="C1167" i="4"/>
  <c r="D1167" i="4" s="1"/>
  <c r="E1167" i="4" s="1"/>
  <c r="E1166" i="4"/>
  <c r="D1166" i="4"/>
  <c r="C1166" i="4"/>
  <c r="D1165" i="4"/>
  <c r="E1165" i="4" s="1"/>
  <c r="C1165" i="4"/>
  <c r="C1164" i="4"/>
  <c r="D1164" i="4" s="1"/>
  <c r="E1164" i="4" s="1"/>
  <c r="C1163" i="4"/>
  <c r="D1163" i="4" s="1"/>
  <c r="E1163" i="4" s="1"/>
  <c r="E1162" i="4"/>
  <c r="D1162" i="4"/>
  <c r="C1162" i="4"/>
  <c r="D1161" i="4"/>
  <c r="E1161" i="4" s="1"/>
  <c r="C1161" i="4"/>
  <c r="C1160" i="4"/>
  <c r="D1160" i="4" s="1"/>
  <c r="E1160" i="4" s="1"/>
  <c r="C1159" i="4"/>
  <c r="D1159" i="4" s="1"/>
  <c r="E1159" i="4" s="1"/>
  <c r="E1158" i="4"/>
  <c r="D1158" i="4"/>
  <c r="C1158" i="4"/>
  <c r="D1157" i="4"/>
  <c r="E1157" i="4" s="1"/>
  <c r="C1157" i="4"/>
  <c r="C1156" i="4"/>
  <c r="D1156" i="4" s="1"/>
  <c r="E1156" i="4" s="1"/>
  <c r="C1155" i="4"/>
  <c r="D1155" i="4" s="1"/>
  <c r="E1155" i="4" s="1"/>
  <c r="E1154" i="4"/>
  <c r="D1154" i="4"/>
  <c r="C1154" i="4"/>
  <c r="D1153" i="4"/>
  <c r="E1153" i="4" s="1"/>
  <c r="C1153" i="4"/>
  <c r="C1152" i="4"/>
  <c r="D1152" i="4" s="1"/>
  <c r="E1152" i="4" s="1"/>
  <c r="C1151" i="4"/>
  <c r="D1151" i="4" s="1"/>
  <c r="E1151" i="4" s="1"/>
  <c r="E1150" i="4"/>
  <c r="D1150" i="4"/>
  <c r="C1150" i="4"/>
  <c r="D1149" i="4"/>
  <c r="E1149" i="4" s="1"/>
  <c r="C1149" i="4"/>
  <c r="C1148" i="4"/>
  <c r="D1148" i="4" s="1"/>
  <c r="E1148" i="4" s="1"/>
  <c r="C1147" i="4"/>
  <c r="D1147" i="4" s="1"/>
  <c r="E1147" i="4" s="1"/>
  <c r="E1146" i="4"/>
  <c r="D1146" i="4"/>
  <c r="C1146" i="4"/>
  <c r="D1145" i="4"/>
  <c r="E1145" i="4" s="1"/>
  <c r="C1145" i="4"/>
  <c r="C1144" i="4"/>
  <c r="D1144" i="4" s="1"/>
  <c r="E1144" i="4" s="1"/>
  <c r="C1143" i="4"/>
  <c r="D1143" i="4" s="1"/>
  <c r="E1143" i="4" s="1"/>
  <c r="E1142" i="4"/>
  <c r="D1142" i="4"/>
  <c r="C1142" i="4"/>
  <c r="D1141" i="4"/>
  <c r="E1141" i="4" s="1"/>
  <c r="C1141" i="4"/>
  <c r="C1140" i="4"/>
  <c r="D1140" i="4" s="1"/>
  <c r="E1140" i="4" s="1"/>
  <c r="C1139" i="4"/>
  <c r="D1139" i="4" s="1"/>
  <c r="E1139" i="4" s="1"/>
  <c r="E1138" i="4"/>
  <c r="D1138" i="4"/>
  <c r="C1138" i="4"/>
  <c r="D1137" i="4"/>
  <c r="E1137" i="4" s="1"/>
  <c r="C1137" i="4"/>
  <c r="C1136" i="4"/>
  <c r="D1136" i="4" s="1"/>
  <c r="E1136" i="4" s="1"/>
  <c r="C1135" i="4"/>
  <c r="D1135" i="4" s="1"/>
  <c r="E1135" i="4" s="1"/>
  <c r="E1134" i="4"/>
  <c r="D1134" i="4"/>
  <c r="C1134" i="4"/>
  <c r="D1133" i="4"/>
  <c r="E1133" i="4" s="1"/>
  <c r="C1133" i="4"/>
  <c r="C1132" i="4"/>
  <c r="D1132" i="4" s="1"/>
  <c r="E1132" i="4" s="1"/>
  <c r="C1131" i="4"/>
  <c r="D1131" i="4" s="1"/>
  <c r="E1131" i="4" s="1"/>
  <c r="E1130" i="4"/>
  <c r="D1130" i="4"/>
  <c r="C1130" i="4"/>
  <c r="D1129" i="4"/>
  <c r="E1129" i="4" s="1"/>
  <c r="C1129" i="4"/>
  <c r="C1128" i="4"/>
  <c r="D1128" i="4" s="1"/>
  <c r="E1128" i="4" s="1"/>
  <c r="E1127" i="4"/>
  <c r="D1127" i="4"/>
  <c r="C1127" i="4"/>
  <c r="E1126" i="4"/>
  <c r="D1126" i="4"/>
  <c r="C1126" i="4"/>
  <c r="D1125" i="4"/>
  <c r="E1125" i="4" s="1"/>
  <c r="C1125" i="4"/>
  <c r="C1124" i="4"/>
  <c r="D1124" i="4" s="1"/>
  <c r="E1124" i="4" s="1"/>
  <c r="E1123" i="4"/>
  <c r="D1123" i="4"/>
  <c r="C1123" i="4"/>
  <c r="E1122" i="4"/>
  <c r="D1122" i="4"/>
  <c r="C1122" i="4"/>
  <c r="D1121" i="4"/>
  <c r="E1121" i="4" s="1"/>
  <c r="C1121" i="4"/>
  <c r="C1120" i="4"/>
  <c r="D1120" i="4" s="1"/>
  <c r="E1120" i="4" s="1"/>
  <c r="E1119" i="4"/>
  <c r="D1119" i="4"/>
  <c r="C1119" i="4"/>
  <c r="E1118" i="4"/>
  <c r="D1118" i="4"/>
  <c r="C1118" i="4"/>
  <c r="D1117" i="4"/>
  <c r="E1117" i="4" s="1"/>
  <c r="C1117" i="4"/>
  <c r="C1116" i="4"/>
  <c r="D1116" i="4" s="1"/>
  <c r="E1116" i="4" s="1"/>
  <c r="E1115" i="4"/>
  <c r="D1115" i="4"/>
  <c r="C1115" i="4"/>
  <c r="E1114" i="4"/>
  <c r="D1114" i="4"/>
  <c r="C1114" i="4"/>
  <c r="D1113" i="4"/>
  <c r="E1113" i="4" s="1"/>
  <c r="C1113" i="4"/>
  <c r="C1112" i="4"/>
  <c r="D1112" i="4" s="1"/>
  <c r="E1112" i="4" s="1"/>
  <c r="E1111" i="4"/>
  <c r="D1111" i="4"/>
  <c r="C1111" i="4"/>
  <c r="E1110" i="4"/>
  <c r="D1110" i="4"/>
  <c r="C1110" i="4"/>
  <c r="D1109" i="4"/>
  <c r="E1109" i="4" s="1"/>
  <c r="C1109" i="4"/>
  <c r="C1108" i="4"/>
  <c r="D1108" i="4" s="1"/>
  <c r="E1108" i="4" s="1"/>
  <c r="E1107" i="4"/>
  <c r="D1107" i="4"/>
  <c r="C1107" i="4"/>
  <c r="E1106" i="4"/>
  <c r="D1106" i="4"/>
  <c r="C1106" i="4"/>
  <c r="D1105" i="4"/>
  <c r="E1105" i="4" s="1"/>
  <c r="C1105" i="4"/>
  <c r="C1104" i="4"/>
  <c r="D1104" i="4" s="1"/>
  <c r="E1104" i="4" s="1"/>
  <c r="E1103" i="4"/>
  <c r="D1103" i="4"/>
  <c r="C1103" i="4"/>
  <c r="E1102" i="4"/>
  <c r="D1102" i="4"/>
  <c r="C1102" i="4"/>
  <c r="D1101" i="4"/>
  <c r="E1101" i="4" s="1"/>
  <c r="C1101" i="4"/>
  <c r="C1100" i="4"/>
  <c r="D1100" i="4" s="1"/>
  <c r="E1100" i="4" s="1"/>
  <c r="E1099" i="4"/>
  <c r="D1099" i="4"/>
  <c r="C1099" i="4"/>
  <c r="E1098" i="4"/>
  <c r="D1098" i="4"/>
  <c r="C1098" i="4"/>
  <c r="D1097" i="4"/>
  <c r="E1097" i="4" s="1"/>
  <c r="C1097" i="4"/>
  <c r="C1096" i="4"/>
  <c r="D1096" i="4" s="1"/>
  <c r="E1096" i="4" s="1"/>
  <c r="E1095" i="4"/>
  <c r="D1095" i="4"/>
  <c r="C1095" i="4"/>
  <c r="E1094" i="4"/>
  <c r="D1094" i="4"/>
  <c r="C1094" i="4"/>
  <c r="D1093" i="4"/>
  <c r="E1093" i="4" s="1"/>
  <c r="C1093" i="4"/>
  <c r="C1092" i="4"/>
  <c r="D1092" i="4" s="1"/>
  <c r="E1092" i="4" s="1"/>
  <c r="E1091" i="4"/>
  <c r="D1091" i="4"/>
  <c r="C1091" i="4"/>
  <c r="E1090" i="4"/>
  <c r="D1090" i="4"/>
  <c r="C1090" i="4"/>
  <c r="D1089" i="4"/>
  <c r="E1089" i="4" s="1"/>
  <c r="C1089" i="4"/>
  <c r="C1088" i="4"/>
  <c r="D1088" i="4" s="1"/>
  <c r="E1088" i="4" s="1"/>
  <c r="E1087" i="4"/>
  <c r="D1087" i="4"/>
  <c r="C1087" i="4"/>
  <c r="E1086" i="4"/>
  <c r="D1086" i="4"/>
  <c r="C1086" i="4"/>
  <c r="D1085" i="4"/>
  <c r="E1085" i="4" s="1"/>
  <c r="C1085" i="4"/>
  <c r="C1084" i="4"/>
  <c r="D1084" i="4" s="1"/>
  <c r="E1084" i="4" s="1"/>
  <c r="E1083" i="4"/>
  <c r="D1083" i="4"/>
  <c r="C1083" i="4"/>
  <c r="E1082" i="4"/>
  <c r="D1082" i="4"/>
  <c r="C1082" i="4"/>
  <c r="D1081" i="4"/>
  <c r="E1081" i="4" s="1"/>
  <c r="C1081" i="4"/>
  <c r="C1080" i="4"/>
  <c r="D1080" i="4" s="1"/>
  <c r="E1080" i="4" s="1"/>
  <c r="E1079" i="4"/>
  <c r="D1079" i="4"/>
  <c r="C1079" i="4"/>
  <c r="E1078" i="4"/>
  <c r="D1078" i="4"/>
  <c r="C1078" i="4"/>
  <c r="D1077" i="4"/>
  <c r="E1077" i="4" s="1"/>
  <c r="C1077" i="4"/>
  <c r="C1076" i="4"/>
  <c r="D1076" i="4" s="1"/>
  <c r="E1076" i="4" s="1"/>
  <c r="E1075" i="4"/>
  <c r="D1075" i="4"/>
  <c r="C1075" i="4"/>
  <c r="E1074" i="4"/>
  <c r="D1074" i="4"/>
  <c r="C1074" i="4"/>
  <c r="D1073" i="4"/>
  <c r="E1073" i="4" s="1"/>
  <c r="C1073" i="4"/>
  <c r="C1072" i="4"/>
  <c r="D1072" i="4" s="1"/>
  <c r="E1072" i="4" s="1"/>
  <c r="E1071" i="4"/>
  <c r="D1071" i="4"/>
  <c r="C1071" i="4"/>
  <c r="E1070" i="4"/>
  <c r="D1070" i="4"/>
  <c r="C1070" i="4"/>
  <c r="D1069" i="4"/>
  <c r="E1069" i="4" s="1"/>
  <c r="C1069" i="4"/>
  <c r="C1068" i="4"/>
  <c r="D1068" i="4" s="1"/>
  <c r="E1068" i="4" s="1"/>
  <c r="E1067" i="4"/>
  <c r="D1067" i="4"/>
  <c r="C1067" i="4"/>
  <c r="E1066" i="4"/>
  <c r="D1066" i="4"/>
  <c r="C1066" i="4"/>
  <c r="D1065" i="4"/>
  <c r="E1065" i="4" s="1"/>
  <c r="C1065" i="4"/>
  <c r="C1064" i="4"/>
  <c r="D1064" i="4" s="1"/>
  <c r="E1064" i="4" s="1"/>
  <c r="E1063" i="4"/>
  <c r="D1063" i="4"/>
  <c r="C1063" i="4"/>
  <c r="E1062" i="4"/>
  <c r="D1062" i="4"/>
  <c r="C1062" i="4"/>
  <c r="D1061" i="4"/>
  <c r="E1061" i="4" s="1"/>
  <c r="C1061" i="4"/>
  <c r="C1060" i="4"/>
  <c r="D1060" i="4" s="1"/>
  <c r="E1060" i="4" s="1"/>
  <c r="E1059" i="4"/>
  <c r="D1059" i="4"/>
  <c r="C1059" i="4"/>
  <c r="E1058" i="4"/>
  <c r="D1058" i="4"/>
  <c r="C1058" i="4"/>
  <c r="D1057" i="4"/>
  <c r="E1057" i="4" s="1"/>
  <c r="C1057" i="4"/>
  <c r="C1056" i="4"/>
  <c r="D1056" i="4" s="1"/>
  <c r="E1056" i="4" s="1"/>
  <c r="E1055" i="4"/>
  <c r="D1055" i="4"/>
  <c r="C1055" i="4"/>
  <c r="E1054" i="4"/>
  <c r="D1054" i="4"/>
  <c r="C1054" i="4"/>
  <c r="D1053" i="4"/>
  <c r="E1053" i="4" s="1"/>
  <c r="C1053" i="4"/>
  <c r="C1052" i="4"/>
  <c r="D1052" i="4" s="1"/>
  <c r="E1052" i="4" s="1"/>
  <c r="E1051" i="4"/>
  <c r="D1051" i="4"/>
  <c r="C1051" i="4"/>
  <c r="E1050" i="4"/>
  <c r="D1050" i="4"/>
  <c r="C1050" i="4"/>
  <c r="D1049" i="4"/>
  <c r="E1049" i="4" s="1"/>
  <c r="C1049" i="4"/>
  <c r="C1048" i="4"/>
  <c r="D1048" i="4" s="1"/>
  <c r="E1048" i="4" s="1"/>
  <c r="E1047" i="4"/>
  <c r="D1047" i="4"/>
  <c r="C1047" i="4"/>
  <c r="E1046" i="4"/>
  <c r="D1046" i="4"/>
  <c r="C1046" i="4"/>
  <c r="D1045" i="4"/>
  <c r="E1045" i="4" s="1"/>
  <c r="C1045" i="4"/>
  <c r="C1044" i="4"/>
  <c r="D1044" i="4" s="1"/>
  <c r="E1044" i="4" s="1"/>
  <c r="E1043" i="4"/>
  <c r="D1043" i="4"/>
  <c r="C1043" i="4"/>
  <c r="E1042" i="4"/>
  <c r="D1042" i="4"/>
  <c r="C1042" i="4"/>
  <c r="D1041" i="4"/>
  <c r="E1041" i="4" s="1"/>
  <c r="C1041" i="4"/>
  <c r="C1040" i="4"/>
  <c r="D1040" i="4" s="1"/>
  <c r="E1040" i="4" s="1"/>
  <c r="E1039" i="4"/>
  <c r="D1039" i="4"/>
  <c r="C1039" i="4"/>
  <c r="E1038" i="4"/>
  <c r="D1038" i="4"/>
  <c r="C1038" i="4"/>
  <c r="D1037" i="4"/>
  <c r="E1037" i="4" s="1"/>
  <c r="C1037" i="4"/>
  <c r="C1036" i="4"/>
  <c r="D1036" i="4" s="1"/>
  <c r="E1036" i="4" s="1"/>
  <c r="E1035" i="4"/>
  <c r="D1035" i="4"/>
  <c r="C1035" i="4"/>
  <c r="E1034" i="4"/>
  <c r="D1034" i="4"/>
  <c r="C1034" i="4"/>
  <c r="D1033" i="4"/>
  <c r="E1033" i="4" s="1"/>
  <c r="C1033" i="4"/>
  <c r="C1032" i="4"/>
  <c r="D1032" i="4" s="1"/>
  <c r="E1032" i="4" s="1"/>
  <c r="E1031" i="4"/>
  <c r="D1031" i="4"/>
  <c r="C1031" i="4"/>
  <c r="E1030" i="4"/>
  <c r="D1030" i="4"/>
  <c r="C1030" i="4"/>
  <c r="D1029" i="4"/>
  <c r="E1029" i="4" s="1"/>
  <c r="C1029" i="4"/>
  <c r="C1028" i="4"/>
  <c r="D1028" i="4" s="1"/>
  <c r="E1028" i="4" s="1"/>
  <c r="E1027" i="4"/>
  <c r="D1027" i="4"/>
  <c r="C1027" i="4"/>
  <c r="E1026" i="4"/>
  <c r="D1026" i="4"/>
  <c r="C1026" i="4"/>
  <c r="D1025" i="4"/>
  <c r="E1025" i="4" s="1"/>
  <c r="C1025" i="4"/>
  <c r="C1024" i="4"/>
  <c r="D1024" i="4" s="1"/>
  <c r="E1024" i="4" s="1"/>
  <c r="E1023" i="4"/>
  <c r="D1023" i="4"/>
  <c r="C1023" i="4"/>
  <c r="E1022" i="4"/>
  <c r="D1022" i="4"/>
  <c r="C1022" i="4"/>
  <c r="D1021" i="4"/>
  <c r="E1021" i="4" s="1"/>
  <c r="C1021" i="4"/>
  <c r="C1020" i="4"/>
  <c r="D1020" i="4" s="1"/>
  <c r="E1020" i="4" s="1"/>
  <c r="E1019" i="4"/>
  <c r="D1019" i="4"/>
  <c r="C1019" i="4"/>
  <c r="E1018" i="4"/>
  <c r="D1018" i="4"/>
  <c r="C1018" i="4"/>
  <c r="D1017" i="4"/>
  <c r="E1017" i="4" s="1"/>
  <c r="C1017" i="4"/>
  <c r="C1016" i="4"/>
  <c r="D1016" i="4" s="1"/>
  <c r="E1016" i="4" s="1"/>
  <c r="E1015" i="4"/>
  <c r="D1015" i="4"/>
  <c r="C1015" i="4"/>
  <c r="E1014" i="4"/>
  <c r="D1014" i="4"/>
  <c r="C1014" i="4"/>
  <c r="D1013" i="4"/>
  <c r="E1013" i="4" s="1"/>
  <c r="C1013" i="4"/>
  <c r="C1012" i="4"/>
  <c r="D1012" i="4" s="1"/>
  <c r="E1012" i="4" s="1"/>
  <c r="E1011" i="4"/>
  <c r="D1011" i="4"/>
  <c r="C1011" i="4"/>
  <c r="E1010" i="4"/>
  <c r="D1010" i="4"/>
  <c r="C1010" i="4"/>
  <c r="D1009" i="4"/>
  <c r="E1009" i="4" s="1"/>
  <c r="C1009" i="4"/>
  <c r="C1008" i="4"/>
  <c r="D1008" i="4" s="1"/>
  <c r="E1008" i="4" s="1"/>
  <c r="E1007" i="4"/>
  <c r="D1007" i="4"/>
  <c r="C1007" i="4"/>
  <c r="E1006" i="4"/>
  <c r="D1006" i="4"/>
  <c r="C1006" i="4"/>
  <c r="D1005" i="4"/>
  <c r="E1005" i="4" s="1"/>
  <c r="C1005" i="4"/>
  <c r="C1004" i="4"/>
  <c r="D1004" i="4" s="1"/>
  <c r="E1004" i="4" s="1"/>
  <c r="E1003" i="4"/>
  <c r="D1003" i="4"/>
  <c r="C1003" i="4"/>
  <c r="E1002" i="4"/>
  <c r="D1002" i="4"/>
  <c r="C1002" i="4"/>
  <c r="D1001" i="4"/>
  <c r="E1001" i="4" s="1"/>
  <c r="C1001" i="4"/>
  <c r="C1000" i="4"/>
  <c r="D1000" i="4" s="1"/>
  <c r="E1000" i="4" s="1"/>
  <c r="E999" i="4"/>
  <c r="D999" i="4"/>
  <c r="C999" i="4"/>
  <c r="E998" i="4"/>
  <c r="D998" i="4"/>
  <c r="C998" i="4"/>
  <c r="D997" i="4"/>
  <c r="E997" i="4" s="1"/>
  <c r="C997" i="4"/>
  <c r="C996" i="4"/>
  <c r="D996" i="4" s="1"/>
  <c r="E996" i="4" s="1"/>
  <c r="E995" i="4"/>
  <c r="D995" i="4"/>
  <c r="C995" i="4"/>
  <c r="E994" i="4"/>
  <c r="D994" i="4"/>
  <c r="C994" i="4"/>
  <c r="D993" i="4"/>
  <c r="E993" i="4" s="1"/>
  <c r="C993" i="4"/>
  <c r="C992" i="4"/>
  <c r="D992" i="4" s="1"/>
  <c r="E992" i="4" s="1"/>
  <c r="E991" i="4"/>
  <c r="D991" i="4"/>
  <c r="C991" i="4"/>
  <c r="E990" i="4"/>
  <c r="D990" i="4"/>
  <c r="C990" i="4"/>
  <c r="D989" i="4"/>
  <c r="E989" i="4" s="1"/>
  <c r="C989" i="4"/>
  <c r="C988" i="4"/>
  <c r="D988" i="4" s="1"/>
  <c r="E988" i="4" s="1"/>
  <c r="E987" i="4"/>
  <c r="D987" i="4"/>
  <c r="C987" i="4"/>
  <c r="E986" i="4"/>
  <c r="D986" i="4"/>
  <c r="C986" i="4"/>
  <c r="D985" i="4"/>
  <c r="E985" i="4" s="1"/>
  <c r="C985" i="4"/>
  <c r="C984" i="4"/>
  <c r="D984" i="4" s="1"/>
  <c r="E984" i="4" s="1"/>
  <c r="E983" i="4"/>
  <c r="D983" i="4"/>
  <c r="C983" i="4"/>
  <c r="E982" i="4"/>
  <c r="D982" i="4"/>
  <c r="C982" i="4"/>
  <c r="D981" i="4"/>
  <c r="E981" i="4" s="1"/>
  <c r="C981" i="4"/>
  <c r="C980" i="4"/>
  <c r="D980" i="4" s="1"/>
  <c r="E980" i="4" s="1"/>
  <c r="E979" i="4"/>
  <c r="D979" i="4"/>
  <c r="C979" i="4"/>
  <c r="E978" i="4"/>
  <c r="D978" i="4"/>
  <c r="C978" i="4"/>
  <c r="D977" i="4"/>
  <c r="E977" i="4" s="1"/>
  <c r="C977" i="4"/>
  <c r="C976" i="4"/>
  <c r="D976" i="4" s="1"/>
  <c r="E976" i="4" s="1"/>
  <c r="E975" i="4"/>
  <c r="D975" i="4"/>
  <c r="C975" i="4"/>
  <c r="E974" i="4"/>
  <c r="D974" i="4"/>
  <c r="C974" i="4"/>
  <c r="C973" i="4"/>
  <c r="D973" i="4" s="1"/>
  <c r="E973" i="4" s="1"/>
  <c r="C972" i="4"/>
  <c r="D972" i="4" s="1"/>
  <c r="E972" i="4" s="1"/>
  <c r="E971" i="4"/>
  <c r="D971" i="4"/>
  <c r="C971" i="4"/>
  <c r="D970" i="4"/>
  <c r="E970" i="4" s="1"/>
  <c r="C970" i="4"/>
  <c r="D969" i="4"/>
  <c r="E969" i="4" s="1"/>
  <c r="C969" i="4"/>
  <c r="C968" i="4"/>
  <c r="D968" i="4" s="1"/>
  <c r="E968" i="4" s="1"/>
  <c r="E967" i="4"/>
  <c r="D967" i="4"/>
  <c r="C967" i="4"/>
  <c r="D966" i="4"/>
  <c r="E966" i="4" s="1"/>
  <c r="C966" i="4"/>
  <c r="C965" i="4"/>
  <c r="D965" i="4" s="1"/>
  <c r="E965" i="4" s="1"/>
  <c r="C964" i="4"/>
  <c r="D964" i="4" s="1"/>
  <c r="E964" i="4" s="1"/>
  <c r="E963" i="4"/>
  <c r="D963" i="4"/>
  <c r="C963" i="4"/>
  <c r="D962" i="4"/>
  <c r="E962" i="4" s="1"/>
  <c r="C962" i="4"/>
  <c r="C961" i="4"/>
  <c r="D961" i="4" s="1"/>
  <c r="E961" i="4" s="1"/>
  <c r="C960" i="4"/>
  <c r="D960" i="4" s="1"/>
  <c r="E960" i="4" s="1"/>
  <c r="E959" i="4"/>
  <c r="D959" i="4"/>
  <c r="C959" i="4"/>
  <c r="E958" i="4"/>
  <c r="D958" i="4"/>
  <c r="C958" i="4"/>
  <c r="C957" i="4"/>
  <c r="D957" i="4" s="1"/>
  <c r="E957" i="4" s="1"/>
  <c r="C956" i="4"/>
  <c r="D956" i="4" s="1"/>
  <c r="E956" i="4" s="1"/>
  <c r="E955" i="4"/>
  <c r="D955" i="4"/>
  <c r="C955" i="4"/>
  <c r="D954" i="4"/>
  <c r="E954" i="4" s="1"/>
  <c r="C954" i="4"/>
  <c r="D953" i="4"/>
  <c r="E953" i="4" s="1"/>
  <c r="C953" i="4"/>
  <c r="C952" i="4"/>
  <c r="D952" i="4" s="1"/>
  <c r="E952" i="4" s="1"/>
  <c r="E951" i="4"/>
  <c r="D951" i="4"/>
  <c r="C951" i="4"/>
  <c r="D950" i="4"/>
  <c r="E950" i="4" s="1"/>
  <c r="C950" i="4"/>
  <c r="C949" i="4"/>
  <c r="D949" i="4" s="1"/>
  <c r="E949" i="4" s="1"/>
  <c r="C948" i="4"/>
  <c r="D948" i="4" s="1"/>
  <c r="E948" i="4" s="1"/>
  <c r="E947" i="4"/>
  <c r="D947" i="4"/>
  <c r="C947" i="4"/>
  <c r="D946" i="4"/>
  <c r="E946" i="4" s="1"/>
  <c r="C946" i="4"/>
  <c r="C945" i="4"/>
  <c r="D945" i="4" s="1"/>
  <c r="E945" i="4" s="1"/>
  <c r="C944" i="4"/>
  <c r="D944" i="4" s="1"/>
  <c r="E944" i="4" s="1"/>
  <c r="E943" i="4"/>
  <c r="D943" i="4"/>
  <c r="C943" i="4"/>
  <c r="E942" i="4"/>
  <c r="D942" i="4"/>
  <c r="C942" i="4"/>
  <c r="C941" i="4"/>
  <c r="D941" i="4" s="1"/>
  <c r="E941" i="4" s="1"/>
  <c r="C940" i="4"/>
  <c r="D940" i="4" s="1"/>
  <c r="E940" i="4" s="1"/>
  <c r="D939" i="4"/>
  <c r="E939" i="4" s="1"/>
  <c r="C939" i="4"/>
  <c r="C938" i="4"/>
  <c r="D938" i="4" s="1"/>
  <c r="E938" i="4" s="1"/>
  <c r="D937" i="4"/>
  <c r="E937" i="4" s="1"/>
  <c r="C937" i="4"/>
  <c r="C936" i="4"/>
  <c r="D936" i="4" s="1"/>
  <c r="E936" i="4" s="1"/>
  <c r="E935" i="4"/>
  <c r="D935" i="4"/>
  <c r="C935" i="4"/>
  <c r="D934" i="4"/>
  <c r="E934" i="4" s="1"/>
  <c r="C934" i="4"/>
  <c r="C933" i="4"/>
  <c r="D933" i="4" s="1"/>
  <c r="E933" i="4" s="1"/>
  <c r="E932" i="4"/>
  <c r="C932" i="4"/>
  <c r="D932" i="4" s="1"/>
  <c r="D931" i="4"/>
  <c r="E931" i="4" s="1"/>
  <c r="C931" i="4"/>
  <c r="C930" i="4"/>
  <c r="D930" i="4" s="1"/>
  <c r="E930" i="4" s="1"/>
  <c r="D929" i="4"/>
  <c r="E929" i="4" s="1"/>
  <c r="C929" i="4"/>
  <c r="C928" i="4"/>
  <c r="D928" i="4" s="1"/>
  <c r="E928" i="4" s="1"/>
  <c r="E927" i="4"/>
  <c r="D927" i="4"/>
  <c r="C927" i="4"/>
  <c r="D926" i="4"/>
  <c r="E926" i="4" s="1"/>
  <c r="C926" i="4"/>
  <c r="C925" i="4"/>
  <c r="D925" i="4" s="1"/>
  <c r="E925" i="4" s="1"/>
  <c r="E924" i="4"/>
  <c r="C924" i="4"/>
  <c r="D924" i="4" s="1"/>
  <c r="D923" i="4"/>
  <c r="E923" i="4" s="1"/>
  <c r="C923" i="4"/>
  <c r="C922" i="4"/>
  <c r="D922" i="4" s="1"/>
  <c r="E922" i="4" s="1"/>
  <c r="D921" i="4"/>
  <c r="E921" i="4" s="1"/>
  <c r="C921" i="4"/>
  <c r="C920" i="4"/>
  <c r="D920" i="4" s="1"/>
  <c r="E920" i="4" s="1"/>
  <c r="E919" i="4"/>
  <c r="D919" i="4"/>
  <c r="C919" i="4"/>
  <c r="D918" i="4"/>
  <c r="E918" i="4" s="1"/>
  <c r="C918" i="4"/>
  <c r="C917" i="4"/>
  <c r="D917" i="4" s="1"/>
  <c r="E917" i="4" s="1"/>
  <c r="E916" i="4"/>
  <c r="C916" i="4"/>
  <c r="D916" i="4" s="1"/>
  <c r="D915" i="4"/>
  <c r="E915" i="4" s="1"/>
  <c r="C915" i="4"/>
  <c r="C914" i="4"/>
  <c r="D914" i="4" s="1"/>
  <c r="E914" i="4" s="1"/>
  <c r="D913" i="4"/>
  <c r="E913" i="4" s="1"/>
  <c r="C913" i="4"/>
  <c r="C912" i="4"/>
  <c r="D912" i="4" s="1"/>
  <c r="E912" i="4" s="1"/>
  <c r="E911" i="4"/>
  <c r="D911" i="4"/>
  <c r="C911" i="4"/>
  <c r="D910" i="4"/>
  <c r="E910" i="4" s="1"/>
  <c r="C910" i="4"/>
  <c r="C909" i="4"/>
  <c r="D909" i="4" s="1"/>
  <c r="E909" i="4" s="1"/>
  <c r="E908" i="4"/>
  <c r="C908" i="4"/>
  <c r="D908" i="4" s="1"/>
  <c r="D907" i="4"/>
  <c r="E907" i="4" s="1"/>
  <c r="C907" i="4"/>
  <c r="C906" i="4"/>
  <c r="D906" i="4" s="1"/>
  <c r="E906" i="4" s="1"/>
  <c r="D905" i="4"/>
  <c r="E905" i="4" s="1"/>
  <c r="C905" i="4"/>
  <c r="C904" i="4"/>
  <c r="D904" i="4" s="1"/>
  <c r="E904" i="4" s="1"/>
  <c r="E903" i="4"/>
  <c r="D903" i="4"/>
  <c r="C903" i="4"/>
  <c r="D902" i="4"/>
  <c r="E902" i="4" s="1"/>
  <c r="C902" i="4"/>
  <c r="C901" i="4"/>
  <c r="D901" i="4" s="1"/>
  <c r="E901" i="4" s="1"/>
  <c r="E900" i="4"/>
  <c r="C900" i="4"/>
  <c r="D900" i="4" s="1"/>
  <c r="D899" i="4"/>
  <c r="E899" i="4" s="1"/>
  <c r="C899" i="4"/>
  <c r="C898" i="4"/>
  <c r="D898" i="4" s="1"/>
  <c r="E898" i="4" s="1"/>
  <c r="D897" i="4"/>
  <c r="E897" i="4" s="1"/>
  <c r="C897" i="4"/>
  <c r="C896" i="4"/>
  <c r="D896" i="4" s="1"/>
  <c r="E896" i="4" s="1"/>
  <c r="E895" i="4"/>
  <c r="D895" i="4"/>
  <c r="C895" i="4"/>
  <c r="D894" i="4"/>
  <c r="E894" i="4" s="1"/>
  <c r="C894" i="4"/>
  <c r="C893" i="4"/>
  <c r="D893" i="4" s="1"/>
  <c r="E893" i="4" s="1"/>
  <c r="E892" i="4"/>
  <c r="C892" i="4"/>
  <c r="D892" i="4" s="1"/>
  <c r="D891" i="4"/>
  <c r="E891" i="4" s="1"/>
  <c r="C891" i="4"/>
  <c r="C890" i="4"/>
  <c r="D890" i="4" s="1"/>
  <c r="E890" i="4" s="1"/>
  <c r="D889" i="4"/>
  <c r="E889" i="4" s="1"/>
  <c r="C889" i="4"/>
  <c r="C888" i="4"/>
  <c r="D888" i="4" s="1"/>
  <c r="E888" i="4" s="1"/>
  <c r="E887" i="4"/>
  <c r="D887" i="4"/>
  <c r="C887" i="4"/>
  <c r="D886" i="4"/>
  <c r="E886" i="4" s="1"/>
  <c r="C886" i="4"/>
  <c r="C885" i="4"/>
  <c r="D885" i="4" s="1"/>
  <c r="E885" i="4" s="1"/>
  <c r="E884" i="4"/>
  <c r="C884" i="4"/>
  <c r="D884" i="4" s="1"/>
  <c r="D883" i="4"/>
  <c r="E883" i="4" s="1"/>
  <c r="C883" i="4"/>
  <c r="C882" i="4"/>
  <c r="D882" i="4" s="1"/>
  <c r="E882" i="4" s="1"/>
  <c r="D881" i="4"/>
  <c r="E881" i="4" s="1"/>
  <c r="C881" i="4"/>
  <c r="C880" i="4"/>
  <c r="D880" i="4" s="1"/>
  <c r="E880" i="4" s="1"/>
  <c r="E879" i="4"/>
  <c r="D879" i="4"/>
  <c r="C879" i="4"/>
  <c r="D878" i="4"/>
  <c r="E878" i="4" s="1"/>
  <c r="C878" i="4"/>
  <c r="C877" i="4"/>
  <c r="D877" i="4" s="1"/>
  <c r="E877" i="4" s="1"/>
  <c r="E876" i="4"/>
  <c r="C876" i="4"/>
  <c r="D876" i="4" s="1"/>
  <c r="D875" i="4"/>
  <c r="E875" i="4" s="1"/>
  <c r="C875" i="4"/>
  <c r="C874" i="4"/>
  <c r="D874" i="4" s="1"/>
  <c r="E874" i="4" s="1"/>
  <c r="D873" i="4"/>
  <c r="E873" i="4" s="1"/>
  <c r="C873" i="4"/>
  <c r="C872" i="4"/>
  <c r="D872" i="4" s="1"/>
  <c r="E872" i="4" s="1"/>
  <c r="E871" i="4"/>
  <c r="D871" i="4"/>
  <c r="C871" i="4"/>
  <c r="D870" i="4"/>
  <c r="E870" i="4" s="1"/>
  <c r="C870" i="4"/>
  <c r="C869" i="4"/>
  <c r="D869" i="4" s="1"/>
  <c r="E869" i="4" s="1"/>
  <c r="E868" i="4"/>
  <c r="C868" i="4"/>
  <c r="D868" i="4" s="1"/>
  <c r="D867" i="4"/>
  <c r="E867" i="4" s="1"/>
  <c r="C867" i="4"/>
  <c r="C866" i="4"/>
  <c r="D866" i="4" s="1"/>
  <c r="E866" i="4" s="1"/>
  <c r="D865" i="4"/>
  <c r="E865" i="4" s="1"/>
  <c r="C865" i="4"/>
  <c r="C864" i="4"/>
  <c r="D864" i="4" s="1"/>
  <c r="E864" i="4" s="1"/>
  <c r="E863" i="4"/>
  <c r="D863" i="4"/>
  <c r="C863" i="4"/>
  <c r="D862" i="4"/>
  <c r="E862" i="4" s="1"/>
  <c r="C862" i="4"/>
  <c r="C861" i="4"/>
  <c r="D861" i="4" s="1"/>
  <c r="E861" i="4" s="1"/>
  <c r="E860" i="4"/>
  <c r="C860" i="4"/>
  <c r="D860" i="4" s="1"/>
  <c r="D859" i="4"/>
  <c r="E859" i="4" s="1"/>
  <c r="C859" i="4"/>
  <c r="C858" i="4"/>
  <c r="D858" i="4" s="1"/>
  <c r="E858" i="4" s="1"/>
  <c r="D857" i="4"/>
  <c r="E857" i="4" s="1"/>
  <c r="C857" i="4"/>
  <c r="C856" i="4"/>
  <c r="D856" i="4" s="1"/>
  <c r="E856" i="4" s="1"/>
  <c r="E855" i="4"/>
  <c r="D855" i="4"/>
  <c r="C855" i="4"/>
  <c r="D854" i="4"/>
  <c r="E854" i="4" s="1"/>
  <c r="C854" i="4"/>
  <c r="C853" i="4"/>
  <c r="D853" i="4" s="1"/>
  <c r="E853" i="4" s="1"/>
  <c r="E852" i="4"/>
  <c r="C852" i="4"/>
  <c r="D852" i="4" s="1"/>
  <c r="D851" i="4"/>
  <c r="E851" i="4" s="1"/>
  <c r="C851" i="4"/>
  <c r="C850" i="4"/>
  <c r="D850" i="4" s="1"/>
  <c r="E850" i="4" s="1"/>
  <c r="D849" i="4"/>
  <c r="E849" i="4" s="1"/>
  <c r="C849" i="4"/>
  <c r="C848" i="4"/>
  <c r="D848" i="4" s="1"/>
  <c r="E848" i="4" s="1"/>
  <c r="E847" i="4"/>
  <c r="D847" i="4"/>
  <c r="C847" i="4"/>
  <c r="D846" i="4"/>
  <c r="E846" i="4" s="1"/>
  <c r="C846" i="4"/>
  <c r="C845" i="4"/>
  <c r="D845" i="4" s="1"/>
  <c r="E845" i="4" s="1"/>
  <c r="E844" i="4"/>
  <c r="C844" i="4"/>
  <c r="D844" i="4" s="1"/>
  <c r="D843" i="4"/>
  <c r="E843" i="4" s="1"/>
  <c r="C843" i="4"/>
  <c r="C842" i="4"/>
  <c r="D842" i="4" s="1"/>
  <c r="E842" i="4" s="1"/>
  <c r="E841" i="4"/>
  <c r="C841" i="4"/>
  <c r="D841" i="4" s="1"/>
  <c r="D840" i="4"/>
  <c r="E840" i="4" s="1"/>
  <c r="C840" i="4"/>
  <c r="C839" i="4"/>
  <c r="D839" i="4" s="1"/>
  <c r="E839" i="4" s="1"/>
  <c r="C838" i="4"/>
  <c r="D838" i="4" s="1"/>
  <c r="E838" i="4" s="1"/>
  <c r="E837" i="4"/>
  <c r="C837" i="4"/>
  <c r="D837" i="4" s="1"/>
  <c r="D836" i="4"/>
  <c r="E836" i="4" s="1"/>
  <c r="C836" i="4"/>
  <c r="C835" i="4"/>
  <c r="D835" i="4" s="1"/>
  <c r="E835" i="4" s="1"/>
  <c r="C834" i="4"/>
  <c r="D834" i="4" s="1"/>
  <c r="E834" i="4" s="1"/>
  <c r="E833" i="4"/>
  <c r="C833" i="4"/>
  <c r="D833" i="4" s="1"/>
  <c r="D832" i="4"/>
  <c r="E832" i="4" s="1"/>
  <c r="C832" i="4"/>
  <c r="C831" i="4"/>
  <c r="D831" i="4" s="1"/>
  <c r="E831" i="4" s="1"/>
  <c r="C830" i="4"/>
  <c r="D830" i="4" s="1"/>
  <c r="E830" i="4" s="1"/>
  <c r="E829" i="4"/>
  <c r="C829" i="4"/>
  <c r="D829" i="4" s="1"/>
  <c r="D828" i="4"/>
  <c r="E828" i="4" s="1"/>
  <c r="C828" i="4"/>
  <c r="C827" i="4"/>
  <c r="D827" i="4" s="1"/>
  <c r="E827" i="4" s="1"/>
  <c r="C826" i="4"/>
  <c r="D826" i="4" s="1"/>
  <c r="E826" i="4" s="1"/>
  <c r="E825" i="4"/>
  <c r="C825" i="4"/>
  <c r="D825" i="4" s="1"/>
  <c r="D824" i="4"/>
  <c r="E824" i="4" s="1"/>
  <c r="C824" i="4"/>
  <c r="C823" i="4"/>
  <c r="D823" i="4" s="1"/>
  <c r="E823" i="4" s="1"/>
  <c r="C822" i="4"/>
  <c r="D822" i="4" s="1"/>
  <c r="E822" i="4" s="1"/>
  <c r="E821" i="4"/>
  <c r="C821" i="4"/>
  <c r="D821" i="4" s="1"/>
  <c r="D820" i="4"/>
  <c r="E820" i="4" s="1"/>
  <c r="C820" i="4"/>
  <c r="C819" i="4"/>
  <c r="D819" i="4" s="1"/>
  <c r="E819" i="4" s="1"/>
  <c r="C818" i="4"/>
  <c r="D818" i="4" s="1"/>
  <c r="E818" i="4" s="1"/>
  <c r="E817" i="4"/>
  <c r="C817" i="4"/>
  <c r="D817" i="4" s="1"/>
  <c r="D816" i="4"/>
  <c r="E816" i="4" s="1"/>
  <c r="C816" i="4"/>
  <c r="C815" i="4"/>
  <c r="D815" i="4" s="1"/>
  <c r="E815" i="4" s="1"/>
  <c r="C814" i="4"/>
  <c r="D814" i="4" s="1"/>
  <c r="E814" i="4" s="1"/>
  <c r="E813" i="4"/>
  <c r="C813" i="4"/>
  <c r="D813" i="4" s="1"/>
  <c r="D812" i="4"/>
  <c r="E812" i="4" s="1"/>
  <c r="C812" i="4"/>
  <c r="C811" i="4"/>
  <c r="D811" i="4" s="1"/>
  <c r="E811" i="4" s="1"/>
  <c r="C810" i="4"/>
  <c r="D810" i="4" s="1"/>
  <c r="E810" i="4" s="1"/>
  <c r="E809" i="4"/>
  <c r="C809" i="4"/>
  <c r="D809" i="4" s="1"/>
  <c r="D808" i="4"/>
  <c r="E808" i="4" s="1"/>
  <c r="C808" i="4"/>
  <c r="C807" i="4"/>
  <c r="D807" i="4" s="1"/>
  <c r="E807" i="4" s="1"/>
  <c r="C806" i="4"/>
  <c r="D806" i="4" s="1"/>
  <c r="E806" i="4" s="1"/>
  <c r="E805" i="4"/>
  <c r="C805" i="4"/>
  <c r="D805" i="4" s="1"/>
  <c r="D804" i="4"/>
  <c r="E804" i="4" s="1"/>
  <c r="C804" i="4"/>
  <c r="C803" i="4"/>
  <c r="D803" i="4" s="1"/>
  <c r="E803" i="4" s="1"/>
  <c r="C802" i="4"/>
  <c r="D802" i="4" s="1"/>
  <c r="E802" i="4" s="1"/>
  <c r="E801" i="4"/>
  <c r="C801" i="4"/>
  <c r="D801" i="4" s="1"/>
  <c r="D800" i="4"/>
  <c r="E800" i="4" s="1"/>
  <c r="C800" i="4"/>
  <c r="C799" i="4"/>
  <c r="D799" i="4" s="1"/>
  <c r="E799" i="4" s="1"/>
  <c r="C798" i="4"/>
  <c r="D798" i="4" s="1"/>
  <c r="E798" i="4" s="1"/>
  <c r="E797" i="4"/>
  <c r="C797" i="4"/>
  <c r="D797" i="4" s="1"/>
  <c r="D796" i="4"/>
  <c r="E796" i="4" s="1"/>
  <c r="C796" i="4"/>
  <c r="C795" i="4"/>
  <c r="D795" i="4" s="1"/>
  <c r="E795" i="4" s="1"/>
  <c r="C794" i="4"/>
  <c r="D794" i="4" s="1"/>
  <c r="E794" i="4" s="1"/>
  <c r="E793" i="4"/>
  <c r="C793" i="4"/>
  <c r="D793" i="4" s="1"/>
  <c r="D792" i="4"/>
  <c r="E792" i="4" s="1"/>
  <c r="C792" i="4"/>
  <c r="C791" i="4"/>
  <c r="D791" i="4" s="1"/>
  <c r="E791" i="4" s="1"/>
  <c r="C790" i="4"/>
  <c r="D790" i="4" s="1"/>
  <c r="E790" i="4" s="1"/>
  <c r="E789" i="4"/>
  <c r="C789" i="4"/>
  <c r="D789" i="4" s="1"/>
  <c r="D788" i="4"/>
  <c r="E788" i="4" s="1"/>
  <c r="C788" i="4"/>
  <c r="C787" i="4"/>
  <c r="D787" i="4" s="1"/>
  <c r="E787" i="4" s="1"/>
  <c r="C786" i="4"/>
  <c r="D786" i="4" s="1"/>
  <c r="E786" i="4" s="1"/>
  <c r="E785" i="4"/>
  <c r="C785" i="4"/>
  <c r="D785" i="4" s="1"/>
  <c r="D784" i="4"/>
  <c r="E784" i="4" s="1"/>
  <c r="C784" i="4"/>
  <c r="C783" i="4"/>
  <c r="D783" i="4" s="1"/>
  <c r="E783" i="4" s="1"/>
  <c r="C782" i="4"/>
  <c r="D782" i="4" s="1"/>
  <c r="E782" i="4" s="1"/>
  <c r="E781" i="4"/>
  <c r="C781" i="4"/>
  <c r="D781" i="4" s="1"/>
  <c r="D780" i="4"/>
  <c r="E780" i="4" s="1"/>
  <c r="C780" i="4"/>
  <c r="C779" i="4"/>
  <c r="D779" i="4" s="1"/>
  <c r="E779" i="4" s="1"/>
  <c r="C778" i="4"/>
  <c r="D778" i="4" s="1"/>
  <c r="E778" i="4" s="1"/>
  <c r="E777" i="4"/>
  <c r="C777" i="4"/>
  <c r="D777" i="4" s="1"/>
  <c r="D776" i="4"/>
  <c r="E776" i="4" s="1"/>
  <c r="C776" i="4"/>
  <c r="C775" i="4"/>
  <c r="D775" i="4" s="1"/>
  <c r="E775" i="4" s="1"/>
  <c r="C774" i="4"/>
  <c r="D774" i="4" s="1"/>
  <c r="E774" i="4" s="1"/>
  <c r="E773" i="4"/>
  <c r="C773" i="4"/>
  <c r="D773" i="4" s="1"/>
  <c r="D772" i="4"/>
  <c r="E772" i="4" s="1"/>
  <c r="C772" i="4"/>
  <c r="C771" i="4"/>
  <c r="D771" i="4" s="1"/>
  <c r="E771" i="4" s="1"/>
  <c r="C770" i="4"/>
  <c r="D770" i="4" s="1"/>
  <c r="E770" i="4" s="1"/>
  <c r="E769" i="4"/>
  <c r="C769" i="4"/>
  <c r="D769" i="4" s="1"/>
  <c r="D768" i="4"/>
  <c r="E768" i="4" s="1"/>
  <c r="C768" i="4"/>
  <c r="C767" i="4"/>
  <c r="D767" i="4" s="1"/>
  <c r="E767" i="4" s="1"/>
  <c r="C766" i="4"/>
  <c r="D766" i="4" s="1"/>
  <c r="E766" i="4" s="1"/>
  <c r="E765" i="4"/>
  <c r="C765" i="4"/>
  <c r="D765" i="4" s="1"/>
  <c r="D764" i="4"/>
  <c r="E764" i="4" s="1"/>
  <c r="C764" i="4"/>
  <c r="C763" i="4"/>
  <c r="D763" i="4" s="1"/>
  <c r="E763" i="4" s="1"/>
  <c r="C762" i="4"/>
  <c r="D762" i="4" s="1"/>
  <c r="E762" i="4" s="1"/>
  <c r="E761" i="4"/>
  <c r="C761" i="4"/>
  <c r="D761" i="4" s="1"/>
  <c r="D760" i="4"/>
  <c r="E760" i="4" s="1"/>
  <c r="C760" i="4"/>
  <c r="C759" i="4"/>
  <c r="D759" i="4" s="1"/>
  <c r="E759" i="4" s="1"/>
  <c r="C758" i="4"/>
  <c r="D758" i="4" s="1"/>
  <c r="E758" i="4" s="1"/>
  <c r="E757" i="4"/>
  <c r="C757" i="4"/>
  <c r="D757" i="4" s="1"/>
  <c r="D756" i="4"/>
  <c r="E756" i="4" s="1"/>
  <c r="C756" i="4"/>
  <c r="C755" i="4"/>
  <c r="D755" i="4" s="1"/>
  <c r="E755" i="4" s="1"/>
  <c r="C754" i="4"/>
  <c r="D754" i="4" s="1"/>
  <c r="E754" i="4" s="1"/>
  <c r="E753" i="4"/>
  <c r="C753" i="4"/>
  <c r="D753" i="4" s="1"/>
  <c r="D752" i="4"/>
  <c r="E752" i="4" s="1"/>
  <c r="C752" i="4"/>
  <c r="C751" i="4"/>
  <c r="D751" i="4" s="1"/>
  <c r="E751" i="4" s="1"/>
  <c r="C750" i="4"/>
  <c r="D750" i="4" s="1"/>
  <c r="E750" i="4" s="1"/>
  <c r="E749" i="4"/>
  <c r="C749" i="4"/>
  <c r="D749" i="4" s="1"/>
  <c r="D748" i="4"/>
  <c r="E748" i="4" s="1"/>
  <c r="C748" i="4"/>
  <c r="C747" i="4"/>
  <c r="D747" i="4" s="1"/>
  <c r="E747" i="4" s="1"/>
  <c r="C746" i="4"/>
  <c r="D746" i="4" s="1"/>
  <c r="E746" i="4" s="1"/>
  <c r="E745" i="4"/>
  <c r="C745" i="4"/>
  <c r="D745" i="4" s="1"/>
  <c r="D744" i="4"/>
  <c r="E744" i="4" s="1"/>
  <c r="C744" i="4"/>
  <c r="C743" i="4"/>
  <c r="D743" i="4" s="1"/>
  <c r="E743" i="4" s="1"/>
  <c r="C742" i="4"/>
  <c r="D742" i="4" s="1"/>
  <c r="E742" i="4" s="1"/>
  <c r="E741" i="4"/>
  <c r="C741" i="4"/>
  <c r="D741" i="4" s="1"/>
  <c r="D740" i="4"/>
  <c r="E740" i="4" s="1"/>
  <c r="C740" i="4"/>
  <c r="C739" i="4"/>
  <c r="D739" i="4" s="1"/>
  <c r="E739" i="4" s="1"/>
  <c r="C738" i="4"/>
  <c r="D738" i="4" s="1"/>
  <c r="E738" i="4" s="1"/>
  <c r="E737" i="4"/>
  <c r="C737" i="4"/>
  <c r="D737" i="4" s="1"/>
  <c r="D736" i="4"/>
  <c r="E736" i="4" s="1"/>
  <c r="C736" i="4"/>
  <c r="C735" i="4"/>
  <c r="D735" i="4" s="1"/>
  <c r="E735" i="4" s="1"/>
  <c r="C734" i="4"/>
  <c r="D734" i="4" s="1"/>
  <c r="E734" i="4" s="1"/>
  <c r="E733" i="4"/>
  <c r="C733" i="4"/>
  <c r="D733" i="4" s="1"/>
  <c r="D732" i="4"/>
  <c r="E732" i="4" s="1"/>
  <c r="C732" i="4"/>
  <c r="C731" i="4"/>
  <c r="D731" i="4" s="1"/>
  <c r="E731" i="4" s="1"/>
  <c r="C730" i="4"/>
  <c r="D730" i="4" s="1"/>
  <c r="E730" i="4" s="1"/>
  <c r="E729" i="4"/>
  <c r="C729" i="4"/>
  <c r="D729" i="4" s="1"/>
  <c r="D728" i="4"/>
  <c r="E728" i="4" s="1"/>
  <c r="C728" i="4"/>
  <c r="C727" i="4"/>
  <c r="D727" i="4" s="1"/>
  <c r="E727" i="4" s="1"/>
  <c r="C726" i="4"/>
  <c r="D726" i="4" s="1"/>
  <c r="E726" i="4" s="1"/>
  <c r="E725" i="4"/>
  <c r="C725" i="4"/>
  <c r="D725" i="4" s="1"/>
  <c r="D724" i="4"/>
  <c r="E724" i="4" s="1"/>
  <c r="C724" i="4"/>
  <c r="C723" i="4"/>
  <c r="D723" i="4" s="1"/>
  <c r="E723" i="4" s="1"/>
  <c r="C722" i="4"/>
  <c r="D722" i="4" s="1"/>
  <c r="E722" i="4" s="1"/>
  <c r="E721" i="4"/>
  <c r="C721" i="4"/>
  <c r="D721" i="4" s="1"/>
  <c r="D720" i="4"/>
  <c r="E720" i="4" s="1"/>
  <c r="C720" i="4"/>
  <c r="C719" i="4"/>
  <c r="D719" i="4" s="1"/>
  <c r="E719" i="4" s="1"/>
  <c r="C718" i="4"/>
  <c r="D718" i="4" s="1"/>
  <c r="E718" i="4" s="1"/>
  <c r="E717" i="4"/>
  <c r="C717" i="4"/>
  <c r="D717" i="4" s="1"/>
  <c r="D716" i="4"/>
  <c r="E716" i="4" s="1"/>
  <c r="C716" i="4"/>
  <c r="C715" i="4"/>
  <c r="D715" i="4" s="1"/>
  <c r="E715" i="4" s="1"/>
  <c r="C714" i="4"/>
  <c r="D714" i="4" s="1"/>
  <c r="E714" i="4" s="1"/>
  <c r="E713" i="4"/>
  <c r="C713" i="4"/>
  <c r="D713" i="4" s="1"/>
  <c r="D712" i="4"/>
  <c r="E712" i="4" s="1"/>
  <c r="C712" i="4"/>
  <c r="C711" i="4"/>
  <c r="D711" i="4" s="1"/>
  <c r="E711" i="4" s="1"/>
  <c r="C710" i="4"/>
  <c r="D710" i="4" s="1"/>
  <c r="E710" i="4" s="1"/>
  <c r="E709" i="4"/>
  <c r="C709" i="4"/>
  <c r="D709" i="4" s="1"/>
  <c r="D708" i="4"/>
  <c r="E708" i="4" s="1"/>
  <c r="C708" i="4"/>
  <c r="C707" i="4"/>
  <c r="D707" i="4" s="1"/>
  <c r="E707" i="4" s="1"/>
  <c r="C706" i="4"/>
  <c r="D706" i="4" s="1"/>
  <c r="E706" i="4" s="1"/>
  <c r="E705" i="4"/>
  <c r="C705" i="4"/>
  <c r="D705" i="4" s="1"/>
  <c r="D704" i="4"/>
  <c r="E704" i="4" s="1"/>
  <c r="C704" i="4"/>
  <c r="C703" i="4"/>
  <c r="D703" i="4" s="1"/>
  <c r="E703" i="4" s="1"/>
  <c r="C702" i="4"/>
  <c r="D702" i="4" s="1"/>
  <c r="E702" i="4" s="1"/>
  <c r="E701" i="4"/>
  <c r="C701" i="4"/>
  <c r="D701" i="4" s="1"/>
  <c r="D700" i="4"/>
  <c r="E700" i="4" s="1"/>
  <c r="C700" i="4"/>
  <c r="C699" i="4"/>
  <c r="D699" i="4" s="1"/>
  <c r="E699" i="4" s="1"/>
  <c r="C698" i="4"/>
  <c r="D698" i="4" s="1"/>
  <c r="E698" i="4" s="1"/>
  <c r="E697" i="4"/>
  <c r="C697" i="4"/>
  <c r="D697" i="4" s="1"/>
  <c r="D696" i="4"/>
  <c r="E696" i="4" s="1"/>
  <c r="C696" i="4"/>
  <c r="C695" i="4"/>
  <c r="D695" i="4" s="1"/>
  <c r="E695" i="4" s="1"/>
  <c r="C694" i="4"/>
  <c r="D694" i="4" s="1"/>
  <c r="E694" i="4" s="1"/>
  <c r="E693" i="4"/>
  <c r="C693" i="4"/>
  <c r="D693" i="4" s="1"/>
  <c r="D692" i="4"/>
  <c r="E692" i="4" s="1"/>
  <c r="C692" i="4"/>
  <c r="C691" i="4"/>
  <c r="D691" i="4" s="1"/>
  <c r="E691" i="4" s="1"/>
  <c r="C690" i="4"/>
  <c r="D690" i="4" s="1"/>
  <c r="E690" i="4" s="1"/>
  <c r="E689" i="4"/>
  <c r="C689" i="4"/>
  <c r="D689" i="4" s="1"/>
  <c r="D688" i="4"/>
  <c r="E688" i="4" s="1"/>
  <c r="C688" i="4"/>
  <c r="C687" i="4"/>
  <c r="D687" i="4" s="1"/>
  <c r="E687" i="4" s="1"/>
  <c r="C686" i="4"/>
  <c r="D686" i="4" s="1"/>
  <c r="E686" i="4" s="1"/>
  <c r="E685" i="4"/>
  <c r="C685" i="4"/>
  <c r="D685" i="4" s="1"/>
  <c r="D684" i="4"/>
  <c r="E684" i="4" s="1"/>
  <c r="C684" i="4"/>
  <c r="C683" i="4"/>
  <c r="D683" i="4" s="1"/>
  <c r="E683" i="4" s="1"/>
  <c r="C682" i="4"/>
  <c r="D682" i="4" s="1"/>
  <c r="E682" i="4" s="1"/>
  <c r="E681" i="4"/>
  <c r="C681" i="4"/>
  <c r="D681" i="4" s="1"/>
  <c r="D680" i="4"/>
  <c r="E680" i="4" s="1"/>
  <c r="C680" i="4"/>
  <c r="C679" i="4"/>
  <c r="D679" i="4" s="1"/>
  <c r="E679" i="4" s="1"/>
  <c r="C678" i="4"/>
  <c r="D678" i="4" s="1"/>
  <c r="E678" i="4" s="1"/>
  <c r="E677" i="4"/>
  <c r="C677" i="4"/>
  <c r="D677" i="4" s="1"/>
  <c r="D676" i="4"/>
  <c r="E676" i="4" s="1"/>
  <c r="C676" i="4"/>
  <c r="C675" i="4"/>
  <c r="D675" i="4" s="1"/>
  <c r="E675" i="4" s="1"/>
  <c r="C674" i="4"/>
  <c r="D674" i="4" s="1"/>
  <c r="E674" i="4" s="1"/>
  <c r="E673" i="4"/>
  <c r="C673" i="4"/>
  <c r="D673" i="4" s="1"/>
  <c r="D672" i="4"/>
  <c r="E672" i="4" s="1"/>
  <c r="C672" i="4"/>
  <c r="C671" i="4"/>
  <c r="D671" i="4" s="1"/>
  <c r="E671" i="4" s="1"/>
  <c r="C670" i="4"/>
  <c r="D670" i="4" s="1"/>
  <c r="E670" i="4" s="1"/>
  <c r="E669" i="4"/>
  <c r="C669" i="4"/>
  <c r="D669" i="4" s="1"/>
  <c r="D668" i="4"/>
  <c r="E668" i="4" s="1"/>
  <c r="C668" i="4"/>
  <c r="C667" i="4"/>
  <c r="D667" i="4" s="1"/>
  <c r="E667" i="4" s="1"/>
  <c r="C666" i="4"/>
  <c r="D666" i="4" s="1"/>
  <c r="E666" i="4" s="1"/>
  <c r="E665" i="4"/>
  <c r="C665" i="4"/>
  <c r="D665" i="4" s="1"/>
  <c r="D664" i="4"/>
  <c r="E664" i="4" s="1"/>
  <c r="C664" i="4"/>
  <c r="C663" i="4"/>
  <c r="D663" i="4" s="1"/>
  <c r="E663" i="4" s="1"/>
  <c r="C662" i="4"/>
  <c r="D662" i="4" s="1"/>
  <c r="E662" i="4" s="1"/>
  <c r="E661" i="4"/>
  <c r="C661" i="4"/>
  <c r="D661" i="4" s="1"/>
  <c r="D660" i="4"/>
  <c r="E660" i="4" s="1"/>
  <c r="C660" i="4"/>
  <c r="C659" i="4"/>
  <c r="D659" i="4" s="1"/>
  <c r="E659" i="4" s="1"/>
  <c r="C658" i="4"/>
  <c r="D658" i="4" s="1"/>
  <c r="E658" i="4" s="1"/>
  <c r="E657" i="4"/>
  <c r="C657" i="4"/>
  <c r="D657" i="4" s="1"/>
  <c r="D656" i="4"/>
  <c r="E656" i="4" s="1"/>
  <c r="C656" i="4"/>
  <c r="C655" i="4"/>
  <c r="D655" i="4" s="1"/>
  <c r="E655" i="4" s="1"/>
  <c r="C654" i="4"/>
  <c r="D654" i="4" s="1"/>
  <c r="E654" i="4" s="1"/>
  <c r="E653" i="4"/>
  <c r="C653" i="4"/>
  <c r="D653" i="4" s="1"/>
  <c r="D652" i="4"/>
  <c r="E652" i="4" s="1"/>
  <c r="C652" i="4"/>
  <c r="C651" i="4"/>
  <c r="D651" i="4" s="1"/>
  <c r="E651" i="4" s="1"/>
  <c r="C650" i="4"/>
  <c r="D650" i="4" s="1"/>
  <c r="E650" i="4" s="1"/>
  <c r="E649" i="4"/>
  <c r="C649" i="4"/>
  <c r="D649" i="4" s="1"/>
  <c r="D648" i="4"/>
  <c r="E648" i="4" s="1"/>
  <c r="C648" i="4"/>
  <c r="C647" i="4"/>
  <c r="D647" i="4" s="1"/>
  <c r="E647" i="4" s="1"/>
  <c r="C646" i="4"/>
  <c r="D646" i="4" s="1"/>
  <c r="E646" i="4" s="1"/>
  <c r="E645" i="4"/>
  <c r="C645" i="4"/>
  <c r="D645" i="4" s="1"/>
  <c r="D644" i="4"/>
  <c r="E644" i="4" s="1"/>
  <c r="C644" i="4"/>
  <c r="C643" i="4"/>
  <c r="D643" i="4" s="1"/>
  <c r="E643" i="4" s="1"/>
  <c r="C642" i="4"/>
  <c r="D642" i="4" s="1"/>
  <c r="E642" i="4" s="1"/>
  <c r="E641" i="4"/>
  <c r="C641" i="4"/>
  <c r="D641" i="4" s="1"/>
  <c r="D640" i="4"/>
  <c r="E640" i="4" s="1"/>
  <c r="C640" i="4"/>
  <c r="C639" i="4"/>
  <c r="D639" i="4" s="1"/>
  <c r="E639" i="4" s="1"/>
  <c r="C638" i="4"/>
  <c r="D638" i="4" s="1"/>
  <c r="E638" i="4" s="1"/>
  <c r="E637" i="4"/>
  <c r="C637" i="4"/>
  <c r="D637" i="4" s="1"/>
  <c r="D636" i="4"/>
  <c r="E636" i="4" s="1"/>
  <c r="C636" i="4"/>
  <c r="C635" i="4"/>
  <c r="D635" i="4" s="1"/>
  <c r="E635" i="4" s="1"/>
  <c r="C634" i="4"/>
  <c r="D634" i="4" s="1"/>
  <c r="E634" i="4" s="1"/>
  <c r="E633" i="4"/>
  <c r="C633" i="4"/>
  <c r="D633" i="4" s="1"/>
  <c r="D632" i="4"/>
  <c r="E632" i="4" s="1"/>
  <c r="C632" i="4"/>
  <c r="C631" i="4"/>
  <c r="D631" i="4" s="1"/>
  <c r="E631" i="4" s="1"/>
  <c r="C630" i="4"/>
  <c r="D630" i="4" s="1"/>
  <c r="E630" i="4" s="1"/>
  <c r="E629" i="4"/>
  <c r="C629" i="4"/>
  <c r="D629" i="4" s="1"/>
  <c r="D628" i="4"/>
  <c r="E628" i="4" s="1"/>
  <c r="C628" i="4"/>
  <c r="C627" i="4"/>
  <c r="D627" i="4" s="1"/>
  <c r="E627" i="4" s="1"/>
  <c r="C626" i="4"/>
  <c r="D626" i="4" s="1"/>
  <c r="E626" i="4" s="1"/>
  <c r="E625" i="4"/>
  <c r="C625" i="4"/>
  <c r="D625" i="4" s="1"/>
  <c r="D624" i="4"/>
  <c r="E624" i="4" s="1"/>
  <c r="C624" i="4"/>
  <c r="C623" i="4"/>
  <c r="D623" i="4" s="1"/>
  <c r="E623" i="4" s="1"/>
  <c r="C622" i="4"/>
  <c r="D622" i="4" s="1"/>
  <c r="E622" i="4" s="1"/>
  <c r="E621" i="4"/>
  <c r="C621" i="4"/>
  <c r="D621" i="4" s="1"/>
  <c r="D620" i="4"/>
  <c r="E620" i="4" s="1"/>
  <c r="C620" i="4"/>
  <c r="C619" i="4"/>
  <c r="D619" i="4" s="1"/>
  <c r="E619" i="4" s="1"/>
  <c r="C618" i="4"/>
  <c r="D618" i="4" s="1"/>
  <c r="E618" i="4" s="1"/>
  <c r="E617" i="4"/>
  <c r="C617" i="4"/>
  <c r="D617" i="4" s="1"/>
  <c r="D616" i="4"/>
  <c r="E616" i="4" s="1"/>
  <c r="C616" i="4"/>
  <c r="C615" i="4"/>
  <c r="D615" i="4" s="1"/>
  <c r="E615" i="4" s="1"/>
  <c r="C614" i="4"/>
  <c r="D614" i="4" s="1"/>
  <c r="E614" i="4" s="1"/>
  <c r="E613" i="4"/>
  <c r="C613" i="4"/>
  <c r="D613" i="4" s="1"/>
  <c r="D612" i="4"/>
  <c r="E612" i="4" s="1"/>
  <c r="C612" i="4"/>
  <c r="C611" i="4"/>
  <c r="D611" i="4" s="1"/>
  <c r="E611" i="4" s="1"/>
  <c r="C610" i="4"/>
  <c r="D610" i="4" s="1"/>
  <c r="E610" i="4" s="1"/>
  <c r="E609" i="4"/>
  <c r="C609" i="4"/>
  <c r="D609" i="4" s="1"/>
  <c r="D608" i="4"/>
  <c r="E608" i="4" s="1"/>
  <c r="C608" i="4"/>
  <c r="C607" i="4"/>
  <c r="D607" i="4" s="1"/>
  <c r="E607" i="4" s="1"/>
  <c r="C606" i="4"/>
  <c r="D606" i="4" s="1"/>
  <c r="E606" i="4" s="1"/>
  <c r="E605" i="4"/>
  <c r="C605" i="4"/>
  <c r="D605" i="4" s="1"/>
  <c r="D604" i="4"/>
  <c r="E604" i="4" s="1"/>
  <c r="C604" i="4"/>
  <c r="C603" i="4"/>
  <c r="D603" i="4" s="1"/>
  <c r="E603" i="4" s="1"/>
  <c r="C602" i="4"/>
  <c r="D602" i="4" s="1"/>
  <c r="E602" i="4" s="1"/>
  <c r="E601" i="4"/>
  <c r="C601" i="4"/>
  <c r="D601" i="4" s="1"/>
  <c r="D600" i="4"/>
  <c r="E600" i="4" s="1"/>
  <c r="C600" i="4"/>
  <c r="C599" i="4"/>
  <c r="D599" i="4" s="1"/>
  <c r="E599" i="4" s="1"/>
  <c r="C598" i="4"/>
  <c r="D598" i="4" s="1"/>
  <c r="E598" i="4" s="1"/>
  <c r="E597" i="4"/>
  <c r="C597" i="4"/>
  <c r="D597" i="4" s="1"/>
  <c r="D596" i="4"/>
  <c r="E596" i="4" s="1"/>
  <c r="C596" i="4"/>
  <c r="C595" i="4"/>
  <c r="D595" i="4" s="1"/>
  <c r="E595" i="4" s="1"/>
  <c r="C594" i="4"/>
  <c r="D594" i="4" s="1"/>
  <c r="E594" i="4" s="1"/>
  <c r="E593" i="4"/>
  <c r="C593" i="4"/>
  <c r="D593" i="4" s="1"/>
  <c r="D592" i="4"/>
  <c r="E592" i="4" s="1"/>
  <c r="C592" i="4"/>
  <c r="C591" i="4"/>
  <c r="D591" i="4" s="1"/>
  <c r="E591" i="4" s="1"/>
  <c r="C590" i="4"/>
  <c r="D590" i="4" s="1"/>
  <c r="E590" i="4" s="1"/>
  <c r="E589" i="4"/>
  <c r="C589" i="4"/>
  <c r="D589" i="4" s="1"/>
  <c r="D588" i="4"/>
  <c r="E588" i="4" s="1"/>
  <c r="C588" i="4"/>
  <c r="C587" i="4"/>
  <c r="D587" i="4" s="1"/>
  <c r="E587" i="4" s="1"/>
  <c r="C586" i="4"/>
  <c r="D586" i="4" s="1"/>
  <c r="E586" i="4" s="1"/>
  <c r="E585" i="4"/>
  <c r="C585" i="4"/>
  <c r="D585" i="4" s="1"/>
  <c r="D584" i="4"/>
  <c r="E584" i="4" s="1"/>
  <c r="C584" i="4"/>
  <c r="C583" i="4"/>
  <c r="D583" i="4" s="1"/>
  <c r="E583" i="4" s="1"/>
  <c r="C582" i="4"/>
  <c r="D582" i="4" s="1"/>
  <c r="E582" i="4" s="1"/>
  <c r="E581" i="4"/>
  <c r="C581" i="4"/>
  <c r="D581" i="4" s="1"/>
  <c r="D580" i="4"/>
  <c r="E580" i="4" s="1"/>
  <c r="C580" i="4"/>
  <c r="C579" i="4"/>
  <c r="D579" i="4" s="1"/>
  <c r="E579" i="4" s="1"/>
  <c r="C578" i="4"/>
  <c r="D578" i="4" s="1"/>
  <c r="E578" i="4" s="1"/>
  <c r="E577" i="4"/>
  <c r="C577" i="4"/>
  <c r="D577" i="4" s="1"/>
  <c r="D576" i="4"/>
  <c r="E576" i="4" s="1"/>
  <c r="C576" i="4"/>
  <c r="C575" i="4"/>
  <c r="D575" i="4" s="1"/>
  <c r="E575" i="4" s="1"/>
  <c r="C574" i="4"/>
  <c r="D574" i="4" s="1"/>
  <c r="E574" i="4" s="1"/>
  <c r="E573" i="4"/>
  <c r="C573" i="4"/>
  <c r="D573" i="4" s="1"/>
  <c r="D572" i="4"/>
  <c r="E572" i="4" s="1"/>
  <c r="C572" i="4"/>
  <c r="C571" i="4"/>
  <c r="D571" i="4" s="1"/>
  <c r="E571" i="4" s="1"/>
  <c r="C570" i="4"/>
  <c r="D570" i="4" s="1"/>
  <c r="E570" i="4" s="1"/>
  <c r="E569" i="4"/>
  <c r="C569" i="4"/>
  <c r="D569" i="4" s="1"/>
  <c r="D568" i="4"/>
  <c r="E568" i="4" s="1"/>
  <c r="C568" i="4"/>
  <c r="C567" i="4"/>
  <c r="D567" i="4" s="1"/>
  <c r="E567" i="4" s="1"/>
  <c r="C566" i="4"/>
  <c r="D566" i="4" s="1"/>
  <c r="E566" i="4" s="1"/>
  <c r="E565" i="4"/>
  <c r="C565" i="4"/>
  <c r="D565" i="4" s="1"/>
  <c r="D564" i="4"/>
  <c r="E564" i="4" s="1"/>
  <c r="C564" i="4"/>
  <c r="C563" i="4"/>
  <c r="D563" i="4" s="1"/>
  <c r="E563" i="4" s="1"/>
  <c r="C562" i="4"/>
  <c r="D562" i="4" s="1"/>
  <c r="E562" i="4" s="1"/>
  <c r="E561" i="4"/>
  <c r="C561" i="4"/>
  <c r="D561" i="4" s="1"/>
  <c r="D560" i="4"/>
  <c r="E560" i="4" s="1"/>
  <c r="C560" i="4"/>
  <c r="C559" i="4"/>
  <c r="D559" i="4" s="1"/>
  <c r="E559" i="4" s="1"/>
  <c r="C558" i="4"/>
  <c r="D558" i="4" s="1"/>
  <c r="E558" i="4" s="1"/>
  <c r="E557" i="4"/>
  <c r="C557" i="4"/>
  <c r="D557" i="4" s="1"/>
  <c r="D556" i="4"/>
  <c r="E556" i="4" s="1"/>
  <c r="C556" i="4"/>
  <c r="C555" i="4"/>
  <c r="D555" i="4" s="1"/>
  <c r="E555" i="4" s="1"/>
  <c r="C554" i="4"/>
  <c r="D554" i="4" s="1"/>
  <c r="E554" i="4" s="1"/>
  <c r="E553" i="4"/>
  <c r="C553" i="4"/>
  <c r="D553" i="4" s="1"/>
  <c r="D552" i="4"/>
  <c r="E552" i="4" s="1"/>
  <c r="C552" i="4"/>
  <c r="C551" i="4"/>
  <c r="D551" i="4" s="1"/>
  <c r="E551" i="4" s="1"/>
  <c r="C550" i="4"/>
  <c r="D550" i="4" s="1"/>
  <c r="E550" i="4" s="1"/>
  <c r="E549" i="4"/>
  <c r="C549" i="4"/>
  <c r="D549" i="4" s="1"/>
  <c r="D548" i="4"/>
  <c r="E548" i="4" s="1"/>
  <c r="C548" i="4"/>
  <c r="C547" i="4"/>
  <c r="D547" i="4" s="1"/>
  <c r="E547" i="4" s="1"/>
  <c r="C546" i="4"/>
  <c r="D546" i="4" s="1"/>
  <c r="E546" i="4" s="1"/>
  <c r="E545" i="4"/>
  <c r="C545" i="4"/>
  <c r="D545" i="4" s="1"/>
  <c r="D544" i="4"/>
  <c r="E544" i="4" s="1"/>
  <c r="C544" i="4"/>
  <c r="C543" i="4"/>
  <c r="D543" i="4" s="1"/>
  <c r="E543" i="4" s="1"/>
  <c r="C542" i="4"/>
  <c r="D542" i="4" s="1"/>
  <c r="E542" i="4" s="1"/>
  <c r="E541" i="4"/>
  <c r="C541" i="4"/>
  <c r="D541" i="4" s="1"/>
  <c r="D540" i="4"/>
  <c r="E540" i="4" s="1"/>
  <c r="C540" i="4"/>
  <c r="C539" i="4"/>
  <c r="D539" i="4" s="1"/>
  <c r="E539" i="4" s="1"/>
  <c r="C538" i="4"/>
  <c r="D538" i="4" s="1"/>
  <c r="E538" i="4" s="1"/>
  <c r="E537" i="4"/>
  <c r="C537" i="4"/>
  <c r="D537" i="4" s="1"/>
  <c r="D536" i="4"/>
  <c r="E536" i="4" s="1"/>
  <c r="C536" i="4"/>
  <c r="D535" i="4"/>
  <c r="E535" i="4" s="1"/>
  <c r="C535" i="4"/>
  <c r="C534" i="4"/>
  <c r="D534" i="4" s="1"/>
  <c r="E534" i="4" s="1"/>
  <c r="C533" i="4"/>
  <c r="D533" i="4" s="1"/>
  <c r="E533" i="4" s="1"/>
  <c r="D532" i="4"/>
  <c r="E532" i="4" s="1"/>
  <c r="C532" i="4"/>
  <c r="D531" i="4"/>
  <c r="E531" i="4" s="1"/>
  <c r="C531" i="4"/>
  <c r="C530" i="4"/>
  <c r="D530" i="4" s="1"/>
  <c r="E530" i="4" s="1"/>
  <c r="C529" i="4"/>
  <c r="D529" i="4" s="1"/>
  <c r="E529" i="4" s="1"/>
  <c r="D528" i="4"/>
  <c r="E528" i="4" s="1"/>
  <c r="C528" i="4"/>
  <c r="D527" i="4"/>
  <c r="E527" i="4" s="1"/>
  <c r="C527" i="4"/>
  <c r="C526" i="4"/>
  <c r="D526" i="4" s="1"/>
  <c r="E526" i="4" s="1"/>
  <c r="C525" i="4"/>
  <c r="D525" i="4" s="1"/>
  <c r="E525" i="4" s="1"/>
  <c r="D524" i="4"/>
  <c r="E524" i="4" s="1"/>
  <c r="C524" i="4"/>
  <c r="D523" i="4"/>
  <c r="E523" i="4" s="1"/>
  <c r="C523" i="4"/>
  <c r="C522" i="4"/>
  <c r="D522" i="4" s="1"/>
  <c r="E522" i="4" s="1"/>
  <c r="C521" i="4"/>
  <c r="D521" i="4" s="1"/>
  <c r="E521" i="4" s="1"/>
  <c r="D520" i="4"/>
  <c r="E520" i="4" s="1"/>
  <c r="C520" i="4"/>
  <c r="D519" i="4"/>
  <c r="E519" i="4" s="1"/>
  <c r="C519" i="4"/>
  <c r="C518" i="4"/>
  <c r="D518" i="4" s="1"/>
  <c r="E518" i="4" s="1"/>
  <c r="C517" i="4"/>
  <c r="D517" i="4" s="1"/>
  <c r="E517" i="4" s="1"/>
  <c r="D516" i="4"/>
  <c r="E516" i="4" s="1"/>
  <c r="C516" i="4"/>
  <c r="D515" i="4"/>
  <c r="E515" i="4" s="1"/>
  <c r="C515" i="4"/>
  <c r="C514" i="4"/>
  <c r="D514" i="4" s="1"/>
  <c r="E514" i="4" s="1"/>
  <c r="C513" i="4"/>
  <c r="D513" i="4" s="1"/>
  <c r="E513" i="4" s="1"/>
  <c r="D512" i="4"/>
  <c r="E512" i="4" s="1"/>
  <c r="C512" i="4"/>
  <c r="D511" i="4"/>
  <c r="E511" i="4" s="1"/>
  <c r="C511" i="4"/>
  <c r="C510" i="4"/>
  <c r="D510" i="4" s="1"/>
  <c r="E510" i="4" s="1"/>
  <c r="C509" i="4"/>
  <c r="D509" i="4" s="1"/>
  <c r="E509" i="4" s="1"/>
  <c r="D508" i="4"/>
  <c r="E508" i="4" s="1"/>
  <c r="C508" i="4"/>
  <c r="D507" i="4"/>
  <c r="E507" i="4" s="1"/>
  <c r="C507" i="4"/>
  <c r="C506" i="4"/>
  <c r="D506" i="4" s="1"/>
  <c r="E506" i="4" s="1"/>
  <c r="C505" i="4"/>
  <c r="D505" i="4" s="1"/>
  <c r="E505" i="4" s="1"/>
  <c r="D504" i="4"/>
  <c r="E504" i="4" s="1"/>
  <c r="C504" i="4"/>
  <c r="D503" i="4"/>
  <c r="E503" i="4" s="1"/>
  <c r="C503" i="4"/>
  <c r="C502" i="4"/>
  <c r="D502" i="4" s="1"/>
  <c r="E502" i="4" s="1"/>
  <c r="C501" i="4"/>
  <c r="D501" i="4" s="1"/>
  <c r="E501" i="4" s="1"/>
  <c r="D500" i="4"/>
  <c r="E500" i="4" s="1"/>
  <c r="C500" i="4"/>
  <c r="D499" i="4"/>
  <c r="E499" i="4" s="1"/>
  <c r="C499" i="4"/>
  <c r="C498" i="4"/>
  <c r="D498" i="4" s="1"/>
  <c r="E498" i="4" s="1"/>
  <c r="C497" i="4"/>
  <c r="D497" i="4" s="1"/>
  <c r="E497" i="4" s="1"/>
  <c r="D496" i="4"/>
  <c r="E496" i="4" s="1"/>
  <c r="C496" i="4"/>
  <c r="D495" i="4"/>
  <c r="E495" i="4" s="1"/>
  <c r="C495" i="4"/>
  <c r="C494" i="4"/>
  <c r="D494" i="4" s="1"/>
  <c r="E494" i="4" s="1"/>
  <c r="C493" i="4"/>
  <c r="D493" i="4" s="1"/>
  <c r="E493" i="4" s="1"/>
  <c r="D492" i="4"/>
  <c r="E492" i="4" s="1"/>
  <c r="C492" i="4"/>
  <c r="D491" i="4"/>
  <c r="E491" i="4" s="1"/>
  <c r="C491" i="4"/>
  <c r="C490" i="4"/>
  <c r="D490" i="4" s="1"/>
  <c r="E490" i="4" s="1"/>
  <c r="C489" i="4"/>
  <c r="D489" i="4" s="1"/>
  <c r="E489" i="4" s="1"/>
  <c r="D488" i="4"/>
  <c r="E488" i="4" s="1"/>
  <c r="C488" i="4"/>
  <c r="D487" i="4"/>
  <c r="E487" i="4" s="1"/>
  <c r="C487" i="4"/>
  <c r="C486" i="4"/>
  <c r="D486" i="4" s="1"/>
  <c r="E486" i="4" s="1"/>
  <c r="C485" i="4"/>
  <c r="D485" i="4" s="1"/>
  <c r="E485" i="4" s="1"/>
  <c r="D484" i="4"/>
  <c r="E484" i="4" s="1"/>
  <c r="C484" i="4"/>
  <c r="D483" i="4"/>
  <c r="E483" i="4" s="1"/>
  <c r="C483" i="4"/>
  <c r="C482" i="4"/>
  <c r="D482" i="4" s="1"/>
  <c r="E482" i="4" s="1"/>
  <c r="C481" i="4"/>
  <c r="D481" i="4" s="1"/>
  <c r="E481" i="4" s="1"/>
  <c r="D480" i="4"/>
  <c r="E480" i="4" s="1"/>
  <c r="C480" i="4"/>
  <c r="D479" i="4"/>
  <c r="E479" i="4" s="1"/>
  <c r="C479" i="4"/>
  <c r="C478" i="4"/>
  <c r="D478" i="4" s="1"/>
  <c r="E478" i="4" s="1"/>
  <c r="C477" i="4"/>
  <c r="D477" i="4" s="1"/>
  <c r="E477" i="4" s="1"/>
  <c r="D476" i="4"/>
  <c r="E476" i="4" s="1"/>
  <c r="C476" i="4"/>
  <c r="D475" i="4"/>
  <c r="E475" i="4" s="1"/>
  <c r="C475" i="4"/>
  <c r="C474" i="4"/>
  <c r="D474" i="4" s="1"/>
  <c r="E474" i="4" s="1"/>
  <c r="C473" i="4"/>
  <c r="D473" i="4" s="1"/>
  <c r="E473" i="4" s="1"/>
  <c r="D472" i="4"/>
  <c r="E472" i="4" s="1"/>
  <c r="C472" i="4"/>
  <c r="D471" i="4"/>
  <c r="E471" i="4" s="1"/>
  <c r="C471" i="4"/>
  <c r="C470" i="4"/>
  <c r="D470" i="4" s="1"/>
  <c r="E470" i="4" s="1"/>
  <c r="C469" i="4"/>
  <c r="D469" i="4" s="1"/>
  <c r="E469" i="4" s="1"/>
  <c r="D468" i="4"/>
  <c r="E468" i="4" s="1"/>
  <c r="C468" i="4"/>
  <c r="D467" i="4"/>
  <c r="E467" i="4" s="1"/>
  <c r="C467" i="4"/>
  <c r="C466" i="4"/>
  <c r="D466" i="4" s="1"/>
  <c r="E466" i="4" s="1"/>
  <c r="C465" i="4"/>
  <c r="D465" i="4" s="1"/>
  <c r="E465" i="4" s="1"/>
  <c r="D464" i="4"/>
  <c r="E464" i="4" s="1"/>
  <c r="C464" i="4"/>
  <c r="D463" i="4"/>
  <c r="E463" i="4" s="1"/>
  <c r="C463" i="4"/>
  <c r="C462" i="4"/>
  <c r="D462" i="4" s="1"/>
  <c r="E462" i="4" s="1"/>
  <c r="C461" i="4"/>
  <c r="D461" i="4" s="1"/>
  <c r="E461" i="4" s="1"/>
  <c r="D460" i="4"/>
  <c r="E460" i="4" s="1"/>
  <c r="C460" i="4"/>
  <c r="D459" i="4"/>
  <c r="E459" i="4" s="1"/>
  <c r="C459" i="4"/>
  <c r="C458" i="4"/>
  <c r="D458" i="4" s="1"/>
  <c r="E458" i="4" s="1"/>
  <c r="C457" i="4"/>
  <c r="D457" i="4" s="1"/>
  <c r="E457" i="4" s="1"/>
  <c r="D456" i="4"/>
  <c r="E456" i="4" s="1"/>
  <c r="C456" i="4"/>
  <c r="D455" i="4"/>
  <c r="E455" i="4" s="1"/>
  <c r="C455" i="4"/>
  <c r="C454" i="4"/>
  <c r="D454" i="4" s="1"/>
  <c r="E454" i="4" s="1"/>
  <c r="C453" i="4"/>
  <c r="D453" i="4" s="1"/>
  <c r="E453" i="4" s="1"/>
  <c r="D452" i="4"/>
  <c r="E452" i="4" s="1"/>
  <c r="C452" i="4"/>
  <c r="D451" i="4"/>
  <c r="E451" i="4" s="1"/>
  <c r="C451" i="4"/>
  <c r="C450" i="4"/>
  <c r="D450" i="4" s="1"/>
  <c r="E450" i="4" s="1"/>
  <c r="C449" i="4"/>
  <c r="D449" i="4" s="1"/>
  <c r="E449" i="4" s="1"/>
  <c r="D448" i="4"/>
  <c r="E448" i="4" s="1"/>
  <c r="C448" i="4"/>
  <c r="D447" i="4"/>
  <c r="E447" i="4" s="1"/>
  <c r="C447" i="4"/>
  <c r="C446" i="4"/>
  <c r="D446" i="4" s="1"/>
  <c r="E446" i="4" s="1"/>
  <c r="C445" i="4"/>
  <c r="D445" i="4" s="1"/>
  <c r="E445" i="4" s="1"/>
  <c r="D444" i="4"/>
  <c r="E444" i="4" s="1"/>
  <c r="C444" i="4"/>
  <c r="D443" i="4"/>
  <c r="E443" i="4" s="1"/>
  <c r="C443" i="4"/>
  <c r="C442" i="4"/>
  <c r="D442" i="4" s="1"/>
  <c r="E442" i="4" s="1"/>
  <c r="C441" i="4"/>
  <c r="D441" i="4" s="1"/>
  <c r="E441" i="4" s="1"/>
  <c r="D440" i="4"/>
  <c r="E440" i="4" s="1"/>
  <c r="C440" i="4"/>
  <c r="D439" i="4"/>
  <c r="E439" i="4" s="1"/>
  <c r="C439" i="4"/>
  <c r="C438" i="4"/>
  <c r="D438" i="4" s="1"/>
  <c r="E438" i="4" s="1"/>
  <c r="C437" i="4"/>
  <c r="D437" i="4" s="1"/>
  <c r="E437" i="4" s="1"/>
  <c r="D436" i="4"/>
  <c r="E436" i="4" s="1"/>
  <c r="C436" i="4"/>
  <c r="D435" i="4"/>
  <c r="E435" i="4" s="1"/>
  <c r="C435" i="4"/>
  <c r="C434" i="4"/>
  <c r="D434" i="4" s="1"/>
  <c r="E434" i="4" s="1"/>
  <c r="C433" i="4"/>
  <c r="D433" i="4" s="1"/>
  <c r="E433" i="4" s="1"/>
  <c r="D432" i="4"/>
  <c r="E432" i="4" s="1"/>
  <c r="C432" i="4"/>
  <c r="D431" i="4"/>
  <c r="E431" i="4" s="1"/>
  <c r="C431" i="4"/>
  <c r="C430" i="4"/>
  <c r="D430" i="4" s="1"/>
  <c r="E430" i="4" s="1"/>
  <c r="C429" i="4"/>
  <c r="D429" i="4" s="1"/>
  <c r="E429" i="4" s="1"/>
  <c r="D428" i="4"/>
  <c r="E428" i="4" s="1"/>
  <c r="C428" i="4"/>
  <c r="D427" i="4"/>
  <c r="E427" i="4" s="1"/>
  <c r="C427" i="4"/>
  <c r="C426" i="4"/>
  <c r="D426" i="4" s="1"/>
  <c r="E426" i="4" s="1"/>
  <c r="C425" i="4"/>
  <c r="D425" i="4" s="1"/>
  <c r="E425" i="4" s="1"/>
  <c r="D424" i="4"/>
  <c r="E424" i="4" s="1"/>
  <c r="C424" i="4"/>
  <c r="D423" i="4"/>
  <c r="E423" i="4" s="1"/>
  <c r="C423" i="4"/>
  <c r="C422" i="4"/>
  <c r="D422" i="4" s="1"/>
  <c r="E422" i="4" s="1"/>
  <c r="C421" i="4"/>
  <c r="D421" i="4" s="1"/>
  <c r="E421" i="4" s="1"/>
  <c r="D420" i="4"/>
  <c r="E420" i="4" s="1"/>
  <c r="C420" i="4"/>
  <c r="D419" i="4"/>
  <c r="E419" i="4" s="1"/>
  <c r="C419" i="4"/>
  <c r="C418" i="4"/>
  <c r="D418" i="4" s="1"/>
  <c r="E418" i="4" s="1"/>
  <c r="C417" i="4"/>
  <c r="D417" i="4" s="1"/>
  <c r="E417" i="4" s="1"/>
  <c r="D416" i="4"/>
  <c r="E416" i="4" s="1"/>
  <c r="C416" i="4"/>
  <c r="D415" i="4"/>
  <c r="E415" i="4" s="1"/>
  <c r="C415" i="4"/>
  <c r="C414" i="4"/>
  <c r="D414" i="4" s="1"/>
  <c r="E414" i="4" s="1"/>
  <c r="C413" i="4"/>
  <c r="D413" i="4" s="1"/>
  <c r="E413" i="4" s="1"/>
  <c r="D412" i="4"/>
  <c r="E412" i="4" s="1"/>
  <c r="C412" i="4"/>
  <c r="D411" i="4"/>
  <c r="E411" i="4" s="1"/>
  <c r="C411" i="4"/>
  <c r="C410" i="4"/>
  <c r="D410" i="4" s="1"/>
  <c r="E410" i="4" s="1"/>
  <c r="C409" i="4"/>
  <c r="D409" i="4" s="1"/>
  <c r="E409" i="4" s="1"/>
  <c r="D408" i="4"/>
  <c r="E408" i="4" s="1"/>
  <c r="C408" i="4"/>
  <c r="D407" i="4"/>
  <c r="E407" i="4" s="1"/>
  <c r="C407" i="4"/>
  <c r="C406" i="4"/>
  <c r="D406" i="4" s="1"/>
  <c r="E406" i="4" s="1"/>
  <c r="C405" i="4"/>
  <c r="D405" i="4" s="1"/>
  <c r="E405" i="4" s="1"/>
  <c r="D404" i="4"/>
  <c r="E404" i="4" s="1"/>
  <c r="C404" i="4"/>
  <c r="D403" i="4"/>
  <c r="E403" i="4" s="1"/>
  <c r="C403" i="4"/>
  <c r="C402" i="4"/>
  <c r="D402" i="4" s="1"/>
  <c r="E402" i="4" s="1"/>
  <c r="C401" i="4"/>
  <c r="D401" i="4" s="1"/>
  <c r="E401" i="4" s="1"/>
  <c r="D400" i="4"/>
  <c r="E400" i="4" s="1"/>
  <c r="C400" i="4"/>
  <c r="D399" i="4"/>
  <c r="E399" i="4" s="1"/>
  <c r="C399" i="4"/>
  <c r="C398" i="4"/>
  <c r="D398" i="4" s="1"/>
  <c r="E398" i="4" s="1"/>
  <c r="C397" i="4"/>
  <c r="D397" i="4" s="1"/>
  <c r="E397" i="4" s="1"/>
  <c r="D396" i="4"/>
  <c r="E396" i="4" s="1"/>
  <c r="C396" i="4"/>
  <c r="D395" i="4"/>
  <c r="E395" i="4" s="1"/>
  <c r="C395" i="4"/>
  <c r="C394" i="4"/>
  <c r="D394" i="4" s="1"/>
  <c r="E394" i="4" s="1"/>
  <c r="C393" i="4"/>
  <c r="D393" i="4" s="1"/>
  <c r="E393" i="4" s="1"/>
  <c r="D392" i="4"/>
  <c r="E392" i="4" s="1"/>
  <c r="C392" i="4"/>
  <c r="D391" i="4"/>
  <c r="E391" i="4" s="1"/>
  <c r="C391" i="4"/>
  <c r="C390" i="4"/>
  <c r="D390" i="4" s="1"/>
  <c r="E390" i="4" s="1"/>
  <c r="C389" i="4"/>
  <c r="D389" i="4" s="1"/>
  <c r="E389" i="4" s="1"/>
  <c r="D388" i="4"/>
  <c r="E388" i="4" s="1"/>
  <c r="C388" i="4"/>
  <c r="D387" i="4"/>
  <c r="E387" i="4" s="1"/>
  <c r="C387" i="4"/>
  <c r="C386" i="4"/>
  <c r="D386" i="4" s="1"/>
  <c r="E386" i="4" s="1"/>
  <c r="C385" i="4"/>
  <c r="D385" i="4" s="1"/>
  <c r="E385" i="4" s="1"/>
  <c r="D384" i="4"/>
  <c r="E384" i="4" s="1"/>
  <c r="C384" i="4"/>
  <c r="D383" i="4"/>
  <c r="E383" i="4" s="1"/>
  <c r="C383" i="4"/>
  <c r="C382" i="4"/>
  <c r="D382" i="4" s="1"/>
  <c r="E382" i="4" s="1"/>
  <c r="C381" i="4"/>
  <c r="D381" i="4" s="1"/>
  <c r="E381" i="4" s="1"/>
  <c r="D380" i="4"/>
  <c r="E380" i="4" s="1"/>
  <c r="C380" i="4"/>
  <c r="D379" i="4"/>
  <c r="E379" i="4" s="1"/>
  <c r="C379" i="4"/>
  <c r="C378" i="4"/>
  <c r="D378" i="4" s="1"/>
  <c r="E378" i="4" s="1"/>
  <c r="C377" i="4"/>
  <c r="D377" i="4" s="1"/>
  <c r="E377" i="4" s="1"/>
  <c r="D376" i="4"/>
  <c r="E376" i="4" s="1"/>
  <c r="C376" i="4"/>
  <c r="D375" i="4"/>
  <c r="E375" i="4" s="1"/>
  <c r="C375" i="4"/>
  <c r="C374" i="4"/>
  <c r="D374" i="4" s="1"/>
  <c r="E374" i="4" s="1"/>
  <c r="C373" i="4"/>
  <c r="D373" i="4" s="1"/>
  <c r="E373" i="4" s="1"/>
  <c r="D372" i="4"/>
  <c r="E372" i="4" s="1"/>
  <c r="C372" i="4"/>
  <c r="D371" i="4"/>
  <c r="E371" i="4" s="1"/>
  <c r="C371" i="4"/>
  <c r="C370" i="4"/>
  <c r="D370" i="4" s="1"/>
  <c r="E370" i="4" s="1"/>
  <c r="C369" i="4"/>
  <c r="D369" i="4" s="1"/>
  <c r="E369" i="4" s="1"/>
  <c r="D368" i="4"/>
  <c r="E368" i="4" s="1"/>
  <c r="C368" i="4"/>
  <c r="D367" i="4"/>
  <c r="E367" i="4" s="1"/>
  <c r="C367" i="4"/>
  <c r="C366" i="4"/>
  <c r="D366" i="4" s="1"/>
  <c r="E366" i="4" s="1"/>
  <c r="C365" i="4"/>
  <c r="D365" i="4" s="1"/>
  <c r="E365" i="4" s="1"/>
  <c r="D364" i="4"/>
  <c r="E364" i="4" s="1"/>
  <c r="C364" i="4"/>
  <c r="D363" i="4"/>
  <c r="E363" i="4" s="1"/>
  <c r="C363" i="4"/>
  <c r="C362" i="4"/>
  <c r="D362" i="4" s="1"/>
  <c r="E362" i="4" s="1"/>
  <c r="C361" i="4"/>
  <c r="D361" i="4" s="1"/>
  <c r="E361" i="4" s="1"/>
  <c r="D360" i="4"/>
  <c r="E360" i="4" s="1"/>
  <c r="C360" i="4"/>
  <c r="D359" i="4"/>
  <c r="E359" i="4" s="1"/>
  <c r="C359" i="4"/>
  <c r="C358" i="4"/>
  <c r="D358" i="4" s="1"/>
  <c r="E358" i="4" s="1"/>
  <c r="C357" i="4"/>
  <c r="D357" i="4" s="1"/>
  <c r="E357" i="4" s="1"/>
  <c r="D356" i="4"/>
  <c r="E356" i="4" s="1"/>
  <c r="C356" i="4"/>
  <c r="D355" i="4"/>
  <c r="E355" i="4" s="1"/>
  <c r="C355" i="4"/>
  <c r="C354" i="4"/>
  <c r="D354" i="4" s="1"/>
  <c r="E354" i="4" s="1"/>
  <c r="C353" i="4"/>
  <c r="D353" i="4" s="1"/>
  <c r="E353" i="4" s="1"/>
  <c r="D352" i="4"/>
  <c r="E352" i="4" s="1"/>
  <c r="C352" i="4"/>
  <c r="D351" i="4"/>
  <c r="E351" i="4" s="1"/>
  <c r="C351" i="4"/>
  <c r="C350" i="4"/>
  <c r="D350" i="4" s="1"/>
  <c r="E350" i="4" s="1"/>
  <c r="C349" i="4"/>
  <c r="D349" i="4" s="1"/>
  <c r="E349" i="4" s="1"/>
  <c r="D348" i="4"/>
  <c r="E348" i="4" s="1"/>
  <c r="C348" i="4"/>
  <c r="D347" i="4"/>
  <c r="E347" i="4" s="1"/>
  <c r="C347" i="4"/>
  <c r="C346" i="4"/>
  <c r="D346" i="4" s="1"/>
  <c r="E346" i="4" s="1"/>
  <c r="C345" i="4"/>
  <c r="D345" i="4" s="1"/>
  <c r="E345" i="4" s="1"/>
  <c r="D344" i="4"/>
  <c r="E344" i="4" s="1"/>
  <c r="C344" i="4"/>
  <c r="D343" i="4"/>
  <c r="E343" i="4" s="1"/>
  <c r="C343" i="4"/>
  <c r="C342" i="4"/>
  <c r="D342" i="4" s="1"/>
  <c r="E342" i="4" s="1"/>
  <c r="C341" i="4"/>
  <c r="D341" i="4" s="1"/>
  <c r="E341" i="4" s="1"/>
  <c r="D340" i="4"/>
  <c r="E340" i="4" s="1"/>
  <c r="C340" i="4"/>
  <c r="D339" i="4"/>
  <c r="E339" i="4" s="1"/>
  <c r="C339" i="4"/>
  <c r="C338" i="4"/>
  <c r="D338" i="4" s="1"/>
  <c r="E338" i="4" s="1"/>
  <c r="C337" i="4"/>
  <c r="D337" i="4" s="1"/>
  <c r="E337" i="4" s="1"/>
  <c r="D336" i="4"/>
  <c r="E336" i="4" s="1"/>
  <c r="C336" i="4"/>
  <c r="D335" i="4"/>
  <c r="E335" i="4" s="1"/>
  <c r="C335" i="4"/>
  <c r="C334" i="4"/>
  <c r="D334" i="4" s="1"/>
  <c r="E334" i="4" s="1"/>
  <c r="C333" i="4"/>
  <c r="D333" i="4" s="1"/>
  <c r="E333" i="4" s="1"/>
  <c r="D332" i="4"/>
  <c r="E332" i="4" s="1"/>
  <c r="C332" i="4"/>
  <c r="D331" i="4"/>
  <c r="E331" i="4" s="1"/>
  <c r="C331" i="4"/>
  <c r="C330" i="4"/>
  <c r="D330" i="4" s="1"/>
  <c r="E330" i="4" s="1"/>
  <c r="C329" i="4"/>
  <c r="D329" i="4" s="1"/>
  <c r="E329" i="4" s="1"/>
  <c r="D328" i="4"/>
  <c r="E328" i="4" s="1"/>
  <c r="C328" i="4"/>
  <c r="D327" i="4"/>
  <c r="E327" i="4" s="1"/>
  <c r="C327" i="4"/>
  <c r="C326" i="4"/>
  <c r="D326" i="4" s="1"/>
  <c r="E326" i="4" s="1"/>
  <c r="C325" i="4"/>
  <c r="D325" i="4" s="1"/>
  <c r="E325" i="4" s="1"/>
  <c r="D324" i="4"/>
  <c r="E324" i="4" s="1"/>
  <c r="C324" i="4"/>
  <c r="D323" i="4"/>
  <c r="E323" i="4" s="1"/>
  <c r="C323" i="4"/>
  <c r="C322" i="4"/>
  <c r="D322" i="4" s="1"/>
  <c r="E322" i="4" s="1"/>
  <c r="C321" i="4"/>
  <c r="D321" i="4" s="1"/>
  <c r="E321" i="4" s="1"/>
  <c r="D320" i="4"/>
  <c r="E320" i="4" s="1"/>
  <c r="C320" i="4"/>
  <c r="D319" i="4"/>
  <c r="E319" i="4" s="1"/>
  <c r="C319" i="4"/>
  <c r="C318" i="4"/>
  <c r="D318" i="4" s="1"/>
  <c r="E318" i="4" s="1"/>
  <c r="C317" i="4"/>
  <c r="D317" i="4" s="1"/>
  <c r="E317" i="4" s="1"/>
  <c r="D316" i="4"/>
  <c r="E316" i="4" s="1"/>
  <c r="C316" i="4"/>
  <c r="D315" i="4"/>
  <c r="E315" i="4" s="1"/>
  <c r="C315" i="4"/>
  <c r="C314" i="4"/>
  <c r="D314" i="4" s="1"/>
  <c r="E314" i="4" s="1"/>
  <c r="C313" i="4"/>
  <c r="D313" i="4" s="1"/>
  <c r="E313" i="4" s="1"/>
  <c r="D312" i="4"/>
  <c r="E312" i="4" s="1"/>
  <c r="C312" i="4"/>
  <c r="D311" i="4"/>
  <c r="E311" i="4" s="1"/>
  <c r="C311" i="4"/>
  <c r="C310" i="4"/>
  <c r="D310" i="4" s="1"/>
  <c r="E310" i="4" s="1"/>
  <c r="C309" i="4"/>
  <c r="D309" i="4" s="1"/>
  <c r="E309" i="4" s="1"/>
  <c r="D308" i="4"/>
  <c r="E308" i="4" s="1"/>
  <c r="C308" i="4"/>
  <c r="D307" i="4"/>
  <c r="E307" i="4" s="1"/>
  <c r="C307" i="4"/>
  <c r="C306" i="4"/>
  <c r="D306" i="4" s="1"/>
  <c r="E306" i="4" s="1"/>
  <c r="C305" i="4"/>
  <c r="D305" i="4" s="1"/>
  <c r="E305" i="4" s="1"/>
  <c r="D304" i="4"/>
  <c r="E304" i="4" s="1"/>
  <c r="C304" i="4"/>
  <c r="D303" i="4"/>
  <c r="E303" i="4" s="1"/>
  <c r="C303" i="4"/>
  <c r="C302" i="4"/>
  <c r="D302" i="4" s="1"/>
  <c r="E302" i="4" s="1"/>
  <c r="C301" i="4"/>
  <c r="D301" i="4" s="1"/>
  <c r="E301" i="4" s="1"/>
  <c r="D300" i="4"/>
  <c r="E300" i="4" s="1"/>
  <c r="C300" i="4"/>
  <c r="D299" i="4"/>
  <c r="E299" i="4" s="1"/>
  <c r="C299" i="4"/>
  <c r="C298" i="4"/>
  <c r="D298" i="4" s="1"/>
  <c r="E298" i="4" s="1"/>
  <c r="C297" i="4"/>
  <c r="D297" i="4" s="1"/>
  <c r="E297" i="4" s="1"/>
  <c r="D296" i="4"/>
  <c r="E296" i="4" s="1"/>
  <c r="C296" i="4"/>
  <c r="D295" i="4"/>
  <c r="E295" i="4" s="1"/>
  <c r="C295" i="4"/>
  <c r="C294" i="4"/>
  <c r="D294" i="4" s="1"/>
  <c r="E294" i="4" s="1"/>
  <c r="C293" i="4"/>
  <c r="D293" i="4" s="1"/>
  <c r="E293" i="4" s="1"/>
  <c r="D292" i="4"/>
  <c r="E292" i="4" s="1"/>
  <c r="C292" i="4"/>
  <c r="D291" i="4"/>
  <c r="E291" i="4" s="1"/>
  <c r="C291" i="4"/>
  <c r="C290" i="4"/>
  <c r="D290" i="4" s="1"/>
  <c r="E290" i="4" s="1"/>
  <c r="C289" i="4"/>
  <c r="D289" i="4" s="1"/>
  <c r="E289" i="4" s="1"/>
  <c r="D288" i="4"/>
  <c r="E288" i="4" s="1"/>
  <c r="C288" i="4"/>
  <c r="D287" i="4"/>
  <c r="E287" i="4" s="1"/>
  <c r="C287" i="4"/>
  <c r="C286" i="4"/>
  <c r="D286" i="4" s="1"/>
  <c r="E286" i="4" s="1"/>
  <c r="C285" i="4"/>
  <c r="D285" i="4" s="1"/>
  <c r="E285" i="4" s="1"/>
  <c r="D284" i="4"/>
  <c r="E284" i="4" s="1"/>
  <c r="C284" i="4"/>
  <c r="D283" i="4"/>
  <c r="E283" i="4" s="1"/>
  <c r="C283" i="4"/>
  <c r="C282" i="4"/>
  <c r="D282" i="4" s="1"/>
  <c r="E282" i="4" s="1"/>
  <c r="C281" i="4"/>
  <c r="D281" i="4" s="1"/>
  <c r="E281" i="4" s="1"/>
  <c r="D280" i="4"/>
  <c r="E280" i="4" s="1"/>
  <c r="C280" i="4"/>
  <c r="D279" i="4"/>
  <c r="E279" i="4" s="1"/>
  <c r="C279" i="4"/>
  <c r="C278" i="4"/>
  <c r="D278" i="4" s="1"/>
  <c r="E278" i="4" s="1"/>
  <c r="C277" i="4"/>
  <c r="D277" i="4" s="1"/>
  <c r="E277" i="4" s="1"/>
  <c r="D276" i="4"/>
  <c r="E276" i="4" s="1"/>
  <c r="C276" i="4"/>
  <c r="D275" i="4"/>
  <c r="E275" i="4" s="1"/>
  <c r="C275" i="4"/>
  <c r="C274" i="4"/>
  <c r="D274" i="4" s="1"/>
  <c r="E274" i="4" s="1"/>
  <c r="C273" i="4"/>
  <c r="D273" i="4" s="1"/>
  <c r="E273" i="4" s="1"/>
  <c r="D272" i="4"/>
  <c r="E272" i="4" s="1"/>
  <c r="C272" i="4"/>
  <c r="D271" i="4"/>
  <c r="E271" i="4" s="1"/>
  <c r="C271" i="4"/>
  <c r="C270" i="4"/>
  <c r="D270" i="4" s="1"/>
  <c r="E270" i="4" s="1"/>
  <c r="C269" i="4"/>
  <c r="D269" i="4" s="1"/>
  <c r="E269" i="4" s="1"/>
  <c r="D268" i="4"/>
  <c r="E268" i="4" s="1"/>
  <c r="C268" i="4"/>
  <c r="D267" i="4"/>
  <c r="E267" i="4" s="1"/>
  <c r="C267" i="4"/>
  <c r="C266" i="4"/>
  <c r="D266" i="4" s="1"/>
  <c r="E266" i="4" s="1"/>
  <c r="C265" i="4"/>
  <c r="D265" i="4" s="1"/>
  <c r="E265" i="4" s="1"/>
  <c r="D264" i="4"/>
  <c r="E264" i="4" s="1"/>
  <c r="C264" i="4"/>
  <c r="D263" i="4"/>
  <c r="E263" i="4" s="1"/>
  <c r="C263" i="4"/>
  <c r="C262" i="4"/>
  <c r="D262" i="4" s="1"/>
  <c r="E262" i="4" s="1"/>
  <c r="C261" i="4"/>
  <c r="D261" i="4" s="1"/>
  <c r="E261" i="4" s="1"/>
  <c r="D260" i="4"/>
  <c r="E260" i="4" s="1"/>
  <c r="C260" i="4"/>
  <c r="D259" i="4"/>
  <c r="E259" i="4" s="1"/>
  <c r="C259" i="4"/>
  <c r="C258" i="4"/>
  <c r="D258" i="4" s="1"/>
  <c r="E258" i="4" s="1"/>
  <c r="C257" i="4"/>
  <c r="D257" i="4" s="1"/>
  <c r="E257" i="4" s="1"/>
  <c r="D256" i="4"/>
  <c r="E256" i="4" s="1"/>
  <c r="C256" i="4"/>
  <c r="D255" i="4"/>
  <c r="E255" i="4" s="1"/>
  <c r="C255" i="4"/>
  <c r="C254" i="4"/>
  <c r="D254" i="4" s="1"/>
  <c r="E254" i="4" s="1"/>
  <c r="C253" i="4"/>
  <c r="D253" i="4" s="1"/>
  <c r="E253" i="4" s="1"/>
  <c r="D252" i="4"/>
  <c r="E252" i="4" s="1"/>
  <c r="C252" i="4"/>
  <c r="D251" i="4"/>
  <c r="E251" i="4" s="1"/>
  <c r="C251" i="4"/>
  <c r="C250" i="4"/>
  <c r="D250" i="4" s="1"/>
  <c r="E250" i="4" s="1"/>
  <c r="C249" i="4"/>
  <c r="D249" i="4" s="1"/>
  <c r="E249" i="4" s="1"/>
  <c r="D248" i="4"/>
  <c r="E248" i="4" s="1"/>
  <c r="C248" i="4"/>
  <c r="D247" i="4"/>
  <c r="E247" i="4" s="1"/>
  <c r="C247" i="4"/>
  <c r="C246" i="4"/>
  <c r="D246" i="4" s="1"/>
  <c r="E246" i="4" s="1"/>
  <c r="C245" i="4"/>
  <c r="D245" i="4" s="1"/>
  <c r="E245" i="4" s="1"/>
  <c r="D244" i="4"/>
  <c r="E244" i="4" s="1"/>
  <c r="C244" i="4"/>
  <c r="D243" i="4"/>
  <c r="E243" i="4" s="1"/>
  <c r="C243" i="4"/>
  <c r="C242" i="4"/>
  <c r="D242" i="4" s="1"/>
  <c r="E242" i="4" s="1"/>
  <c r="C241" i="4"/>
  <c r="D241" i="4" s="1"/>
  <c r="E241" i="4" s="1"/>
  <c r="D240" i="4"/>
  <c r="E240" i="4" s="1"/>
  <c r="C240" i="4"/>
  <c r="D239" i="4"/>
  <c r="E239" i="4" s="1"/>
  <c r="C239" i="4"/>
  <c r="C238" i="4"/>
  <c r="D238" i="4" s="1"/>
  <c r="E238" i="4" s="1"/>
  <c r="C237" i="4"/>
  <c r="D237" i="4" s="1"/>
  <c r="E237" i="4" s="1"/>
  <c r="D236" i="4"/>
  <c r="E236" i="4" s="1"/>
  <c r="C236" i="4"/>
  <c r="D235" i="4"/>
  <c r="E235" i="4" s="1"/>
  <c r="C235" i="4"/>
  <c r="C234" i="4"/>
  <c r="D234" i="4" s="1"/>
  <c r="E234" i="4" s="1"/>
  <c r="C233" i="4"/>
  <c r="D233" i="4" s="1"/>
  <c r="E233" i="4" s="1"/>
  <c r="D232" i="4"/>
  <c r="E232" i="4" s="1"/>
  <c r="C232" i="4"/>
  <c r="D231" i="4"/>
  <c r="E231" i="4" s="1"/>
  <c r="C231" i="4"/>
  <c r="C230" i="4"/>
  <c r="D230" i="4" s="1"/>
  <c r="E230" i="4" s="1"/>
  <c r="C229" i="4"/>
  <c r="D229" i="4" s="1"/>
  <c r="E229" i="4" s="1"/>
  <c r="D228" i="4"/>
  <c r="E228" i="4" s="1"/>
  <c r="C228" i="4"/>
  <c r="D227" i="4"/>
  <c r="E227" i="4" s="1"/>
  <c r="C227" i="4"/>
  <c r="C226" i="4"/>
  <c r="D226" i="4" s="1"/>
  <c r="E226" i="4" s="1"/>
  <c r="C225" i="4"/>
  <c r="D225" i="4" s="1"/>
  <c r="E225" i="4" s="1"/>
  <c r="D224" i="4"/>
  <c r="E224" i="4" s="1"/>
  <c r="C224" i="4"/>
  <c r="D223" i="4"/>
  <c r="E223" i="4" s="1"/>
  <c r="C223" i="4"/>
  <c r="C222" i="4"/>
  <c r="D222" i="4" s="1"/>
  <c r="E222" i="4" s="1"/>
  <c r="C221" i="4"/>
  <c r="D221" i="4" s="1"/>
  <c r="E221" i="4" s="1"/>
  <c r="D220" i="4"/>
  <c r="E220" i="4" s="1"/>
  <c r="C220" i="4"/>
  <c r="D219" i="4"/>
  <c r="E219" i="4" s="1"/>
  <c r="C219" i="4"/>
  <c r="C218" i="4"/>
  <c r="D218" i="4" s="1"/>
  <c r="E218" i="4" s="1"/>
  <c r="C217" i="4"/>
  <c r="D217" i="4" s="1"/>
  <c r="E217" i="4" s="1"/>
  <c r="D216" i="4"/>
  <c r="E216" i="4" s="1"/>
  <c r="C216" i="4"/>
  <c r="D215" i="4"/>
  <c r="E215" i="4" s="1"/>
  <c r="C215" i="4"/>
  <c r="C214" i="4"/>
  <c r="D214" i="4" s="1"/>
  <c r="E214" i="4" s="1"/>
  <c r="C213" i="4"/>
  <c r="D213" i="4" s="1"/>
  <c r="E213" i="4" s="1"/>
  <c r="D212" i="4"/>
  <c r="E212" i="4" s="1"/>
  <c r="C212" i="4"/>
  <c r="D211" i="4"/>
  <c r="E211" i="4" s="1"/>
  <c r="C211" i="4"/>
  <c r="C210" i="4"/>
  <c r="D210" i="4" s="1"/>
  <c r="E210" i="4" s="1"/>
  <c r="C209" i="4"/>
  <c r="D209" i="4" s="1"/>
  <c r="E209" i="4" s="1"/>
  <c r="D208" i="4"/>
  <c r="E208" i="4" s="1"/>
  <c r="C208" i="4"/>
  <c r="D207" i="4"/>
  <c r="E207" i="4" s="1"/>
  <c r="C207" i="4"/>
  <c r="C206" i="4"/>
  <c r="D206" i="4" s="1"/>
  <c r="E206" i="4" s="1"/>
  <c r="C205" i="4"/>
  <c r="D205" i="4" s="1"/>
  <c r="E205" i="4" s="1"/>
  <c r="D204" i="4"/>
  <c r="E204" i="4" s="1"/>
  <c r="C204" i="4"/>
  <c r="D203" i="4"/>
  <c r="E203" i="4" s="1"/>
  <c r="C203" i="4"/>
  <c r="C202" i="4"/>
  <c r="D202" i="4" s="1"/>
  <c r="E202" i="4" s="1"/>
  <c r="C201" i="4"/>
  <c r="D201" i="4" s="1"/>
  <c r="E201" i="4" s="1"/>
  <c r="D200" i="4"/>
  <c r="E200" i="4" s="1"/>
  <c r="C200" i="4"/>
  <c r="D199" i="4"/>
  <c r="E199" i="4" s="1"/>
  <c r="C199" i="4"/>
  <c r="C198" i="4"/>
  <c r="D198" i="4" s="1"/>
  <c r="E198" i="4" s="1"/>
  <c r="C197" i="4"/>
  <c r="D197" i="4" s="1"/>
  <c r="E197" i="4" s="1"/>
  <c r="D196" i="4"/>
  <c r="E196" i="4" s="1"/>
  <c r="C196" i="4"/>
  <c r="D195" i="4"/>
  <c r="E195" i="4" s="1"/>
  <c r="C195" i="4"/>
  <c r="C194" i="4"/>
  <c r="D194" i="4" s="1"/>
  <c r="E194" i="4" s="1"/>
  <c r="C193" i="4"/>
  <c r="D193" i="4" s="1"/>
  <c r="E193" i="4" s="1"/>
  <c r="D192" i="4"/>
  <c r="E192" i="4" s="1"/>
  <c r="C192" i="4"/>
  <c r="D191" i="4"/>
  <c r="E191" i="4" s="1"/>
  <c r="C191" i="4"/>
  <c r="C190" i="4"/>
  <c r="D190" i="4" s="1"/>
  <c r="E190" i="4" s="1"/>
  <c r="C189" i="4"/>
  <c r="D189" i="4" s="1"/>
  <c r="E189" i="4" s="1"/>
  <c r="D188" i="4"/>
  <c r="E188" i="4" s="1"/>
  <c r="C188" i="4"/>
  <c r="D187" i="4"/>
  <c r="E187" i="4" s="1"/>
  <c r="C187" i="4"/>
  <c r="C186" i="4"/>
  <c r="D186" i="4" s="1"/>
  <c r="E186" i="4" s="1"/>
  <c r="C185" i="4"/>
  <c r="D185" i="4" s="1"/>
  <c r="E185" i="4" s="1"/>
  <c r="D184" i="4"/>
  <c r="E184" i="4" s="1"/>
  <c r="C184" i="4"/>
  <c r="D183" i="4"/>
  <c r="E183" i="4" s="1"/>
  <c r="C183" i="4"/>
  <c r="C182" i="4"/>
  <c r="D182" i="4" s="1"/>
  <c r="E182" i="4" s="1"/>
  <c r="C181" i="4"/>
  <c r="D181" i="4" s="1"/>
  <c r="E181" i="4" s="1"/>
  <c r="D180" i="4"/>
  <c r="E180" i="4" s="1"/>
  <c r="C180" i="4"/>
  <c r="D179" i="4"/>
  <c r="E179" i="4" s="1"/>
  <c r="C179" i="4"/>
  <c r="C178" i="4"/>
  <c r="D178" i="4" s="1"/>
  <c r="E178" i="4" s="1"/>
  <c r="C177" i="4"/>
  <c r="D177" i="4" s="1"/>
  <c r="E177" i="4" s="1"/>
  <c r="D176" i="4"/>
  <c r="E176" i="4" s="1"/>
  <c r="C176" i="4"/>
  <c r="D175" i="4"/>
  <c r="E175" i="4" s="1"/>
  <c r="C175" i="4"/>
  <c r="C174" i="4"/>
  <c r="D174" i="4" s="1"/>
  <c r="E174" i="4" s="1"/>
  <c r="C173" i="4"/>
  <c r="D173" i="4" s="1"/>
  <c r="E173" i="4" s="1"/>
  <c r="D172" i="4"/>
  <c r="E172" i="4" s="1"/>
  <c r="C172" i="4"/>
  <c r="D171" i="4"/>
  <c r="E171" i="4" s="1"/>
  <c r="C171" i="4"/>
  <c r="C170" i="4"/>
  <c r="D170" i="4" s="1"/>
  <c r="E170" i="4" s="1"/>
  <c r="C169" i="4"/>
  <c r="D169" i="4" s="1"/>
  <c r="E169" i="4" s="1"/>
  <c r="D168" i="4"/>
  <c r="E168" i="4" s="1"/>
  <c r="C168" i="4"/>
  <c r="D167" i="4"/>
  <c r="E167" i="4" s="1"/>
  <c r="C167" i="4"/>
  <c r="C166" i="4"/>
  <c r="D166" i="4" s="1"/>
  <c r="E166" i="4" s="1"/>
  <c r="C165" i="4"/>
  <c r="D165" i="4" s="1"/>
  <c r="E165" i="4" s="1"/>
  <c r="D164" i="4"/>
  <c r="E164" i="4" s="1"/>
  <c r="C164" i="4"/>
  <c r="D163" i="4"/>
  <c r="E163" i="4" s="1"/>
  <c r="C163" i="4"/>
  <c r="C162" i="4"/>
  <c r="D162" i="4" s="1"/>
  <c r="E162" i="4" s="1"/>
  <c r="C161" i="4"/>
  <c r="D161" i="4" s="1"/>
  <c r="E161" i="4" s="1"/>
  <c r="D160" i="4"/>
  <c r="E160" i="4" s="1"/>
  <c r="C160" i="4"/>
  <c r="D159" i="4"/>
  <c r="E159" i="4" s="1"/>
  <c r="C159" i="4"/>
  <c r="C158" i="4"/>
  <c r="D158" i="4" s="1"/>
  <c r="E158" i="4" s="1"/>
  <c r="C157" i="4"/>
  <c r="D157" i="4" s="1"/>
  <c r="E157" i="4" s="1"/>
  <c r="D156" i="4"/>
  <c r="E156" i="4" s="1"/>
  <c r="C156" i="4"/>
  <c r="D155" i="4"/>
  <c r="E155" i="4" s="1"/>
  <c r="C155" i="4"/>
  <c r="C154" i="4"/>
  <c r="D154" i="4" s="1"/>
  <c r="E154" i="4" s="1"/>
  <c r="C153" i="4"/>
  <c r="D153" i="4" s="1"/>
  <c r="E153" i="4" s="1"/>
  <c r="D152" i="4"/>
  <c r="E152" i="4" s="1"/>
  <c r="C152" i="4"/>
  <c r="D151" i="4"/>
  <c r="E151" i="4" s="1"/>
  <c r="C151" i="4"/>
  <c r="C150" i="4"/>
  <c r="D150" i="4" s="1"/>
  <c r="E150" i="4" s="1"/>
  <c r="C149" i="4"/>
  <c r="D149" i="4" s="1"/>
  <c r="E149" i="4" s="1"/>
  <c r="D148" i="4"/>
  <c r="E148" i="4" s="1"/>
  <c r="C148" i="4"/>
  <c r="D147" i="4"/>
  <c r="E147" i="4" s="1"/>
  <c r="C147" i="4"/>
  <c r="C146" i="4"/>
  <c r="D146" i="4" s="1"/>
  <c r="E146" i="4" s="1"/>
  <c r="C145" i="4"/>
  <c r="D145" i="4" s="1"/>
  <c r="E145" i="4" s="1"/>
  <c r="D144" i="4"/>
  <c r="E144" i="4" s="1"/>
  <c r="C144" i="4"/>
  <c r="D143" i="4"/>
  <c r="E143" i="4" s="1"/>
  <c r="C143" i="4"/>
  <c r="C142" i="4"/>
  <c r="D142" i="4" s="1"/>
  <c r="E142" i="4" s="1"/>
  <c r="C141" i="4"/>
  <c r="D141" i="4" s="1"/>
  <c r="E141" i="4" s="1"/>
  <c r="D140" i="4"/>
  <c r="E140" i="4" s="1"/>
  <c r="C140" i="4"/>
  <c r="D139" i="4"/>
  <c r="E139" i="4" s="1"/>
  <c r="C139" i="4"/>
  <c r="C138" i="4"/>
  <c r="D138" i="4" s="1"/>
  <c r="E138" i="4" s="1"/>
  <c r="C137" i="4"/>
  <c r="D137" i="4" s="1"/>
  <c r="E137" i="4" s="1"/>
  <c r="D136" i="4"/>
  <c r="E136" i="4" s="1"/>
  <c r="C136" i="4"/>
  <c r="D135" i="4"/>
  <c r="E135" i="4" s="1"/>
  <c r="C135" i="4"/>
  <c r="C134" i="4"/>
  <c r="D134" i="4" s="1"/>
  <c r="E134" i="4" s="1"/>
  <c r="C133" i="4"/>
  <c r="D133" i="4" s="1"/>
  <c r="E133" i="4" s="1"/>
  <c r="D132" i="4"/>
  <c r="E132" i="4" s="1"/>
  <c r="C132" i="4"/>
  <c r="D131" i="4"/>
  <c r="E131" i="4" s="1"/>
  <c r="C131" i="4"/>
  <c r="C130" i="4"/>
  <c r="D130" i="4" s="1"/>
  <c r="E130" i="4" s="1"/>
  <c r="C129" i="4"/>
  <c r="D129" i="4" s="1"/>
  <c r="E129" i="4" s="1"/>
  <c r="D128" i="4"/>
  <c r="E128" i="4" s="1"/>
  <c r="C128" i="4"/>
  <c r="D127" i="4"/>
  <c r="E127" i="4" s="1"/>
  <c r="C127" i="4"/>
  <c r="C126" i="4"/>
  <c r="D126" i="4" s="1"/>
  <c r="E126" i="4" s="1"/>
  <c r="C125" i="4"/>
  <c r="D125" i="4" s="1"/>
  <c r="E125" i="4" s="1"/>
  <c r="D124" i="4"/>
  <c r="E124" i="4" s="1"/>
  <c r="C124" i="4"/>
  <c r="D123" i="4"/>
  <c r="E123" i="4" s="1"/>
  <c r="C123" i="4"/>
  <c r="C122" i="4"/>
  <c r="D122" i="4" s="1"/>
  <c r="E122" i="4" s="1"/>
  <c r="C121" i="4"/>
  <c r="D121" i="4" s="1"/>
  <c r="E121" i="4" s="1"/>
  <c r="D120" i="4"/>
  <c r="E120" i="4" s="1"/>
  <c r="C120" i="4"/>
  <c r="D119" i="4"/>
  <c r="E119" i="4" s="1"/>
  <c r="C119" i="4"/>
  <c r="C118" i="4"/>
  <c r="D118" i="4" s="1"/>
  <c r="E118" i="4" s="1"/>
  <c r="C117" i="4"/>
  <c r="D117" i="4" s="1"/>
  <c r="E117" i="4" s="1"/>
  <c r="D116" i="4"/>
  <c r="E116" i="4" s="1"/>
  <c r="C116" i="4"/>
  <c r="D115" i="4"/>
  <c r="E115" i="4" s="1"/>
  <c r="C115" i="4"/>
  <c r="C114" i="4"/>
  <c r="D114" i="4" s="1"/>
  <c r="E114" i="4" s="1"/>
  <c r="C113" i="4"/>
  <c r="D113" i="4" s="1"/>
  <c r="E113" i="4" s="1"/>
  <c r="D112" i="4"/>
  <c r="E112" i="4" s="1"/>
  <c r="C112" i="4"/>
  <c r="D111" i="4"/>
  <c r="E111" i="4" s="1"/>
  <c r="C111" i="4"/>
  <c r="C110" i="4"/>
  <c r="D110" i="4" s="1"/>
  <c r="E110" i="4" s="1"/>
  <c r="C109" i="4"/>
  <c r="D109" i="4" s="1"/>
  <c r="E109" i="4" s="1"/>
  <c r="D108" i="4"/>
  <c r="E108" i="4" s="1"/>
  <c r="C108" i="4"/>
  <c r="D107" i="4"/>
  <c r="E107" i="4" s="1"/>
  <c r="C107" i="4"/>
  <c r="C106" i="4"/>
  <c r="D106" i="4" s="1"/>
  <c r="E106" i="4" s="1"/>
  <c r="C105" i="4"/>
  <c r="D105" i="4" s="1"/>
  <c r="E105" i="4" s="1"/>
  <c r="D104" i="4"/>
  <c r="E104" i="4" s="1"/>
  <c r="C104" i="4"/>
  <c r="D103" i="4"/>
  <c r="E103" i="4" s="1"/>
  <c r="C103" i="4"/>
  <c r="C102" i="4"/>
  <c r="D102" i="4" s="1"/>
  <c r="E102" i="4" s="1"/>
  <c r="C101" i="4"/>
  <c r="D101" i="4" s="1"/>
  <c r="E101" i="4" s="1"/>
  <c r="D100" i="4"/>
  <c r="E100" i="4" s="1"/>
  <c r="C100" i="4"/>
  <c r="D99" i="4"/>
  <c r="E99" i="4" s="1"/>
  <c r="C99" i="4"/>
  <c r="C98" i="4"/>
  <c r="D98" i="4" s="1"/>
  <c r="E98" i="4" s="1"/>
  <c r="C97" i="4"/>
  <c r="D97" i="4" s="1"/>
  <c r="E97" i="4" s="1"/>
  <c r="D96" i="4"/>
  <c r="E96" i="4" s="1"/>
  <c r="C96" i="4"/>
  <c r="D95" i="4"/>
  <c r="E95" i="4" s="1"/>
  <c r="C95" i="4"/>
  <c r="C94" i="4"/>
  <c r="D94" i="4" s="1"/>
  <c r="E94" i="4" s="1"/>
  <c r="C93" i="4"/>
  <c r="D93" i="4" s="1"/>
  <c r="E93" i="4" s="1"/>
  <c r="D92" i="4"/>
  <c r="E92" i="4" s="1"/>
  <c r="C92" i="4"/>
  <c r="D91" i="4"/>
  <c r="E91" i="4" s="1"/>
  <c r="C91" i="4"/>
  <c r="C90" i="4"/>
  <c r="D90" i="4" s="1"/>
  <c r="E90" i="4" s="1"/>
  <c r="C89" i="4"/>
  <c r="D89" i="4" s="1"/>
  <c r="E89" i="4" s="1"/>
  <c r="D88" i="4"/>
  <c r="E88" i="4" s="1"/>
  <c r="C88" i="4"/>
  <c r="D87" i="4"/>
  <c r="E87" i="4" s="1"/>
  <c r="C87" i="4"/>
  <c r="C86" i="4"/>
  <c r="D86" i="4" s="1"/>
  <c r="E86" i="4" s="1"/>
  <c r="C85" i="4"/>
  <c r="D85" i="4" s="1"/>
  <c r="E85" i="4" s="1"/>
  <c r="D84" i="4"/>
  <c r="E84" i="4" s="1"/>
  <c r="C84" i="4"/>
  <c r="D83" i="4"/>
  <c r="E83" i="4" s="1"/>
  <c r="C83" i="4"/>
  <c r="C82" i="4"/>
  <c r="D82" i="4" s="1"/>
  <c r="E82" i="4" s="1"/>
  <c r="C81" i="4"/>
  <c r="D81" i="4" s="1"/>
  <c r="E81" i="4" s="1"/>
  <c r="D80" i="4"/>
  <c r="E80" i="4" s="1"/>
  <c r="C80" i="4"/>
  <c r="D79" i="4"/>
  <c r="E79" i="4" s="1"/>
  <c r="C79" i="4"/>
  <c r="C78" i="4"/>
  <c r="D78" i="4" s="1"/>
  <c r="E78" i="4" s="1"/>
  <c r="C77" i="4"/>
  <c r="D77" i="4" s="1"/>
  <c r="E77" i="4" s="1"/>
  <c r="D76" i="4"/>
  <c r="E76" i="4" s="1"/>
  <c r="C76" i="4"/>
  <c r="D75" i="4"/>
  <c r="E75" i="4" s="1"/>
  <c r="C75" i="4"/>
  <c r="C74" i="4"/>
  <c r="D74" i="4" s="1"/>
  <c r="E74" i="4" s="1"/>
  <c r="C73" i="4"/>
  <c r="D73" i="4" s="1"/>
  <c r="E73" i="4" s="1"/>
  <c r="D72" i="4"/>
  <c r="E72" i="4" s="1"/>
  <c r="C72" i="4"/>
  <c r="D71" i="4"/>
  <c r="E71" i="4" s="1"/>
  <c r="C71" i="4"/>
  <c r="C70" i="4"/>
  <c r="D70" i="4" s="1"/>
  <c r="E70" i="4" s="1"/>
  <c r="C69" i="4"/>
  <c r="D69" i="4" s="1"/>
  <c r="E69" i="4" s="1"/>
  <c r="D68" i="4"/>
  <c r="E68" i="4" s="1"/>
  <c r="C68" i="4"/>
  <c r="D67" i="4"/>
  <c r="E67" i="4" s="1"/>
  <c r="C67" i="4"/>
  <c r="C66" i="4"/>
  <c r="D66" i="4" s="1"/>
  <c r="E66" i="4" s="1"/>
  <c r="C65" i="4"/>
  <c r="D65" i="4" s="1"/>
  <c r="E65" i="4" s="1"/>
  <c r="D64" i="4"/>
  <c r="E64" i="4" s="1"/>
  <c r="C64" i="4"/>
  <c r="D63" i="4"/>
  <c r="E63" i="4" s="1"/>
  <c r="C63" i="4"/>
  <c r="C62" i="4"/>
  <c r="D62" i="4" s="1"/>
  <c r="E62" i="4" s="1"/>
  <c r="C61" i="4"/>
  <c r="D61" i="4" s="1"/>
  <c r="E61" i="4" s="1"/>
  <c r="D60" i="4"/>
  <c r="E60" i="4" s="1"/>
  <c r="C60" i="4"/>
  <c r="D59" i="4"/>
  <c r="E59" i="4" s="1"/>
  <c r="C59" i="4"/>
  <c r="C58" i="4"/>
  <c r="D58" i="4" s="1"/>
  <c r="E58" i="4" s="1"/>
  <c r="C57" i="4"/>
  <c r="D57" i="4" s="1"/>
  <c r="E57" i="4" s="1"/>
  <c r="D56" i="4"/>
  <c r="E56" i="4" s="1"/>
  <c r="C56" i="4"/>
  <c r="D55" i="4"/>
  <c r="E55" i="4" s="1"/>
  <c r="C55" i="4"/>
  <c r="C54" i="4"/>
  <c r="D54" i="4" s="1"/>
  <c r="E54" i="4" s="1"/>
  <c r="C53" i="4"/>
  <c r="D53" i="4" s="1"/>
  <c r="E53" i="4" s="1"/>
  <c r="D52" i="4"/>
  <c r="E52" i="4" s="1"/>
  <c r="C52" i="4"/>
  <c r="D51" i="4"/>
  <c r="E51" i="4" s="1"/>
  <c r="C51" i="4"/>
  <c r="C50" i="4"/>
  <c r="D50" i="4" s="1"/>
  <c r="E50" i="4" s="1"/>
  <c r="C49" i="4"/>
  <c r="D49" i="4" s="1"/>
  <c r="E49" i="4" s="1"/>
  <c r="D48" i="4"/>
  <c r="E48" i="4" s="1"/>
  <c r="C48" i="4"/>
  <c r="D47" i="4"/>
  <c r="E47" i="4" s="1"/>
  <c r="C47" i="4"/>
  <c r="C46" i="4"/>
  <c r="D46" i="4" s="1"/>
  <c r="E46" i="4" s="1"/>
  <c r="C45" i="4"/>
  <c r="D45" i="4" s="1"/>
  <c r="E45" i="4" s="1"/>
  <c r="D44" i="4"/>
  <c r="E44" i="4" s="1"/>
  <c r="C44" i="4"/>
  <c r="D43" i="4"/>
  <c r="E43" i="4" s="1"/>
  <c r="C43" i="4"/>
  <c r="C42" i="4"/>
  <c r="D42" i="4" s="1"/>
  <c r="E42" i="4" s="1"/>
  <c r="C41" i="4"/>
  <c r="D41" i="4" s="1"/>
  <c r="E41" i="4" s="1"/>
  <c r="D40" i="4"/>
  <c r="E40" i="4" s="1"/>
  <c r="C40" i="4"/>
  <c r="D39" i="4"/>
  <c r="E39" i="4" s="1"/>
  <c r="C39" i="4"/>
  <c r="C38" i="4"/>
  <c r="D38" i="4" s="1"/>
  <c r="E38" i="4" s="1"/>
  <c r="C37" i="4"/>
  <c r="D37" i="4" s="1"/>
  <c r="E37" i="4" s="1"/>
  <c r="D36" i="4"/>
  <c r="E36" i="4" s="1"/>
  <c r="C36" i="4"/>
  <c r="D35" i="4"/>
  <c r="E35" i="4" s="1"/>
  <c r="C35" i="4"/>
  <c r="C34" i="4"/>
  <c r="D34" i="4" s="1"/>
  <c r="E34" i="4" s="1"/>
  <c r="C33" i="4"/>
  <c r="D33" i="4" s="1"/>
  <c r="E33" i="4" s="1"/>
  <c r="D32" i="4"/>
  <c r="E32" i="4" s="1"/>
  <c r="C32" i="4"/>
  <c r="D31" i="4"/>
  <c r="E31" i="4" s="1"/>
  <c r="C31" i="4"/>
  <c r="C30" i="4"/>
  <c r="D30" i="4" s="1"/>
  <c r="E30" i="4" s="1"/>
  <c r="C29" i="4"/>
  <c r="D29" i="4" s="1"/>
  <c r="E29" i="4" s="1"/>
  <c r="D28" i="4"/>
  <c r="E28" i="4" s="1"/>
  <c r="C28" i="4"/>
  <c r="D27" i="4"/>
  <c r="E27" i="4" s="1"/>
  <c r="C27" i="4"/>
  <c r="C26" i="4"/>
  <c r="D26" i="4" s="1"/>
  <c r="E26" i="4" s="1"/>
  <c r="C25" i="4"/>
  <c r="D25" i="4" s="1"/>
  <c r="E25" i="4" s="1"/>
  <c r="D24" i="4"/>
  <c r="E24" i="4" s="1"/>
  <c r="C24" i="4"/>
  <c r="C23" i="4"/>
  <c r="D23" i="4" s="1"/>
  <c r="E23" i="4" s="1"/>
  <c r="C22" i="4"/>
  <c r="D22" i="4" s="1"/>
  <c r="E22" i="4" s="1"/>
  <c r="C21" i="4"/>
  <c r="D21" i="4" s="1"/>
  <c r="E21" i="4" s="1"/>
  <c r="D20" i="4"/>
  <c r="E20" i="4" s="1"/>
  <c r="C20" i="4"/>
  <c r="C19" i="4"/>
  <c r="D19" i="4" s="1"/>
  <c r="E19" i="4" s="1"/>
  <c r="C18" i="4"/>
  <c r="D18" i="4" s="1"/>
  <c r="E18" i="4" s="1"/>
  <c r="C17" i="4"/>
  <c r="D17" i="4" s="1"/>
  <c r="E17" i="4" s="1"/>
  <c r="D16" i="4"/>
  <c r="E16" i="4" s="1"/>
  <c r="C16" i="4"/>
  <c r="C15" i="4"/>
  <c r="D15" i="4" s="1"/>
  <c r="E15" i="4" s="1"/>
  <c r="C14" i="4"/>
  <c r="D14" i="4" s="1"/>
  <c r="E14" i="4" s="1"/>
  <c r="C13" i="4"/>
  <c r="D13" i="4" s="1"/>
  <c r="E13" i="4" s="1"/>
  <c r="D12" i="4"/>
  <c r="E12" i="4" s="1"/>
  <c r="C12" i="4"/>
  <c r="C11" i="4"/>
  <c r="D11" i="4" s="1"/>
  <c r="E11" i="4" s="1"/>
  <c r="C10" i="4"/>
  <c r="D10" i="4" s="1"/>
  <c r="E10" i="4" s="1"/>
  <c r="C9" i="4"/>
  <c r="D9" i="4" s="1"/>
  <c r="E9" i="4" s="1"/>
  <c r="D8" i="4"/>
  <c r="E8" i="4" s="1"/>
  <c r="C8" i="4"/>
  <c r="C7" i="4"/>
  <c r="D7" i="4" s="1"/>
  <c r="E7" i="4" s="1"/>
  <c r="C6" i="4"/>
  <c r="D6" i="4" s="1"/>
  <c r="E6" i="4" s="1"/>
  <c r="C5" i="4"/>
  <c r="D5" i="4" s="1"/>
  <c r="E5" i="4" s="1"/>
  <c r="D4" i="4"/>
  <c r="E4" i="4" s="1"/>
  <c r="C4" i="4"/>
  <c r="C3" i="4"/>
  <c r="D3" i="4" s="1"/>
  <c r="E3" i="4" s="1"/>
  <c r="D2" i="4"/>
  <c r="E2" i="4" s="1"/>
  <c r="C2" i="4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E3571" i="3"/>
  <c r="D3571" i="3"/>
  <c r="E3570" i="3"/>
  <c r="D3570" i="3"/>
  <c r="E3569" i="3"/>
  <c r="D3569" i="3"/>
  <c r="E3568" i="3"/>
  <c r="D3568" i="3"/>
  <c r="E3567" i="3"/>
  <c r="D3567" i="3"/>
  <c r="E3566" i="3"/>
  <c r="D3566" i="3"/>
  <c r="E3565" i="3"/>
  <c r="D3565" i="3"/>
  <c r="E3564" i="3"/>
  <c r="D3564" i="3"/>
  <c r="E3563" i="3"/>
  <c r="D3563" i="3"/>
  <c r="E3562" i="3"/>
  <c r="D3562" i="3"/>
  <c r="E3561" i="3"/>
  <c r="D3561" i="3"/>
  <c r="E3560" i="3"/>
  <c r="D3560" i="3"/>
  <c r="E3559" i="3"/>
  <c r="D3559" i="3"/>
  <c r="E3558" i="3"/>
  <c r="D3558" i="3"/>
  <c r="E3557" i="3"/>
  <c r="D3557" i="3"/>
  <c r="E3556" i="3"/>
  <c r="D3556" i="3"/>
  <c r="E3555" i="3"/>
  <c r="D3555" i="3"/>
  <c r="E3554" i="3"/>
  <c r="D3554" i="3"/>
  <c r="E3553" i="3"/>
  <c r="D3553" i="3"/>
  <c r="E3552" i="3"/>
  <c r="D3552" i="3"/>
  <c r="E3551" i="3"/>
  <c r="D3551" i="3"/>
  <c r="E3550" i="3"/>
  <c r="D3550" i="3"/>
  <c r="E3549" i="3"/>
  <c r="D3549" i="3"/>
  <c r="E3548" i="3"/>
  <c r="D3548" i="3"/>
  <c r="E3547" i="3"/>
  <c r="D3547" i="3"/>
  <c r="E3546" i="3"/>
  <c r="D3546" i="3"/>
  <c r="E3545" i="3"/>
  <c r="D3545" i="3"/>
  <c r="E3544" i="3"/>
  <c r="D3544" i="3"/>
  <c r="E3543" i="3"/>
  <c r="D3543" i="3"/>
  <c r="E3542" i="3"/>
  <c r="D3542" i="3"/>
  <c r="E3541" i="3"/>
  <c r="D3541" i="3"/>
  <c r="E3540" i="3"/>
  <c r="D3540" i="3"/>
  <c r="E3539" i="3"/>
  <c r="D3539" i="3"/>
  <c r="E3538" i="3"/>
  <c r="D3538" i="3"/>
  <c r="E3537" i="3"/>
  <c r="D3537" i="3"/>
  <c r="E3536" i="3"/>
  <c r="D3536" i="3"/>
  <c r="E3535" i="3"/>
  <c r="D3535" i="3"/>
  <c r="E3534" i="3"/>
  <c r="D3534" i="3"/>
  <c r="E3533" i="3"/>
  <c r="D3533" i="3"/>
  <c r="E3532" i="3"/>
  <c r="D3532" i="3"/>
  <c r="E3531" i="3"/>
  <c r="D3531" i="3"/>
  <c r="E3530" i="3"/>
  <c r="D3530" i="3"/>
  <c r="E3529" i="3"/>
  <c r="D3529" i="3"/>
  <c r="E3528" i="3"/>
  <c r="D3528" i="3"/>
  <c r="E3527" i="3"/>
  <c r="D3527" i="3"/>
  <c r="E3526" i="3"/>
  <c r="D3526" i="3"/>
  <c r="E3525" i="3"/>
  <c r="D3525" i="3"/>
  <c r="E3524" i="3"/>
  <c r="D3524" i="3"/>
  <c r="E3523" i="3"/>
  <c r="D3523" i="3"/>
  <c r="E3522" i="3"/>
  <c r="D3522" i="3"/>
  <c r="E3521" i="3"/>
  <c r="D3521" i="3"/>
  <c r="E3520" i="3"/>
  <c r="D3520" i="3"/>
  <c r="E3519" i="3"/>
  <c r="D3519" i="3"/>
  <c r="E3518" i="3"/>
  <c r="D3518" i="3"/>
  <c r="E3517" i="3"/>
  <c r="D3517" i="3"/>
  <c r="E3516" i="3"/>
  <c r="D3516" i="3"/>
  <c r="E3515" i="3"/>
  <c r="D3515" i="3"/>
  <c r="E3514" i="3"/>
  <c r="D3514" i="3"/>
  <c r="E3513" i="3"/>
  <c r="D3513" i="3"/>
  <c r="E3512" i="3"/>
  <c r="D3512" i="3"/>
  <c r="E3511" i="3"/>
  <c r="D3511" i="3"/>
  <c r="E3510" i="3"/>
  <c r="D3510" i="3"/>
  <c r="E3509" i="3"/>
  <c r="D3509" i="3"/>
  <c r="E3508" i="3"/>
  <c r="D3508" i="3"/>
  <c r="E3507" i="3"/>
  <c r="D3507" i="3"/>
  <c r="E3506" i="3"/>
  <c r="D3506" i="3"/>
  <c r="E3505" i="3"/>
  <c r="D3505" i="3"/>
  <c r="E3504" i="3"/>
  <c r="D3504" i="3"/>
  <c r="E3503" i="3"/>
  <c r="D3503" i="3"/>
  <c r="E3502" i="3"/>
  <c r="D3502" i="3"/>
  <c r="E3501" i="3"/>
  <c r="D3501" i="3"/>
  <c r="E3500" i="3"/>
  <c r="D3500" i="3"/>
  <c r="E3499" i="3"/>
  <c r="D3499" i="3"/>
  <c r="E3498" i="3"/>
  <c r="D3498" i="3"/>
  <c r="E3497" i="3"/>
  <c r="D3497" i="3"/>
  <c r="E3496" i="3"/>
  <c r="D3496" i="3"/>
  <c r="E3495" i="3"/>
  <c r="D3495" i="3"/>
  <c r="E3494" i="3"/>
  <c r="D3494" i="3"/>
  <c r="E3493" i="3"/>
  <c r="D3493" i="3"/>
  <c r="E3492" i="3"/>
  <c r="D3492" i="3"/>
  <c r="E3491" i="3"/>
  <c r="D3491" i="3"/>
  <c r="E3490" i="3"/>
  <c r="D3490" i="3"/>
  <c r="E3489" i="3"/>
  <c r="D3489" i="3"/>
  <c r="E3488" i="3"/>
  <c r="D3488" i="3"/>
  <c r="E3487" i="3"/>
  <c r="D3487" i="3"/>
  <c r="E3486" i="3"/>
  <c r="D3486" i="3"/>
  <c r="E3485" i="3"/>
  <c r="D3485" i="3"/>
  <c r="E3484" i="3"/>
  <c r="D3484" i="3"/>
  <c r="F3483" i="3"/>
  <c r="E3483" i="3"/>
  <c r="D3483" i="3"/>
  <c r="E3482" i="3"/>
  <c r="D3482" i="3"/>
  <c r="E3481" i="3"/>
  <c r="D3481" i="3"/>
  <c r="E3480" i="3"/>
  <c r="D3480" i="3"/>
  <c r="E3479" i="3"/>
  <c r="D3479" i="3"/>
  <c r="E3478" i="3"/>
  <c r="D3478" i="3"/>
  <c r="E3477" i="3"/>
  <c r="D3477" i="3"/>
  <c r="E3476" i="3"/>
  <c r="D3476" i="3"/>
  <c r="E3475" i="3"/>
  <c r="D3475" i="3"/>
  <c r="E3474" i="3"/>
  <c r="D3474" i="3"/>
  <c r="E3473" i="3"/>
  <c r="D3473" i="3"/>
  <c r="E3472" i="3"/>
  <c r="D3472" i="3"/>
  <c r="E3471" i="3"/>
  <c r="D3471" i="3"/>
  <c r="E3470" i="3"/>
  <c r="D3470" i="3"/>
  <c r="E3469" i="3"/>
  <c r="D3469" i="3"/>
  <c r="E3468" i="3"/>
  <c r="D3468" i="3"/>
  <c r="E3467" i="3"/>
  <c r="D3467" i="3"/>
  <c r="E3466" i="3"/>
  <c r="D3466" i="3"/>
  <c r="E3465" i="3"/>
  <c r="D3465" i="3"/>
  <c r="E3464" i="3"/>
  <c r="D3464" i="3"/>
  <c r="E3463" i="3"/>
  <c r="D3463" i="3"/>
  <c r="E3462" i="3"/>
  <c r="D3462" i="3"/>
  <c r="E3461" i="3"/>
  <c r="D3461" i="3"/>
  <c r="E3460" i="3"/>
  <c r="D3460" i="3"/>
  <c r="E3459" i="3"/>
  <c r="D3459" i="3"/>
  <c r="E3458" i="3"/>
  <c r="D3458" i="3"/>
  <c r="E3457" i="3"/>
  <c r="D3457" i="3"/>
  <c r="E3456" i="3"/>
  <c r="D3456" i="3"/>
  <c r="E3455" i="3"/>
  <c r="D3455" i="3"/>
  <c r="E3454" i="3"/>
  <c r="D3454" i="3"/>
  <c r="E3453" i="3"/>
  <c r="D3453" i="3"/>
  <c r="E3452" i="3"/>
  <c r="D3452" i="3"/>
  <c r="E3451" i="3"/>
  <c r="D3451" i="3"/>
  <c r="E3450" i="3"/>
  <c r="D3450" i="3"/>
  <c r="E3449" i="3"/>
  <c r="D3449" i="3"/>
  <c r="E3448" i="3"/>
  <c r="D3448" i="3"/>
  <c r="E3447" i="3"/>
  <c r="D3447" i="3"/>
  <c r="E3446" i="3"/>
  <c r="D3446" i="3"/>
  <c r="E3445" i="3"/>
  <c r="D3445" i="3"/>
  <c r="E3444" i="3"/>
  <c r="D3444" i="3"/>
  <c r="E3443" i="3"/>
  <c r="D3443" i="3"/>
  <c r="E3442" i="3"/>
  <c r="D3442" i="3"/>
  <c r="E3441" i="3"/>
  <c r="D3441" i="3"/>
  <c r="E3440" i="3"/>
  <c r="D3440" i="3"/>
  <c r="E3439" i="3"/>
  <c r="D3439" i="3"/>
  <c r="E3438" i="3"/>
  <c r="D3438" i="3"/>
  <c r="E3437" i="3"/>
  <c r="D3437" i="3"/>
  <c r="E3436" i="3"/>
  <c r="D3436" i="3"/>
  <c r="E3435" i="3"/>
  <c r="D3435" i="3"/>
  <c r="E3434" i="3"/>
  <c r="D3434" i="3"/>
  <c r="E3433" i="3"/>
  <c r="D3433" i="3"/>
  <c r="E3432" i="3"/>
  <c r="D3432" i="3"/>
  <c r="E3431" i="3"/>
  <c r="D3431" i="3"/>
  <c r="E3430" i="3"/>
  <c r="D3430" i="3"/>
  <c r="E3429" i="3"/>
  <c r="D3429" i="3"/>
  <c r="E3428" i="3"/>
  <c r="D3428" i="3"/>
  <c r="E3427" i="3"/>
  <c r="D3427" i="3"/>
  <c r="E3426" i="3"/>
  <c r="D3426" i="3"/>
  <c r="E3425" i="3"/>
  <c r="D3425" i="3"/>
  <c r="E3424" i="3"/>
  <c r="D3424" i="3"/>
  <c r="E3423" i="3"/>
  <c r="D3423" i="3"/>
  <c r="E3422" i="3"/>
  <c r="D3422" i="3"/>
  <c r="E3421" i="3"/>
  <c r="D3421" i="3"/>
  <c r="E3420" i="3"/>
  <c r="D3420" i="3"/>
  <c r="E3419" i="3"/>
  <c r="D3419" i="3"/>
  <c r="E3418" i="3"/>
  <c r="D3418" i="3"/>
  <c r="E3417" i="3"/>
  <c r="D3417" i="3"/>
  <c r="E3416" i="3"/>
  <c r="D3416" i="3"/>
  <c r="E3415" i="3"/>
  <c r="D3415" i="3"/>
  <c r="E3414" i="3"/>
  <c r="D3414" i="3"/>
  <c r="E3413" i="3"/>
  <c r="D3413" i="3"/>
  <c r="E3412" i="3"/>
  <c r="D3412" i="3"/>
  <c r="E3411" i="3"/>
  <c r="D3411" i="3"/>
  <c r="E3410" i="3"/>
  <c r="D3410" i="3"/>
  <c r="E3409" i="3"/>
  <c r="D3409" i="3"/>
  <c r="E3408" i="3"/>
  <c r="D3408" i="3"/>
  <c r="E3407" i="3"/>
  <c r="D3407" i="3"/>
  <c r="E3406" i="3"/>
  <c r="D3406" i="3"/>
  <c r="E3405" i="3"/>
  <c r="D3405" i="3"/>
  <c r="E3404" i="3"/>
  <c r="D3404" i="3"/>
  <c r="E3403" i="3"/>
  <c r="D3403" i="3"/>
  <c r="E3402" i="3"/>
  <c r="D3402" i="3"/>
  <c r="E3401" i="3"/>
  <c r="D3401" i="3"/>
  <c r="E3400" i="3"/>
  <c r="D3400" i="3"/>
  <c r="E3399" i="3"/>
  <c r="D3399" i="3"/>
  <c r="E3398" i="3"/>
  <c r="D3398" i="3"/>
  <c r="E3397" i="3"/>
  <c r="D3397" i="3"/>
  <c r="E3396" i="3"/>
  <c r="D3396" i="3"/>
  <c r="E3395" i="3"/>
  <c r="D3395" i="3"/>
  <c r="E3394" i="3"/>
  <c r="D3394" i="3"/>
  <c r="E3393" i="3"/>
  <c r="D3393" i="3"/>
  <c r="E3392" i="3"/>
  <c r="D3392" i="3"/>
  <c r="E3391" i="3"/>
  <c r="D3391" i="3"/>
  <c r="E3390" i="3"/>
  <c r="D3390" i="3"/>
  <c r="E3389" i="3"/>
  <c r="D3389" i="3"/>
  <c r="E3388" i="3"/>
  <c r="D3388" i="3"/>
  <c r="E3387" i="3"/>
  <c r="D3387" i="3"/>
  <c r="E3386" i="3"/>
  <c r="D3386" i="3"/>
  <c r="E3385" i="3"/>
  <c r="D3385" i="3"/>
  <c r="E3384" i="3"/>
  <c r="D3384" i="3"/>
  <c r="E3383" i="3"/>
  <c r="D3383" i="3"/>
  <c r="E3382" i="3"/>
  <c r="D3382" i="3"/>
  <c r="E3381" i="3"/>
  <c r="D3381" i="3"/>
  <c r="E3380" i="3"/>
  <c r="D3380" i="3"/>
  <c r="E3379" i="3"/>
  <c r="D3379" i="3"/>
  <c r="E3378" i="3"/>
  <c r="D3378" i="3"/>
  <c r="E3377" i="3"/>
  <c r="D3377" i="3"/>
  <c r="E3376" i="3"/>
  <c r="D3376" i="3"/>
  <c r="E3375" i="3"/>
  <c r="D3375" i="3"/>
  <c r="E3374" i="3"/>
  <c r="D3374" i="3"/>
  <c r="E3373" i="3"/>
  <c r="D3373" i="3"/>
  <c r="E3372" i="3"/>
  <c r="D3372" i="3"/>
  <c r="E3371" i="3"/>
  <c r="D3371" i="3"/>
  <c r="E3370" i="3"/>
  <c r="D3370" i="3"/>
  <c r="E3369" i="3"/>
  <c r="D3369" i="3"/>
  <c r="E3368" i="3"/>
  <c r="D3368" i="3"/>
  <c r="E3367" i="3"/>
  <c r="D3367" i="3"/>
  <c r="E3366" i="3"/>
  <c r="D3366" i="3"/>
  <c r="E3365" i="3"/>
  <c r="D3365" i="3"/>
  <c r="E3364" i="3"/>
  <c r="D3364" i="3"/>
  <c r="E3363" i="3"/>
  <c r="D3363" i="3"/>
  <c r="E3362" i="3"/>
  <c r="D3362" i="3"/>
  <c r="E3361" i="3"/>
  <c r="D3361" i="3"/>
  <c r="E3360" i="3"/>
  <c r="D3360" i="3"/>
  <c r="E3359" i="3"/>
  <c r="D3359" i="3"/>
  <c r="E3358" i="3"/>
  <c r="D3358" i="3"/>
  <c r="E3357" i="3"/>
  <c r="D3357" i="3"/>
  <c r="E3356" i="3"/>
  <c r="D3356" i="3"/>
  <c r="E3355" i="3"/>
  <c r="D3355" i="3"/>
  <c r="E3354" i="3"/>
  <c r="D3354" i="3"/>
  <c r="E3353" i="3"/>
  <c r="D3353" i="3"/>
  <c r="E3352" i="3"/>
  <c r="D3352" i="3"/>
  <c r="E3351" i="3"/>
  <c r="D3351" i="3"/>
  <c r="E3350" i="3"/>
  <c r="D3350" i="3"/>
  <c r="E3349" i="3"/>
  <c r="D3349" i="3"/>
  <c r="E3348" i="3"/>
  <c r="D3348" i="3"/>
  <c r="E3347" i="3"/>
  <c r="D3347" i="3"/>
  <c r="E3346" i="3"/>
  <c r="D3346" i="3"/>
  <c r="E3345" i="3"/>
  <c r="D3345" i="3"/>
  <c r="E3344" i="3"/>
  <c r="D3344" i="3"/>
  <c r="E3343" i="3"/>
  <c r="D3343" i="3"/>
  <c r="E3342" i="3"/>
  <c r="D3342" i="3"/>
  <c r="E3341" i="3"/>
  <c r="D3341" i="3"/>
  <c r="E3340" i="3"/>
  <c r="D3340" i="3"/>
  <c r="E3339" i="3"/>
  <c r="D3339" i="3"/>
  <c r="E3338" i="3"/>
  <c r="D3338" i="3"/>
  <c r="E3337" i="3"/>
  <c r="D3337" i="3"/>
  <c r="E3336" i="3"/>
  <c r="D3336" i="3"/>
  <c r="E3335" i="3"/>
  <c r="D3335" i="3"/>
  <c r="E3334" i="3"/>
  <c r="D3334" i="3"/>
  <c r="E3333" i="3"/>
  <c r="D3333" i="3"/>
  <c r="E3332" i="3"/>
  <c r="D3332" i="3"/>
  <c r="E3331" i="3"/>
  <c r="D3331" i="3"/>
  <c r="E3330" i="3"/>
  <c r="D3330" i="3"/>
  <c r="E3329" i="3"/>
  <c r="D3329" i="3"/>
  <c r="E3328" i="3"/>
  <c r="D3328" i="3"/>
  <c r="E3327" i="3"/>
  <c r="D3327" i="3"/>
  <c r="E3326" i="3"/>
  <c r="D3326" i="3"/>
  <c r="E3325" i="3"/>
  <c r="D3325" i="3"/>
  <c r="E3324" i="3"/>
  <c r="D3324" i="3"/>
  <c r="E3323" i="3"/>
  <c r="D3323" i="3"/>
  <c r="E3322" i="3"/>
  <c r="D3322" i="3"/>
  <c r="E3321" i="3"/>
  <c r="D3321" i="3"/>
  <c r="E3320" i="3"/>
  <c r="D3320" i="3"/>
  <c r="E3319" i="3"/>
  <c r="D3319" i="3"/>
  <c r="E3318" i="3"/>
  <c r="D3318" i="3"/>
  <c r="E3317" i="3"/>
  <c r="D3317" i="3"/>
  <c r="E3316" i="3"/>
  <c r="D3316" i="3"/>
  <c r="E3315" i="3"/>
  <c r="D3315" i="3"/>
  <c r="E3314" i="3"/>
  <c r="D3314" i="3"/>
  <c r="E3313" i="3"/>
  <c r="D3313" i="3"/>
  <c r="E3312" i="3"/>
  <c r="D3312" i="3"/>
  <c r="E3311" i="3"/>
  <c r="D3311" i="3"/>
  <c r="E3310" i="3"/>
  <c r="D3310" i="3"/>
  <c r="E3309" i="3"/>
  <c r="D3309" i="3"/>
  <c r="E3308" i="3"/>
  <c r="D3308" i="3"/>
  <c r="E3307" i="3"/>
  <c r="D3307" i="3"/>
  <c r="E3306" i="3"/>
  <c r="D3306" i="3"/>
  <c r="E3305" i="3"/>
  <c r="D3305" i="3"/>
  <c r="E3304" i="3"/>
  <c r="D3304" i="3"/>
  <c r="E3303" i="3"/>
  <c r="D3303" i="3"/>
  <c r="E3302" i="3"/>
  <c r="D3302" i="3"/>
  <c r="E3301" i="3"/>
  <c r="D3301" i="3"/>
  <c r="E3300" i="3"/>
  <c r="D3300" i="3"/>
  <c r="E3299" i="3"/>
  <c r="D3299" i="3"/>
  <c r="E3298" i="3"/>
  <c r="D3298" i="3"/>
  <c r="E3297" i="3"/>
  <c r="D3297" i="3"/>
  <c r="E3296" i="3"/>
  <c r="D3296" i="3"/>
  <c r="E3295" i="3"/>
  <c r="D3295" i="3"/>
  <c r="E3294" i="3"/>
  <c r="D3294" i="3"/>
  <c r="E3293" i="3"/>
  <c r="D3293" i="3"/>
  <c r="E3292" i="3"/>
  <c r="D3292" i="3"/>
  <c r="E3291" i="3"/>
  <c r="D3291" i="3"/>
  <c r="E3290" i="3"/>
  <c r="D3290" i="3"/>
  <c r="E3289" i="3"/>
  <c r="D3289" i="3"/>
  <c r="E3288" i="3"/>
  <c r="D3288" i="3"/>
  <c r="E3287" i="3"/>
  <c r="D3287" i="3"/>
  <c r="E3286" i="3"/>
  <c r="D3286" i="3"/>
  <c r="E3285" i="3"/>
  <c r="D3285" i="3"/>
  <c r="E3284" i="3"/>
  <c r="D3284" i="3"/>
  <c r="E3283" i="3"/>
  <c r="D3283" i="3"/>
  <c r="E3282" i="3"/>
  <c r="D3282" i="3"/>
  <c r="E3281" i="3"/>
  <c r="D3281" i="3"/>
  <c r="E3280" i="3"/>
  <c r="D3280" i="3"/>
  <c r="E3279" i="3"/>
  <c r="D3279" i="3"/>
  <c r="E3278" i="3"/>
  <c r="D3278" i="3"/>
  <c r="E3277" i="3"/>
  <c r="D3277" i="3"/>
  <c r="E3276" i="3"/>
  <c r="D3276" i="3"/>
  <c r="E3275" i="3"/>
  <c r="D3275" i="3"/>
  <c r="E3274" i="3"/>
  <c r="D3274" i="3"/>
  <c r="E3273" i="3"/>
  <c r="D3273" i="3"/>
  <c r="E3272" i="3"/>
  <c r="D3272" i="3"/>
  <c r="E3271" i="3"/>
  <c r="D3271" i="3"/>
  <c r="E3270" i="3"/>
  <c r="D3270" i="3"/>
  <c r="E3269" i="3"/>
  <c r="D3269" i="3"/>
  <c r="E3268" i="3"/>
  <c r="D3268" i="3"/>
  <c r="E3267" i="3"/>
  <c r="D3267" i="3"/>
  <c r="E3266" i="3"/>
  <c r="D3266" i="3"/>
  <c r="E3265" i="3"/>
  <c r="D3265" i="3"/>
  <c r="E3264" i="3"/>
  <c r="D3264" i="3"/>
  <c r="E3263" i="3"/>
  <c r="D3263" i="3"/>
  <c r="E3262" i="3"/>
  <c r="D3262" i="3"/>
  <c r="E3261" i="3"/>
  <c r="D3261" i="3"/>
  <c r="E3260" i="3"/>
  <c r="D3260" i="3"/>
  <c r="E3259" i="3"/>
  <c r="D3259" i="3"/>
  <c r="E3258" i="3"/>
  <c r="D3258" i="3"/>
  <c r="E3257" i="3"/>
  <c r="D3257" i="3"/>
  <c r="E3256" i="3"/>
  <c r="D3256" i="3"/>
  <c r="E3255" i="3"/>
  <c r="D3255" i="3"/>
  <c r="E3254" i="3"/>
  <c r="D3254" i="3"/>
  <c r="E3253" i="3"/>
  <c r="D3253" i="3"/>
  <c r="E3252" i="3"/>
  <c r="D3252" i="3"/>
  <c r="E3251" i="3"/>
  <c r="D3251" i="3"/>
  <c r="E3250" i="3"/>
  <c r="D3250" i="3"/>
  <c r="E3249" i="3"/>
  <c r="D3249" i="3"/>
  <c r="E3248" i="3"/>
  <c r="D3248" i="3"/>
  <c r="E3247" i="3"/>
  <c r="D3247" i="3"/>
  <c r="E3246" i="3"/>
  <c r="D3246" i="3"/>
  <c r="E3245" i="3"/>
  <c r="D3245" i="3"/>
  <c r="E3244" i="3"/>
  <c r="D3244" i="3"/>
  <c r="E3243" i="3"/>
  <c r="D3243" i="3"/>
  <c r="E3242" i="3"/>
  <c r="D3242" i="3"/>
  <c r="E3241" i="3"/>
  <c r="D3241" i="3"/>
  <c r="E3240" i="3"/>
  <c r="D3240" i="3"/>
  <c r="E3239" i="3"/>
  <c r="D3239" i="3"/>
  <c r="E3238" i="3"/>
  <c r="D3238" i="3"/>
  <c r="E3237" i="3"/>
  <c r="D3237" i="3"/>
  <c r="E3236" i="3"/>
  <c r="D3236" i="3"/>
  <c r="E3235" i="3"/>
  <c r="D3235" i="3"/>
  <c r="E3234" i="3"/>
  <c r="D3234" i="3"/>
  <c r="E3233" i="3"/>
  <c r="D3233" i="3"/>
  <c r="E3232" i="3"/>
  <c r="D3232" i="3"/>
  <c r="E3231" i="3"/>
  <c r="D3231" i="3"/>
  <c r="E3230" i="3"/>
  <c r="D3230" i="3"/>
  <c r="E3229" i="3"/>
  <c r="D3229" i="3"/>
  <c r="E3228" i="3"/>
  <c r="D3228" i="3"/>
  <c r="E3227" i="3"/>
  <c r="D3227" i="3"/>
  <c r="E3226" i="3"/>
  <c r="D3226" i="3"/>
  <c r="E3225" i="3"/>
  <c r="D3225" i="3"/>
  <c r="E3224" i="3"/>
  <c r="D3224" i="3"/>
  <c r="E3223" i="3"/>
  <c r="D3223" i="3"/>
  <c r="E3222" i="3"/>
  <c r="D3222" i="3"/>
  <c r="E3221" i="3"/>
  <c r="D3221" i="3"/>
  <c r="E3220" i="3"/>
  <c r="D3220" i="3"/>
  <c r="E3219" i="3"/>
  <c r="D3219" i="3"/>
  <c r="E3218" i="3"/>
  <c r="D3218" i="3"/>
  <c r="E3217" i="3"/>
  <c r="D3217" i="3"/>
  <c r="E3216" i="3"/>
  <c r="D3216" i="3"/>
  <c r="E3215" i="3"/>
  <c r="D3215" i="3"/>
  <c r="E3214" i="3"/>
  <c r="D3214" i="3"/>
  <c r="E3213" i="3"/>
  <c r="D3213" i="3"/>
  <c r="E3212" i="3"/>
  <c r="D3212" i="3"/>
  <c r="E3211" i="3"/>
  <c r="D3211" i="3"/>
  <c r="E3210" i="3"/>
  <c r="D3210" i="3"/>
  <c r="E3209" i="3"/>
  <c r="D3209" i="3"/>
  <c r="E3208" i="3"/>
  <c r="D3208" i="3"/>
  <c r="E3207" i="3"/>
  <c r="D3207" i="3"/>
  <c r="E3206" i="3"/>
  <c r="D3206" i="3"/>
  <c r="E3205" i="3"/>
  <c r="D3205" i="3"/>
  <c r="E3204" i="3"/>
  <c r="D3204" i="3"/>
  <c r="E3203" i="3"/>
  <c r="D3203" i="3"/>
  <c r="E3202" i="3"/>
  <c r="D3202" i="3"/>
  <c r="E3201" i="3"/>
  <c r="D3201" i="3"/>
  <c r="E3200" i="3"/>
  <c r="D3200" i="3"/>
  <c r="E3199" i="3"/>
  <c r="D3199" i="3"/>
  <c r="E3198" i="3"/>
  <c r="D3198" i="3"/>
  <c r="E3197" i="3"/>
  <c r="D3197" i="3"/>
  <c r="E3196" i="3"/>
  <c r="D3196" i="3"/>
  <c r="E3195" i="3"/>
  <c r="D3195" i="3"/>
  <c r="E3194" i="3"/>
  <c r="D3194" i="3"/>
  <c r="E3193" i="3"/>
  <c r="D3193" i="3"/>
  <c r="E3192" i="3"/>
  <c r="D3192" i="3"/>
  <c r="E3191" i="3"/>
  <c r="D3191" i="3"/>
  <c r="E3190" i="3"/>
  <c r="D3190" i="3"/>
  <c r="E3189" i="3"/>
  <c r="D3189" i="3"/>
  <c r="E3188" i="3"/>
  <c r="D3188" i="3"/>
  <c r="E3187" i="3"/>
  <c r="D3187" i="3"/>
  <c r="E3186" i="3"/>
  <c r="D3186" i="3"/>
  <c r="E3185" i="3"/>
  <c r="D3185" i="3"/>
  <c r="E3184" i="3"/>
  <c r="D3184" i="3"/>
  <c r="E3183" i="3"/>
  <c r="D3183" i="3"/>
  <c r="E3182" i="3"/>
  <c r="D3182" i="3"/>
  <c r="E3181" i="3"/>
  <c r="D3181" i="3"/>
  <c r="E3180" i="3"/>
  <c r="D3180" i="3"/>
  <c r="E3179" i="3"/>
  <c r="D3179" i="3"/>
  <c r="E3178" i="3"/>
  <c r="D3178" i="3"/>
  <c r="E3177" i="3"/>
  <c r="D3177" i="3"/>
  <c r="E3176" i="3"/>
  <c r="D3176" i="3"/>
  <c r="E3175" i="3"/>
  <c r="D3175" i="3"/>
  <c r="E3174" i="3"/>
  <c r="D3174" i="3"/>
  <c r="E3173" i="3"/>
  <c r="D3173" i="3"/>
  <c r="E3172" i="3"/>
  <c r="D3172" i="3"/>
  <c r="E3171" i="3"/>
  <c r="D3171" i="3"/>
  <c r="E3170" i="3"/>
  <c r="D3170" i="3"/>
  <c r="E3169" i="3"/>
  <c r="D3169" i="3"/>
  <c r="E3168" i="3"/>
  <c r="D3168" i="3"/>
  <c r="E3167" i="3"/>
  <c r="D3167" i="3"/>
  <c r="E3166" i="3"/>
  <c r="D3166" i="3"/>
  <c r="E3165" i="3"/>
  <c r="D3165" i="3"/>
  <c r="E3164" i="3"/>
  <c r="D3164" i="3"/>
  <c r="E3163" i="3"/>
  <c r="D3163" i="3"/>
  <c r="E3162" i="3"/>
  <c r="D3162" i="3"/>
  <c r="E3161" i="3"/>
  <c r="D3161" i="3"/>
  <c r="E3160" i="3"/>
  <c r="D3160" i="3"/>
  <c r="E3159" i="3"/>
  <c r="D3159" i="3"/>
  <c r="E3158" i="3"/>
  <c r="D3158" i="3"/>
  <c r="E3157" i="3"/>
  <c r="D3157" i="3"/>
  <c r="E3156" i="3"/>
  <c r="D3156" i="3"/>
  <c r="E3155" i="3"/>
  <c r="D3155" i="3"/>
  <c r="E3154" i="3"/>
  <c r="D3154" i="3"/>
  <c r="E3153" i="3"/>
  <c r="D3153" i="3"/>
  <c r="E3152" i="3"/>
  <c r="D3152" i="3"/>
  <c r="E3151" i="3"/>
  <c r="D3151" i="3"/>
  <c r="E3150" i="3"/>
  <c r="D3150" i="3"/>
  <c r="E3149" i="3"/>
  <c r="D3149" i="3"/>
  <c r="E3148" i="3"/>
  <c r="D3148" i="3"/>
  <c r="E3147" i="3"/>
  <c r="D3147" i="3"/>
  <c r="E3146" i="3"/>
  <c r="D3146" i="3"/>
  <c r="E3145" i="3"/>
  <c r="D3145" i="3"/>
  <c r="E3144" i="3"/>
  <c r="D3144" i="3"/>
  <c r="E3143" i="3"/>
  <c r="D3143" i="3"/>
  <c r="E3142" i="3"/>
  <c r="D3142" i="3"/>
  <c r="E3141" i="3"/>
  <c r="D3141" i="3"/>
  <c r="E3140" i="3"/>
  <c r="D3140" i="3"/>
  <c r="E3139" i="3"/>
  <c r="D3139" i="3"/>
  <c r="E3138" i="3"/>
  <c r="D3138" i="3"/>
  <c r="E3137" i="3"/>
  <c r="D3137" i="3"/>
  <c r="E3136" i="3"/>
  <c r="D3136" i="3"/>
  <c r="E3135" i="3"/>
  <c r="D3135" i="3"/>
  <c r="E3134" i="3"/>
  <c r="D3134" i="3"/>
  <c r="E3133" i="3"/>
  <c r="D3133" i="3"/>
  <c r="E3132" i="3"/>
  <c r="D3132" i="3"/>
  <c r="E3131" i="3"/>
  <c r="D3131" i="3"/>
  <c r="E3130" i="3"/>
  <c r="D3130" i="3"/>
  <c r="E3129" i="3"/>
  <c r="D3129" i="3"/>
  <c r="E3128" i="3"/>
  <c r="D3128" i="3"/>
  <c r="E3127" i="3"/>
  <c r="D3127" i="3"/>
  <c r="E3126" i="3"/>
  <c r="D3126" i="3"/>
  <c r="E3125" i="3"/>
  <c r="D3125" i="3"/>
  <c r="E3124" i="3"/>
  <c r="D3124" i="3"/>
  <c r="E3123" i="3"/>
  <c r="D3123" i="3"/>
  <c r="E3122" i="3"/>
  <c r="D3122" i="3"/>
  <c r="E3121" i="3"/>
  <c r="D3121" i="3"/>
  <c r="E3120" i="3"/>
  <c r="D3120" i="3"/>
  <c r="E3119" i="3"/>
  <c r="D3119" i="3"/>
  <c r="E3118" i="3"/>
  <c r="D3118" i="3"/>
  <c r="E3117" i="3"/>
  <c r="D3117" i="3"/>
  <c r="E3116" i="3"/>
  <c r="D3116" i="3"/>
  <c r="E3115" i="3"/>
  <c r="D3115" i="3"/>
  <c r="E3114" i="3"/>
  <c r="D3114" i="3"/>
  <c r="E3113" i="3"/>
  <c r="D3113" i="3"/>
  <c r="E3112" i="3"/>
  <c r="D3112" i="3"/>
  <c r="E3111" i="3"/>
  <c r="D3111" i="3"/>
  <c r="E3110" i="3"/>
  <c r="D3110" i="3"/>
  <c r="E3109" i="3"/>
  <c r="D3109" i="3"/>
  <c r="E3108" i="3"/>
  <c r="D3108" i="3"/>
  <c r="E3107" i="3"/>
  <c r="D3107" i="3"/>
  <c r="E3106" i="3"/>
  <c r="D3106" i="3"/>
  <c r="E3105" i="3"/>
  <c r="D3105" i="3"/>
  <c r="E3104" i="3"/>
  <c r="D3104" i="3"/>
  <c r="E3103" i="3"/>
  <c r="D3103" i="3"/>
  <c r="E3102" i="3"/>
  <c r="D3102" i="3"/>
  <c r="E3101" i="3"/>
  <c r="D3101" i="3"/>
  <c r="E3100" i="3"/>
  <c r="D3100" i="3"/>
  <c r="E3099" i="3"/>
  <c r="D3099" i="3"/>
  <c r="E3098" i="3"/>
  <c r="D3098" i="3"/>
  <c r="E3097" i="3"/>
  <c r="D3097" i="3"/>
  <c r="E3096" i="3"/>
  <c r="D3096" i="3"/>
  <c r="E3095" i="3"/>
  <c r="D3095" i="3"/>
  <c r="E3094" i="3"/>
  <c r="D3094" i="3"/>
  <c r="E3093" i="3"/>
  <c r="D3093" i="3"/>
  <c r="E3092" i="3"/>
  <c r="D3092" i="3"/>
  <c r="E3091" i="3"/>
  <c r="D3091" i="3"/>
  <c r="E3090" i="3"/>
  <c r="D3090" i="3"/>
  <c r="E3089" i="3"/>
  <c r="D3089" i="3"/>
  <c r="E3088" i="3"/>
  <c r="D3088" i="3"/>
  <c r="E3087" i="3"/>
  <c r="D3087" i="3"/>
  <c r="E3086" i="3"/>
  <c r="D3086" i="3"/>
  <c r="E3085" i="3"/>
  <c r="D3085" i="3"/>
  <c r="E3084" i="3"/>
  <c r="D3084" i="3"/>
  <c r="E3083" i="3"/>
  <c r="D3083" i="3"/>
  <c r="E3082" i="3"/>
  <c r="D3082" i="3"/>
  <c r="E3081" i="3"/>
  <c r="D3081" i="3"/>
  <c r="E3080" i="3"/>
  <c r="D3080" i="3"/>
  <c r="E3079" i="3"/>
  <c r="D3079" i="3"/>
  <c r="E3078" i="3"/>
  <c r="D3078" i="3"/>
  <c r="E3077" i="3"/>
  <c r="D3077" i="3"/>
  <c r="E3076" i="3"/>
  <c r="D3076" i="3"/>
  <c r="E3075" i="3"/>
  <c r="D3075" i="3"/>
  <c r="E3074" i="3"/>
  <c r="D3074" i="3"/>
  <c r="E3073" i="3"/>
  <c r="D3073" i="3"/>
  <c r="E3072" i="3"/>
  <c r="D3072" i="3"/>
  <c r="E3071" i="3"/>
  <c r="D3071" i="3"/>
  <c r="E3070" i="3"/>
  <c r="D3070" i="3"/>
  <c r="E3069" i="3"/>
  <c r="D3069" i="3"/>
  <c r="E3068" i="3"/>
  <c r="D3068" i="3"/>
  <c r="E3067" i="3"/>
  <c r="D3067" i="3"/>
  <c r="E3066" i="3"/>
  <c r="D3066" i="3"/>
  <c r="E3065" i="3"/>
  <c r="D3065" i="3"/>
  <c r="E3064" i="3"/>
  <c r="D3064" i="3"/>
  <c r="E3063" i="3"/>
  <c r="D3063" i="3"/>
  <c r="E3062" i="3"/>
  <c r="D3062" i="3"/>
  <c r="E3061" i="3"/>
  <c r="D3061" i="3"/>
  <c r="E3060" i="3"/>
  <c r="D3060" i="3"/>
  <c r="E3059" i="3"/>
  <c r="D3059" i="3"/>
  <c r="E3058" i="3"/>
  <c r="D3058" i="3"/>
  <c r="E3057" i="3"/>
  <c r="D3057" i="3"/>
  <c r="E3056" i="3"/>
  <c r="D3056" i="3"/>
  <c r="E3055" i="3"/>
  <c r="D3055" i="3"/>
  <c r="E3054" i="3"/>
  <c r="D3054" i="3"/>
  <c r="E3053" i="3"/>
  <c r="D3053" i="3"/>
  <c r="E3052" i="3"/>
  <c r="D3052" i="3"/>
  <c r="E3051" i="3"/>
  <c r="D3051" i="3"/>
  <c r="E3050" i="3"/>
  <c r="D3050" i="3"/>
  <c r="E3049" i="3"/>
  <c r="D3049" i="3"/>
  <c r="E3048" i="3"/>
  <c r="D3048" i="3"/>
  <c r="E3047" i="3"/>
  <c r="D3047" i="3"/>
  <c r="E3046" i="3"/>
  <c r="D3046" i="3"/>
  <c r="E3045" i="3"/>
  <c r="D3045" i="3"/>
  <c r="E3044" i="3"/>
  <c r="D3044" i="3"/>
  <c r="E3043" i="3"/>
  <c r="D3043" i="3"/>
  <c r="E3042" i="3"/>
  <c r="D3042" i="3"/>
  <c r="E3041" i="3"/>
  <c r="D3041" i="3"/>
  <c r="E3040" i="3"/>
  <c r="D3040" i="3"/>
  <c r="E3039" i="3"/>
  <c r="D3039" i="3"/>
  <c r="E3038" i="3"/>
  <c r="D3038" i="3"/>
  <c r="E3037" i="3"/>
  <c r="D3037" i="3"/>
  <c r="E3036" i="3"/>
  <c r="D3036" i="3"/>
  <c r="E3035" i="3"/>
  <c r="D3035" i="3"/>
  <c r="E3034" i="3"/>
  <c r="D3034" i="3"/>
  <c r="E3033" i="3"/>
  <c r="D3033" i="3"/>
  <c r="E3032" i="3"/>
  <c r="D3032" i="3"/>
  <c r="E3031" i="3"/>
  <c r="D3031" i="3"/>
  <c r="E3030" i="3"/>
  <c r="D3030" i="3"/>
  <c r="E3029" i="3"/>
  <c r="D3029" i="3"/>
  <c r="E3028" i="3"/>
  <c r="D3028" i="3"/>
  <c r="E3027" i="3"/>
  <c r="D3027" i="3"/>
  <c r="E3026" i="3"/>
  <c r="D3026" i="3"/>
  <c r="E3025" i="3"/>
  <c r="D3025" i="3"/>
  <c r="E3024" i="3"/>
  <c r="D3024" i="3"/>
  <c r="E3023" i="3"/>
  <c r="D3023" i="3"/>
  <c r="E3022" i="3"/>
  <c r="D3022" i="3"/>
  <c r="E3021" i="3"/>
  <c r="D3021" i="3"/>
  <c r="E3020" i="3"/>
  <c r="D3020" i="3"/>
  <c r="E3019" i="3"/>
  <c r="D3019" i="3"/>
  <c r="E3018" i="3"/>
  <c r="D3018" i="3"/>
  <c r="E3017" i="3"/>
  <c r="D3017" i="3"/>
  <c r="E3016" i="3"/>
  <c r="D3016" i="3"/>
  <c r="E3015" i="3"/>
  <c r="D3015" i="3"/>
  <c r="E3014" i="3"/>
  <c r="D3014" i="3"/>
  <c r="E3013" i="3"/>
  <c r="D3013" i="3"/>
  <c r="E3012" i="3"/>
  <c r="D3012" i="3"/>
  <c r="E3011" i="3"/>
  <c r="D3011" i="3"/>
  <c r="E3010" i="3"/>
  <c r="D3010" i="3"/>
  <c r="E3009" i="3"/>
  <c r="D3009" i="3"/>
  <c r="E3008" i="3"/>
  <c r="D3008" i="3"/>
  <c r="E3007" i="3"/>
  <c r="D3007" i="3"/>
  <c r="E3006" i="3"/>
  <c r="D3006" i="3"/>
  <c r="E3005" i="3"/>
  <c r="D3005" i="3"/>
  <c r="E3004" i="3"/>
  <c r="D3004" i="3"/>
  <c r="E3003" i="3"/>
  <c r="D3003" i="3"/>
  <c r="E3002" i="3"/>
  <c r="D3002" i="3"/>
  <c r="E3001" i="3"/>
  <c r="D3001" i="3"/>
  <c r="E3000" i="3"/>
  <c r="D3000" i="3"/>
  <c r="E2999" i="3"/>
  <c r="D2999" i="3"/>
  <c r="E2998" i="3"/>
  <c r="D2998" i="3"/>
  <c r="E2997" i="3"/>
  <c r="D2997" i="3"/>
  <c r="E2996" i="3"/>
  <c r="D2996" i="3"/>
  <c r="E2995" i="3"/>
  <c r="D2995" i="3"/>
  <c r="E2994" i="3"/>
  <c r="D2994" i="3"/>
  <c r="E2993" i="3"/>
  <c r="D2993" i="3"/>
  <c r="E2992" i="3"/>
  <c r="D2992" i="3"/>
  <c r="E2991" i="3"/>
  <c r="D2991" i="3"/>
  <c r="E2990" i="3"/>
  <c r="D2990" i="3"/>
  <c r="E2989" i="3"/>
  <c r="D2989" i="3"/>
  <c r="E2988" i="3"/>
  <c r="D2988" i="3"/>
  <c r="E2987" i="3"/>
  <c r="D2987" i="3"/>
  <c r="E2986" i="3"/>
  <c r="D2986" i="3"/>
  <c r="E2985" i="3"/>
  <c r="D2985" i="3"/>
  <c r="E2984" i="3"/>
  <c r="D2984" i="3"/>
  <c r="E2983" i="3"/>
  <c r="D2983" i="3"/>
  <c r="E2982" i="3"/>
  <c r="D2982" i="3"/>
  <c r="E2981" i="3"/>
  <c r="D2981" i="3"/>
  <c r="E2980" i="3"/>
  <c r="D2980" i="3"/>
  <c r="E2979" i="3"/>
  <c r="D2979" i="3"/>
  <c r="E2978" i="3"/>
  <c r="D2978" i="3"/>
  <c r="E2977" i="3"/>
  <c r="D2977" i="3"/>
  <c r="E2976" i="3"/>
  <c r="D2976" i="3"/>
  <c r="E2975" i="3"/>
  <c r="D2975" i="3"/>
  <c r="E2974" i="3"/>
  <c r="D2974" i="3"/>
  <c r="E2973" i="3"/>
  <c r="D2973" i="3"/>
  <c r="E2972" i="3"/>
  <c r="D2972" i="3"/>
  <c r="E2971" i="3"/>
  <c r="D2971" i="3"/>
  <c r="E2970" i="3"/>
  <c r="D2970" i="3"/>
  <c r="E2969" i="3"/>
  <c r="D2969" i="3"/>
  <c r="E2968" i="3"/>
  <c r="D2968" i="3"/>
  <c r="E2967" i="3"/>
  <c r="D2967" i="3"/>
  <c r="E2966" i="3"/>
  <c r="D2966" i="3"/>
  <c r="E2965" i="3"/>
  <c r="D2965" i="3"/>
  <c r="E2964" i="3"/>
  <c r="D2964" i="3"/>
  <c r="E2963" i="3"/>
  <c r="D2963" i="3"/>
  <c r="E2962" i="3"/>
  <c r="D2962" i="3"/>
  <c r="E2961" i="3"/>
  <c r="D2961" i="3"/>
  <c r="E2960" i="3"/>
  <c r="D2960" i="3"/>
  <c r="E2959" i="3"/>
  <c r="D2959" i="3"/>
  <c r="E2958" i="3"/>
  <c r="D2958" i="3"/>
  <c r="E2957" i="3"/>
  <c r="D2957" i="3"/>
  <c r="E2956" i="3"/>
  <c r="D2956" i="3"/>
  <c r="E2955" i="3"/>
  <c r="D2955" i="3"/>
  <c r="E2954" i="3"/>
  <c r="D2954" i="3"/>
  <c r="E2953" i="3"/>
  <c r="D2953" i="3"/>
  <c r="E2952" i="3"/>
  <c r="D2952" i="3"/>
  <c r="E2951" i="3"/>
  <c r="D2951" i="3"/>
  <c r="E2950" i="3"/>
  <c r="D2950" i="3"/>
  <c r="E2949" i="3"/>
  <c r="D2949" i="3"/>
  <c r="E2948" i="3"/>
  <c r="D2948" i="3"/>
  <c r="E2947" i="3"/>
  <c r="D2947" i="3"/>
  <c r="E2946" i="3"/>
  <c r="D2946" i="3"/>
  <c r="E2945" i="3"/>
  <c r="D2945" i="3"/>
  <c r="E2944" i="3"/>
  <c r="D2944" i="3"/>
  <c r="E2943" i="3"/>
  <c r="D2943" i="3"/>
  <c r="E2942" i="3"/>
  <c r="D2942" i="3"/>
  <c r="E2941" i="3"/>
  <c r="D2941" i="3"/>
  <c r="E2940" i="3"/>
  <c r="D2940" i="3"/>
  <c r="E2939" i="3"/>
  <c r="D2939" i="3"/>
  <c r="E2938" i="3"/>
  <c r="D2938" i="3"/>
  <c r="E2937" i="3"/>
  <c r="D2937" i="3"/>
  <c r="E2936" i="3"/>
  <c r="D2936" i="3"/>
  <c r="E2935" i="3"/>
  <c r="D2935" i="3"/>
  <c r="E2934" i="3"/>
  <c r="D2934" i="3"/>
  <c r="E2933" i="3"/>
  <c r="D2933" i="3"/>
  <c r="E2932" i="3"/>
  <c r="D2932" i="3"/>
  <c r="E2931" i="3"/>
  <c r="D2931" i="3"/>
  <c r="E2930" i="3"/>
  <c r="D2930" i="3"/>
  <c r="E2929" i="3"/>
  <c r="D2929" i="3"/>
  <c r="E2928" i="3"/>
  <c r="D2928" i="3"/>
  <c r="E2927" i="3"/>
  <c r="D2927" i="3"/>
  <c r="E2926" i="3"/>
  <c r="D2926" i="3"/>
  <c r="E2925" i="3"/>
  <c r="D2925" i="3"/>
  <c r="E2924" i="3"/>
  <c r="D2924" i="3"/>
  <c r="E2923" i="3"/>
  <c r="D2923" i="3"/>
  <c r="E2922" i="3"/>
  <c r="D2922" i="3"/>
  <c r="E2921" i="3"/>
  <c r="D2921" i="3"/>
  <c r="E2920" i="3"/>
  <c r="D2920" i="3"/>
  <c r="E2919" i="3"/>
  <c r="D2919" i="3"/>
  <c r="E2918" i="3"/>
  <c r="D2918" i="3"/>
  <c r="E2917" i="3"/>
  <c r="D2917" i="3"/>
  <c r="E2916" i="3"/>
  <c r="D2916" i="3"/>
  <c r="E2915" i="3"/>
  <c r="D2915" i="3"/>
  <c r="E2914" i="3"/>
  <c r="D2914" i="3"/>
  <c r="E2913" i="3"/>
  <c r="D2913" i="3"/>
  <c r="E2912" i="3"/>
  <c r="D2912" i="3"/>
  <c r="E2911" i="3"/>
  <c r="D2911" i="3"/>
  <c r="E2910" i="3"/>
  <c r="D2910" i="3"/>
  <c r="E2909" i="3"/>
  <c r="D2909" i="3"/>
  <c r="E2908" i="3"/>
  <c r="D2908" i="3"/>
  <c r="E2907" i="3"/>
  <c r="D2907" i="3"/>
  <c r="E2906" i="3"/>
  <c r="D2906" i="3"/>
  <c r="E2905" i="3"/>
  <c r="D2905" i="3"/>
  <c r="E2904" i="3"/>
  <c r="D2904" i="3"/>
  <c r="E2903" i="3"/>
  <c r="D2903" i="3"/>
  <c r="E2902" i="3"/>
  <c r="D2902" i="3"/>
  <c r="E2901" i="3"/>
  <c r="D2901" i="3"/>
  <c r="E2900" i="3"/>
  <c r="D2900" i="3"/>
  <c r="E2899" i="3"/>
  <c r="D2899" i="3"/>
  <c r="E2898" i="3"/>
  <c r="D2898" i="3"/>
  <c r="E2897" i="3"/>
  <c r="D2897" i="3"/>
  <c r="E2896" i="3"/>
  <c r="D2896" i="3"/>
  <c r="E2895" i="3"/>
  <c r="D2895" i="3"/>
  <c r="E2894" i="3"/>
  <c r="D2894" i="3"/>
  <c r="E2893" i="3"/>
  <c r="D2893" i="3"/>
  <c r="E2892" i="3"/>
  <c r="D2892" i="3"/>
  <c r="E2891" i="3"/>
  <c r="D2891" i="3"/>
  <c r="E2890" i="3"/>
  <c r="D2890" i="3"/>
  <c r="E2889" i="3"/>
  <c r="D2889" i="3"/>
  <c r="E2888" i="3"/>
  <c r="D2888" i="3"/>
  <c r="E2887" i="3"/>
  <c r="D2887" i="3"/>
  <c r="E2886" i="3"/>
  <c r="D2886" i="3"/>
  <c r="E2885" i="3"/>
  <c r="D2885" i="3"/>
  <c r="E2884" i="3"/>
  <c r="D2884" i="3"/>
  <c r="E2883" i="3"/>
  <c r="D2883" i="3"/>
  <c r="E2882" i="3"/>
  <c r="D2882" i="3"/>
  <c r="E2881" i="3"/>
  <c r="D2881" i="3"/>
  <c r="E2880" i="3"/>
  <c r="D2880" i="3"/>
  <c r="E2879" i="3"/>
  <c r="D2879" i="3"/>
  <c r="E2878" i="3"/>
  <c r="D2878" i="3"/>
  <c r="E2877" i="3"/>
  <c r="D2877" i="3"/>
  <c r="E2876" i="3"/>
  <c r="D2876" i="3"/>
  <c r="E2875" i="3"/>
  <c r="D2875" i="3"/>
  <c r="E2874" i="3"/>
  <c r="D2874" i="3"/>
  <c r="E2873" i="3"/>
  <c r="D2873" i="3"/>
  <c r="E2872" i="3"/>
  <c r="D2872" i="3"/>
  <c r="E2871" i="3"/>
  <c r="D2871" i="3"/>
  <c r="E2870" i="3"/>
  <c r="D2870" i="3"/>
  <c r="E2869" i="3"/>
  <c r="D2869" i="3"/>
  <c r="E2868" i="3"/>
  <c r="D2868" i="3"/>
  <c r="E2867" i="3"/>
  <c r="D2867" i="3"/>
  <c r="E2866" i="3"/>
  <c r="D2866" i="3"/>
  <c r="E2865" i="3"/>
  <c r="D2865" i="3"/>
  <c r="E2864" i="3"/>
  <c r="D2864" i="3"/>
  <c r="E2863" i="3"/>
  <c r="D2863" i="3"/>
  <c r="E2862" i="3"/>
  <c r="D2862" i="3"/>
  <c r="E2861" i="3"/>
  <c r="D2861" i="3"/>
  <c r="E2860" i="3"/>
  <c r="D2860" i="3"/>
  <c r="E2859" i="3"/>
  <c r="D2859" i="3"/>
  <c r="E2858" i="3"/>
  <c r="D2858" i="3"/>
  <c r="E2857" i="3"/>
  <c r="D2857" i="3"/>
  <c r="E2856" i="3"/>
  <c r="D2856" i="3"/>
  <c r="E2855" i="3"/>
  <c r="D2855" i="3"/>
  <c r="E2854" i="3"/>
  <c r="D2854" i="3"/>
  <c r="E2853" i="3"/>
  <c r="D2853" i="3"/>
  <c r="E2852" i="3"/>
  <c r="D2852" i="3"/>
  <c r="E2851" i="3"/>
  <c r="D2851" i="3"/>
  <c r="E2850" i="3"/>
  <c r="D2850" i="3"/>
  <c r="E2849" i="3"/>
  <c r="D2849" i="3"/>
  <c r="E2848" i="3"/>
  <c r="D2848" i="3"/>
  <c r="E2847" i="3"/>
  <c r="D2847" i="3"/>
  <c r="E2846" i="3"/>
  <c r="D2846" i="3"/>
  <c r="E2845" i="3"/>
  <c r="D2845" i="3"/>
  <c r="E2844" i="3"/>
  <c r="D2844" i="3"/>
  <c r="E2843" i="3"/>
  <c r="D2843" i="3"/>
  <c r="E2842" i="3"/>
  <c r="D2842" i="3"/>
  <c r="E2841" i="3"/>
  <c r="D2841" i="3"/>
  <c r="E2840" i="3"/>
  <c r="D2840" i="3"/>
  <c r="E2839" i="3"/>
  <c r="D2839" i="3"/>
  <c r="E2838" i="3"/>
  <c r="D2838" i="3"/>
  <c r="E2837" i="3"/>
  <c r="D2837" i="3"/>
  <c r="E2836" i="3"/>
  <c r="D2836" i="3"/>
  <c r="E2835" i="3"/>
  <c r="D2835" i="3"/>
  <c r="E2834" i="3"/>
  <c r="D2834" i="3"/>
  <c r="E2833" i="3"/>
  <c r="D2833" i="3"/>
  <c r="E2832" i="3"/>
  <c r="D2832" i="3"/>
  <c r="E2831" i="3"/>
  <c r="D2831" i="3"/>
  <c r="E2830" i="3"/>
  <c r="D2830" i="3"/>
  <c r="E2829" i="3"/>
  <c r="D2829" i="3"/>
  <c r="E2828" i="3"/>
  <c r="D2828" i="3"/>
  <c r="E2827" i="3"/>
  <c r="D2827" i="3"/>
  <c r="E2826" i="3"/>
  <c r="D2826" i="3"/>
  <c r="E2825" i="3"/>
  <c r="D2825" i="3"/>
  <c r="E2824" i="3"/>
  <c r="D2824" i="3"/>
  <c r="E2823" i="3"/>
  <c r="D2823" i="3"/>
  <c r="E2822" i="3"/>
  <c r="D2822" i="3"/>
  <c r="E2821" i="3"/>
  <c r="D2821" i="3"/>
  <c r="E2820" i="3"/>
  <c r="D2820" i="3"/>
  <c r="E2819" i="3"/>
  <c r="D2819" i="3"/>
  <c r="E2818" i="3"/>
  <c r="D2818" i="3"/>
  <c r="E2817" i="3"/>
  <c r="D2817" i="3"/>
  <c r="E2816" i="3"/>
  <c r="D2816" i="3"/>
  <c r="E2815" i="3"/>
  <c r="D2815" i="3"/>
  <c r="E2814" i="3"/>
  <c r="D2814" i="3"/>
  <c r="E2813" i="3"/>
  <c r="D2813" i="3"/>
  <c r="E2812" i="3"/>
  <c r="D2812" i="3"/>
  <c r="E2811" i="3"/>
  <c r="D2811" i="3"/>
  <c r="E2810" i="3"/>
  <c r="D2810" i="3"/>
  <c r="E2809" i="3"/>
  <c r="D2809" i="3"/>
  <c r="E2808" i="3"/>
  <c r="D2808" i="3"/>
  <c r="E2807" i="3"/>
  <c r="D2807" i="3"/>
  <c r="E2806" i="3"/>
  <c r="D2806" i="3"/>
  <c r="E2805" i="3"/>
  <c r="D2805" i="3"/>
  <c r="E2804" i="3"/>
  <c r="D2804" i="3"/>
  <c r="E2803" i="3"/>
  <c r="D2803" i="3"/>
  <c r="E2802" i="3"/>
  <c r="D2802" i="3"/>
  <c r="E2801" i="3"/>
  <c r="D2801" i="3"/>
  <c r="E2800" i="3"/>
  <c r="D2800" i="3"/>
  <c r="E2799" i="3"/>
  <c r="D2799" i="3"/>
  <c r="E2798" i="3"/>
  <c r="D2798" i="3"/>
  <c r="E2797" i="3"/>
  <c r="D2797" i="3"/>
  <c r="E2796" i="3"/>
  <c r="D2796" i="3"/>
  <c r="E2795" i="3"/>
  <c r="D2795" i="3"/>
  <c r="E2794" i="3"/>
  <c r="D2794" i="3"/>
  <c r="E2793" i="3"/>
  <c r="D2793" i="3"/>
  <c r="E2792" i="3"/>
  <c r="D2792" i="3"/>
  <c r="E2791" i="3"/>
  <c r="D2791" i="3"/>
  <c r="E2790" i="3"/>
  <c r="D2790" i="3"/>
  <c r="E2789" i="3"/>
  <c r="D2789" i="3"/>
  <c r="E2788" i="3"/>
  <c r="D2788" i="3"/>
  <c r="E2787" i="3"/>
  <c r="D2787" i="3"/>
  <c r="E2786" i="3"/>
  <c r="D2786" i="3"/>
  <c r="E2785" i="3"/>
  <c r="D2785" i="3"/>
  <c r="E2784" i="3"/>
  <c r="D2784" i="3"/>
  <c r="E2783" i="3"/>
  <c r="D2783" i="3"/>
  <c r="E2782" i="3"/>
  <c r="D2782" i="3"/>
  <c r="E2781" i="3"/>
  <c r="D2781" i="3"/>
  <c r="E2780" i="3"/>
  <c r="D2780" i="3"/>
  <c r="E2779" i="3"/>
  <c r="D2779" i="3"/>
  <c r="E2778" i="3"/>
  <c r="D2778" i="3"/>
  <c r="E2777" i="3"/>
  <c r="D2777" i="3"/>
  <c r="E2776" i="3"/>
  <c r="D2776" i="3"/>
  <c r="E2775" i="3"/>
  <c r="D2775" i="3"/>
  <c r="E2774" i="3"/>
  <c r="D2774" i="3"/>
  <c r="E2773" i="3"/>
  <c r="D2773" i="3"/>
  <c r="E2772" i="3"/>
  <c r="D2772" i="3"/>
  <c r="E2771" i="3"/>
  <c r="D2771" i="3"/>
  <c r="E2770" i="3"/>
  <c r="D2770" i="3"/>
  <c r="E2769" i="3"/>
  <c r="D2769" i="3"/>
  <c r="E2768" i="3"/>
  <c r="D2768" i="3"/>
  <c r="E2767" i="3"/>
  <c r="D2767" i="3"/>
  <c r="E2766" i="3"/>
  <c r="D2766" i="3"/>
  <c r="E2765" i="3"/>
  <c r="D2765" i="3"/>
  <c r="E2764" i="3"/>
  <c r="D2764" i="3"/>
  <c r="E2763" i="3"/>
  <c r="D2763" i="3"/>
  <c r="E2762" i="3"/>
  <c r="D2762" i="3"/>
  <c r="E2761" i="3"/>
  <c r="D2761" i="3"/>
  <c r="E2760" i="3"/>
  <c r="D2760" i="3"/>
  <c r="E2759" i="3"/>
  <c r="D2759" i="3"/>
  <c r="E2758" i="3"/>
  <c r="D2758" i="3"/>
  <c r="E2757" i="3"/>
  <c r="D2757" i="3"/>
  <c r="E2756" i="3"/>
  <c r="D2756" i="3"/>
  <c r="E2755" i="3"/>
  <c r="D2755" i="3"/>
  <c r="E2754" i="3"/>
  <c r="D2754" i="3"/>
  <c r="E2753" i="3"/>
  <c r="D2753" i="3"/>
  <c r="E2752" i="3"/>
  <c r="D2752" i="3"/>
  <c r="E2751" i="3"/>
  <c r="D2751" i="3"/>
  <c r="E2750" i="3"/>
  <c r="D2750" i="3"/>
  <c r="E2749" i="3"/>
  <c r="D2749" i="3"/>
  <c r="E2748" i="3"/>
  <c r="D2748" i="3"/>
  <c r="E2747" i="3"/>
  <c r="D2747" i="3"/>
  <c r="E2746" i="3"/>
  <c r="D2746" i="3"/>
  <c r="E2745" i="3"/>
  <c r="D2745" i="3"/>
  <c r="E2744" i="3"/>
  <c r="D2744" i="3"/>
  <c r="E2743" i="3"/>
  <c r="D2743" i="3"/>
  <c r="E2742" i="3"/>
  <c r="D2742" i="3"/>
  <c r="E2741" i="3"/>
  <c r="D2741" i="3"/>
  <c r="E2740" i="3"/>
  <c r="D2740" i="3"/>
  <c r="E2739" i="3"/>
  <c r="D2739" i="3"/>
  <c r="E2738" i="3"/>
  <c r="D2738" i="3"/>
  <c r="E2737" i="3"/>
  <c r="D2737" i="3"/>
  <c r="E2736" i="3"/>
  <c r="D2736" i="3"/>
  <c r="E2735" i="3"/>
  <c r="D2735" i="3"/>
  <c r="E2734" i="3"/>
  <c r="D2734" i="3"/>
  <c r="E2733" i="3"/>
  <c r="D2733" i="3"/>
  <c r="E2732" i="3"/>
  <c r="D2732" i="3"/>
  <c r="E2731" i="3"/>
  <c r="D2731" i="3"/>
  <c r="E2730" i="3"/>
  <c r="D2730" i="3"/>
  <c r="E2729" i="3"/>
  <c r="D2729" i="3"/>
  <c r="E2728" i="3"/>
  <c r="D2728" i="3"/>
  <c r="E2727" i="3"/>
  <c r="D2727" i="3"/>
  <c r="E2726" i="3"/>
  <c r="D2726" i="3"/>
  <c r="E2725" i="3"/>
  <c r="D2725" i="3"/>
  <c r="E2724" i="3"/>
  <c r="D2724" i="3"/>
  <c r="E2723" i="3"/>
  <c r="D2723" i="3"/>
  <c r="E2722" i="3"/>
  <c r="D2722" i="3"/>
  <c r="E2721" i="3"/>
  <c r="D2721" i="3"/>
  <c r="E2720" i="3"/>
  <c r="D2720" i="3"/>
  <c r="E2719" i="3"/>
  <c r="D2719" i="3"/>
  <c r="E2718" i="3"/>
  <c r="D2718" i="3"/>
  <c r="E2717" i="3"/>
  <c r="D2717" i="3"/>
  <c r="E2716" i="3"/>
  <c r="D2716" i="3"/>
  <c r="E2715" i="3"/>
  <c r="D2715" i="3"/>
  <c r="E2714" i="3"/>
  <c r="D2714" i="3"/>
  <c r="E2713" i="3"/>
  <c r="D2713" i="3"/>
  <c r="E2712" i="3"/>
  <c r="D2712" i="3"/>
  <c r="E2711" i="3"/>
  <c r="D2711" i="3"/>
  <c r="E2710" i="3"/>
  <c r="D2710" i="3"/>
  <c r="E2709" i="3"/>
  <c r="D2709" i="3"/>
  <c r="E2708" i="3"/>
  <c r="D2708" i="3"/>
  <c r="E2707" i="3"/>
  <c r="D2707" i="3"/>
  <c r="E2706" i="3"/>
  <c r="D2706" i="3"/>
  <c r="E2705" i="3"/>
  <c r="D2705" i="3"/>
  <c r="E2704" i="3"/>
  <c r="D2704" i="3"/>
  <c r="E2703" i="3"/>
  <c r="D2703" i="3"/>
  <c r="E2702" i="3"/>
  <c r="D2702" i="3"/>
  <c r="E2701" i="3"/>
  <c r="D2701" i="3"/>
  <c r="E2700" i="3"/>
  <c r="D2700" i="3"/>
  <c r="E2699" i="3"/>
  <c r="D2699" i="3"/>
  <c r="E2698" i="3"/>
  <c r="D2698" i="3"/>
  <c r="E2697" i="3"/>
  <c r="D2697" i="3"/>
  <c r="E2696" i="3"/>
  <c r="D2696" i="3"/>
  <c r="E2695" i="3"/>
  <c r="D2695" i="3"/>
  <c r="E2694" i="3"/>
  <c r="D2694" i="3"/>
  <c r="E2693" i="3"/>
  <c r="D2693" i="3"/>
  <c r="E2692" i="3"/>
  <c r="D2692" i="3"/>
  <c r="E2691" i="3"/>
  <c r="D2691" i="3"/>
  <c r="E2690" i="3"/>
  <c r="D2690" i="3"/>
  <c r="E2689" i="3"/>
  <c r="D2689" i="3"/>
  <c r="E2688" i="3"/>
  <c r="D2688" i="3"/>
  <c r="E2687" i="3"/>
  <c r="D2687" i="3"/>
  <c r="E2686" i="3"/>
  <c r="D2686" i="3"/>
  <c r="E2685" i="3"/>
  <c r="D2685" i="3"/>
  <c r="E2684" i="3"/>
  <c r="D2684" i="3"/>
  <c r="E2683" i="3"/>
  <c r="D2683" i="3"/>
  <c r="E2682" i="3"/>
  <c r="D2682" i="3"/>
  <c r="E2681" i="3"/>
  <c r="D2681" i="3"/>
  <c r="E2680" i="3"/>
  <c r="D2680" i="3"/>
  <c r="E2679" i="3"/>
  <c r="D2679" i="3"/>
  <c r="E2678" i="3"/>
  <c r="D2678" i="3"/>
  <c r="E2677" i="3"/>
  <c r="D2677" i="3"/>
  <c r="E2676" i="3"/>
  <c r="D2676" i="3"/>
  <c r="E2675" i="3"/>
  <c r="D2675" i="3"/>
  <c r="E2674" i="3"/>
  <c r="D2674" i="3"/>
  <c r="E2673" i="3"/>
  <c r="D2673" i="3"/>
  <c r="E2672" i="3"/>
  <c r="D2672" i="3"/>
  <c r="E2671" i="3"/>
  <c r="D2671" i="3"/>
  <c r="E2670" i="3"/>
  <c r="D2670" i="3"/>
  <c r="E2669" i="3"/>
  <c r="D2669" i="3"/>
  <c r="E2668" i="3"/>
  <c r="D2668" i="3"/>
  <c r="E2667" i="3"/>
  <c r="D2667" i="3"/>
  <c r="E2666" i="3"/>
  <c r="D2666" i="3"/>
  <c r="E2665" i="3"/>
  <c r="D2665" i="3"/>
  <c r="E2664" i="3"/>
  <c r="D2664" i="3"/>
  <c r="E2663" i="3"/>
  <c r="D2663" i="3"/>
  <c r="E2662" i="3"/>
  <c r="D2662" i="3"/>
  <c r="E2661" i="3"/>
  <c r="D2661" i="3"/>
  <c r="E2660" i="3"/>
  <c r="D2660" i="3"/>
  <c r="E2659" i="3"/>
  <c r="D2659" i="3"/>
  <c r="E2658" i="3"/>
  <c r="D2658" i="3"/>
  <c r="E2657" i="3"/>
  <c r="D2657" i="3"/>
  <c r="E2656" i="3"/>
  <c r="D2656" i="3"/>
  <c r="E2655" i="3"/>
  <c r="D2655" i="3"/>
  <c r="E2654" i="3"/>
  <c r="D2654" i="3"/>
  <c r="E2653" i="3"/>
  <c r="D2653" i="3"/>
  <c r="E2652" i="3"/>
  <c r="D2652" i="3"/>
  <c r="E2651" i="3"/>
  <c r="D2651" i="3"/>
  <c r="E2650" i="3"/>
  <c r="D2650" i="3"/>
  <c r="E2649" i="3"/>
  <c r="D2649" i="3"/>
  <c r="E2648" i="3"/>
  <c r="D2648" i="3"/>
  <c r="E2647" i="3"/>
  <c r="D2647" i="3"/>
  <c r="E2646" i="3"/>
  <c r="D2646" i="3"/>
  <c r="E2645" i="3"/>
  <c r="D2645" i="3"/>
  <c r="E2644" i="3"/>
  <c r="D2644" i="3"/>
  <c r="E2643" i="3"/>
  <c r="D2643" i="3"/>
  <c r="E2642" i="3"/>
  <c r="D2642" i="3"/>
  <c r="E2641" i="3"/>
  <c r="D2641" i="3"/>
  <c r="E2640" i="3"/>
  <c r="D2640" i="3"/>
  <c r="E2639" i="3"/>
  <c r="D2639" i="3"/>
  <c r="E2638" i="3"/>
  <c r="D2638" i="3"/>
  <c r="E2637" i="3"/>
  <c r="D2637" i="3"/>
  <c r="E2636" i="3"/>
  <c r="D2636" i="3"/>
  <c r="E2635" i="3"/>
  <c r="D2635" i="3"/>
  <c r="E2634" i="3"/>
  <c r="D2634" i="3"/>
  <c r="E2633" i="3"/>
  <c r="D2633" i="3"/>
  <c r="E2632" i="3"/>
  <c r="D2632" i="3"/>
  <c r="E2631" i="3"/>
  <c r="D2631" i="3"/>
  <c r="E2630" i="3"/>
  <c r="D2630" i="3"/>
  <c r="E2629" i="3"/>
  <c r="D2629" i="3"/>
  <c r="E2628" i="3"/>
  <c r="D2628" i="3"/>
  <c r="E2627" i="3"/>
  <c r="D2627" i="3"/>
  <c r="E2626" i="3"/>
  <c r="D2626" i="3"/>
  <c r="E2625" i="3"/>
  <c r="D2625" i="3"/>
  <c r="E2624" i="3"/>
  <c r="D2624" i="3"/>
  <c r="E2623" i="3"/>
  <c r="D2623" i="3"/>
  <c r="E2622" i="3"/>
  <c r="D2622" i="3"/>
  <c r="E2621" i="3"/>
  <c r="D2621" i="3"/>
  <c r="E2620" i="3"/>
  <c r="D2620" i="3"/>
  <c r="E2619" i="3"/>
  <c r="D2619" i="3"/>
  <c r="E2618" i="3"/>
  <c r="D2618" i="3"/>
  <c r="E2617" i="3"/>
  <c r="D2617" i="3"/>
  <c r="E2616" i="3"/>
  <c r="D2616" i="3"/>
  <c r="E2615" i="3"/>
  <c r="D2615" i="3"/>
  <c r="E2614" i="3"/>
  <c r="D2614" i="3"/>
  <c r="E2613" i="3"/>
  <c r="D2613" i="3"/>
  <c r="E2612" i="3"/>
  <c r="D2612" i="3"/>
  <c r="E2611" i="3"/>
  <c r="D2611" i="3"/>
  <c r="E2610" i="3"/>
  <c r="D2610" i="3"/>
  <c r="E2609" i="3"/>
  <c r="D2609" i="3"/>
  <c r="E2608" i="3"/>
  <c r="D2608" i="3"/>
  <c r="E2607" i="3"/>
  <c r="D2607" i="3"/>
  <c r="E2606" i="3"/>
  <c r="D2606" i="3"/>
  <c r="E2605" i="3"/>
  <c r="D2605" i="3"/>
  <c r="E2604" i="3"/>
  <c r="D2604" i="3"/>
  <c r="E2603" i="3"/>
  <c r="D2603" i="3"/>
  <c r="E2602" i="3"/>
  <c r="D2602" i="3"/>
  <c r="E2601" i="3"/>
  <c r="D2601" i="3"/>
  <c r="E2600" i="3"/>
  <c r="D2600" i="3"/>
  <c r="E2599" i="3"/>
  <c r="D2599" i="3"/>
  <c r="E2598" i="3"/>
  <c r="D2598" i="3"/>
  <c r="E2597" i="3"/>
  <c r="D2597" i="3"/>
  <c r="E2596" i="3"/>
  <c r="D2596" i="3"/>
  <c r="E2595" i="3"/>
  <c r="D2595" i="3"/>
  <c r="E2594" i="3"/>
  <c r="D2594" i="3"/>
  <c r="E2593" i="3"/>
  <c r="D2593" i="3"/>
  <c r="E2592" i="3"/>
  <c r="D2592" i="3"/>
  <c r="E2591" i="3"/>
  <c r="D2591" i="3"/>
  <c r="E2590" i="3"/>
  <c r="D2590" i="3"/>
  <c r="E2589" i="3"/>
  <c r="D2589" i="3"/>
  <c r="E2588" i="3"/>
  <c r="D2588" i="3"/>
  <c r="E2587" i="3"/>
  <c r="D2587" i="3"/>
  <c r="E2586" i="3"/>
  <c r="D2586" i="3"/>
  <c r="E2585" i="3"/>
  <c r="D2585" i="3"/>
  <c r="E2584" i="3"/>
  <c r="D2584" i="3"/>
  <c r="E2583" i="3"/>
  <c r="D2583" i="3"/>
  <c r="E2582" i="3"/>
  <c r="D2582" i="3"/>
  <c r="E2581" i="3"/>
  <c r="D2581" i="3"/>
  <c r="E2580" i="3"/>
  <c r="D2580" i="3"/>
  <c r="E2579" i="3"/>
  <c r="D2579" i="3"/>
  <c r="E2578" i="3"/>
  <c r="D2578" i="3"/>
  <c r="E2577" i="3"/>
  <c r="D2577" i="3"/>
  <c r="E2576" i="3"/>
  <c r="D2576" i="3"/>
  <c r="E2575" i="3"/>
  <c r="D2575" i="3"/>
  <c r="E2574" i="3"/>
  <c r="D2574" i="3"/>
  <c r="E2573" i="3"/>
  <c r="D2573" i="3"/>
  <c r="E2572" i="3"/>
  <c r="D2572" i="3"/>
  <c r="E2571" i="3"/>
  <c r="D2571" i="3"/>
  <c r="E2570" i="3"/>
  <c r="D2570" i="3"/>
  <c r="E2569" i="3"/>
  <c r="D2569" i="3"/>
  <c r="E2568" i="3"/>
  <c r="D2568" i="3"/>
  <c r="E2567" i="3"/>
  <c r="D2567" i="3"/>
  <c r="E2566" i="3"/>
  <c r="D2566" i="3"/>
  <c r="E2565" i="3"/>
  <c r="D2565" i="3"/>
  <c r="E2564" i="3"/>
  <c r="D2564" i="3"/>
  <c r="E2563" i="3"/>
  <c r="D2563" i="3"/>
  <c r="E2562" i="3"/>
  <c r="D2562" i="3"/>
  <c r="E2561" i="3"/>
  <c r="D2561" i="3"/>
  <c r="E2560" i="3"/>
  <c r="D2560" i="3"/>
  <c r="E2559" i="3"/>
  <c r="D2559" i="3"/>
  <c r="E2558" i="3"/>
  <c r="D2558" i="3"/>
  <c r="E2557" i="3"/>
  <c r="D2557" i="3"/>
  <c r="E2556" i="3"/>
  <c r="D2556" i="3"/>
  <c r="E2555" i="3"/>
  <c r="D2555" i="3"/>
  <c r="E2554" i="3"/>
  <c r="D2554" i="3"/>
  <c r="E2553" i="3"/>
  <c r="D2553" i="3"/>
  <c r="E2552" i="3"/>
  <c r="D2552" i="3"/>
  <c r="E2551" i="3"/>
  <c r="D2551" i="3"/>
  <c r="E2550" i="3"/>
  <c r="D2550" i="3"/>
  <c r="E2549" i="3"/>
  <c r="D2549" i="3"/>
  <c r="E2548" i="3"/>
  <c r="D2548" i="3"/>
  <c r="E2547" i="3"/>
  <c r="D2547" i="3"/>
  <c r="E2546" i="3"/>
  <c r="D2546" i="3"/>
  <c r="E2545" i="3"/>
  <c r="D2545" i="3"/>
  <c r="E2544" i="3"/>
  <c r="D2544" i="3"/>
  <c r="E2543" i="3"/>
  <c r="D2543" i="3"/>
  <c r="E2542" i="3"/>
  <c r="D2542" i="3"/>
  <c r="E2541" i="3"/>
  <c r="D2541" i="3"/>
  <c r="E2540" i="3"/>
  <c r="D2540" i="3"/>
  <c r="E2539" i="3"/>
  <c r="D2539" i="3"/>
  <c r="E2538" i="3"/>
  <c r="D2538" i="3"/>
  <c r="E2537" i="3"/>
  <c r="D2537" i="3"/>
  <c r="E2536" i="3"/>
  <c r="D2536" i="3"/>
  <c r="E2535" i="3"/>
  <c r="D2535" i="3"/>
  <c r="E2534" i="3"/>
  <c r="D2534" i="3"/>
  <c r="E2533" i="3"/>
  <c r="D2533" i="3"/>
  <c r="E2532" i="3"/>
  <c r="D2532" i="3"/>
  <c r="E2531" i="3"/>
  <c r="D2531" i="3"/>
  <c r="E2530" i="3"/>
  <c r="D2530" i="3"/>
  <c r="E2529" i="3"/>
  <c r="D2529" i="3"/>
  <c r="E2528" i="3"/>
  <c r="D2528" i="3"/>
  <c r="E2527" i="3"/>
  <c r="D2527" i="3"/>
  <c r="E2526" i="3"/>
  <c r="D2526" i="3"/>
  <c r="E2525" i="3"/>
  <c r="D2525" i="3"/>
  <c r="E2524" i="3"/>
  <c r="D2524" i="3"/>
  <c r="E2523" i="3"/>
  <c r="D2523" i="3"/>
  <c r="E2522" i="3"/>
  <c r="D2522" i="3"/>
  <c r="E2521" i="3"/>
  <c r="D2521" i="3"/>
  <c r="E2520" i="3"/>
  <c r="D2520" i="3"/>
  <c r="E2519" i="3"/>
  <c r="D2519" i="3"/>
  <c r="E2518" i="3"/>
  <c r="D2518" i="3"/>
  <c r="E2517" i="3"/>
  <c r="D2517" i="3"/>
  <c r="E2516" i="3"/>
  <c r="D2516" i="3"/>
  <c r="E2515" i="3"/>
  <c r="D2515" i="3"/>
  <c r="E2514" i="3"/>
  <c r="D2514" i="3"/>
  <c r="E2513" i="3"/>
  <c r="D2513" i="3"/>
  <c r="E2512" i="3"/>
  <c r="D2512" i="3"/>
  <c r="E2511" i="3"/>
  <c r="D2511" i="3"/>
  <c r="E2510" i="3"/>
  <c r="D2510" i="3"/>
  <c r="E2509" i="3"/>
  <c r="D2509" i="3"/>
  <c r="E2508" i="3"/>
  <c r="D2508" i="3"/>
  <c r="E2507" i="3"/>
  <c r="D2507" i="3"/>
  <c r="E2506" i="3"/>
  <c r="D2506" i="3"/>
  <c r="E2505" i="3"/>
  <c r="D2505" i="3"/>
  <c r="E2504" i="3"/>
  <c r="D2504" i="3"/>
  <c r="E2503" i="3"/>
  <c r="D2503" i="3"/>
  <c r="E2502" i="3"/>
  <c r="D2502" i="3"/>
  <c r="E2501" i="3"/>
  <c r="D2501" i="3"/>
  <c r="E2500" i="3"/>
  <c r="D2500" i="3"/>
  <c r="E2499" i="3"/>
  <c r="D2499" i="3"/>
  <c r="E2498" i="3"/>
  <c r="D2498" i="3"/>
  <c r="E2497" i="3"/>
  <c r="D2497" i="3"/>
  <c r="E2496" i="3"/>
  <c r="D2496" i="3"/>
  <c r="E2495" i="3"/>
  <c r="D2495" i="3"/>
  <c r="E2494" i="3"/>
  <c r="D2494" i="3"/>
  <c r="E2493" i="3"/>
  <c r="D2493" i="3"/>
  <c r="E2492" i="3"/>
  <c r="D2492" i="3"/>
  <c r="E2491" i="3"/>
  <c r="D2491" i="3"/>
  <c r="E2490" i="3"/>
  <c r="D2490" i="3"/>
  <c r="E2489" i="3"/>
  <c r="D2489" i="3"/>
  <c r="E2488" i="3"/>
  <c r="D2488" i="3"/>
  <c r="E2487" i="3"/>
  <c r="D2487" i="3"/>
  <c r="E2486" i="3"/>
  <c r="D2486" i="3"/>
  <c r="E2485" i="3"/>
  <c r="D2485" i="3"/>
  <c r="E2484" i="3"/>
  <c r="D2484" i="3"/>
  <c r="E2483" i="3"/>
  <c r="D2483" i="3"/>
  <c r="E2482" i="3"/>
  <c r="D2482" i="3"/>
  <c r="E2481" i="3"/>
  <c r="D2481" i="3"/>
  <c r="E2480" i="3"/>
  <c r="D2480" i="3"/>
  <c r="E2479" i="3"/>
  <c r="D2479" i="3"/>
  <c r="E2478" i="3"/>
  <c r="D2478" i="3"/>
  <c r="E2477" i="3"/>
  <c r="D2477" i="3"/>
  <c r="E2476" i="3"/>
  <c r="D2476" i="3"/>
  <c r="E2475" i="3"/>
  <c r="D2475" i="3"/>
  <c r="E2474" i="3"/>
  <c r="D2474" i="3"/>
  <c r="E2473" i="3"/>
  <c r="D2473" i="3"/>
  <c r="E2472" i="3"/>
  <c r="D2472" i="3"/>
  <c r="E2471" i="3"/>
  <c r="D2471" i="3"/>
  <c r="E2470" i="3"/>
  <c r="D2470" i="3"/>
  <c r="E2469" i="3"/>
  <c r="D2469" i="3"/>
  <c r="E2468" i="3"/>
  <c r="D2468" i="3"/>
  <c r="E2467" i="3"/>
  <c r="D2467" i="3"/>
  <c r="E2466" i="3"/>
  <c r="D2466" i="3"/>
  <c r="E2465" i="3"/>
  <c r="D2465" i="3"/>
  <c r="E2464" i="3"/>
  <c r="D2464" i="3"/>
  <c r="E2463" i="3"/>
  <c r="D2463" i="3"/>
  <c r="E2462" i="3"/>
  <c r="D2462" i="3"/>
  <c r="E2461" i="3"/>
  <c r="D2461" i="3"/>
  <c r="E2460" i="3"/>
  <c r="D2460" i="3"/>
  <c r="E2459" i="3"/>
  <c r="D2459" i="3"/>
  <c r="E2458" i="3"/>
  <c r="D2458" i="3"/>
  <c r="E2457" i="3"/>
  <c r="D2457" i="3"/>
  <c r="E2456" i="3"/>
  <c r="D2456" i="3"/>
  <c r="E2455" i="3"/>
  <c r="D2455" i="3"/>
  <c r="E2454" i="3"/>
  <c r="D2454" i="3"/>
  <c r="E2453" i="3"/>
  <c r="D2453" i="3"/>
  <c r="E2452" i="3"/>
  <c r="D2452" i="3"/>
  <c r="E2451" i="3"/>
  <c r="D2451" i="3"/>
  <c r="E2450" i="3"/>
  <c r="D2450" i="3"/>
  <c r="E2449" i="3"/>
  <c r="D2449" i="3"/>
  <c r="E2448" i="3"/>
  <c r="D2448" i="3"/>
  <c r="E2447" i="3"/>
  <c r="D2447" i="3"/>
  <c r="E2446" i="3"/>
  <c r="D2446" i="3"/>
  <c r="E2445" i="3"/>
  <c r="D2445" i="3"/>
  <c r="E2444" i="3"/>
  <c r="D2444" i="3"/>
  <c r="E2443" i="3"/>
  <c r="D2443" i="3"/>
  <c r="E2442" i="3"/>
  <c r="D2442" i="3"/>
  <c r="E2441" i="3"/>
  <c r="D2441" i="3"/>
  <c r="E2440" i="3"/>
  <c r="D2440" i="3"/>
  <c r="E2439" i="3"/>
  <c r="D2439" i="3"/>
  <c r="E2438" i="3"/>
  <c r="D2438" i="3"/>
  <c r="E2437" i="3"/>
  <c r="D2437" i="3"/>
  <c r="E2436" i="3"/>
  <c r="D2436" i="3"/>
  <c r="E2435" i="3"/>
  <c r="D2435" i="3"/>
  <c r="E2434" i="3"/>
  <c r="D2434" i="3"/>
  <c r="E2433" i="3"/>
  <c r="D2433" i="3"/>
  <c r="E2432" i="3"/>
  <c r="D2432" i="3"/>
  <c r="E2431" i="3"/>
  <c r="D2431" i="3"/>
  <c r="E2430" i="3"/>
  <c r="D2430" i="3"/>
  <c r="E2429" i="3"/>
  <c r="D2429" i="3"/>
  <c r="E2428" i="3"/>
  <c r="D2428" i="3"/>
  <c r="E2427" i="3"/>
  <c r="D2427" i="3"/>
  <c r="E2426" i="3"/>
  <c r="D2426" i="3"/>
  <c r="E2425" i="3"/>
  <c r="D2425" i="3"/>
  <c r="E2424" i="3"/>
  <c r="D2424" i="3"/>
  <c r="E2423" i="3"/>
  <c r="D2423" i="3"/>
  <c r="E2422" i="3"/>
  <c r="D2422" i="3"/>
  <c r="E2421" i="3"/>
  <c r="D2421" i="3"/>
  <c r="E2420" i="3"/>
  <c r="D2420" i="3"/>
  <c r="E2419" i="3"/>
  <c r="D2419" i="3"/>
  <c r="E2418" i="3"/>
  <c r="D2418" i="3"/>
  <c r="E2417" i="3"/>
  <c r="D2417" i="3"/>
  <c r="E2416" i="3"/>
  <c r="D2416" i="3"/>
  <c r="E2415" i="3"/>
  <c r="D2415" i="3"/>
  <c r="E2414" i="3"/>
  <c r="D2414" i="3"/>
  <c r="E2413" i="3"/>
  <c r="D2413" i="3"/>
  <c r="E2412" i="3"/>
  <c r="D2412" i="3"/>
  <c r="E2411" i="3"/>
  <c r="D2411" i="3"/>
  <c r="E2410" i="3"/>
  <c r="D2410" i="3"/>
  <c r="E2409" i="3"/>
  <c r="D2409" i="3"/>
  <c r="E2408" i="3"/>
  <c r="D2408" i="3"/>
  <c r="E2407" i="3"/>
  <c r="D2407" i="3"/>
  <c r="E2406" i="3"/>
  <c r="D2406" i="3"/>
  <c r="E2405" i="3"/>
  <c r="D2405" i="3"/>
  <c r="E2404" i="3"/>
  <c r="D2404" i="3"/>
  <c r="E2403" i="3"/>
  <c r="D2403" i="3"/>
  <c r="E2402" i="3"/>
  <c r="D2402" i="3"/>
  <c r="E2401" i="3"/>
  <c r="D2401" i="3"/>
  <c r="E2400" i="3"/>
  <c r="D2400" i="3"/>
  <c r="E2399" i="3"/>
  <c r="D2399" i="3"/>
  <c r="E2398" i="3"/>
  <c r="D2398" i="3"/>
  <c r="E2397" i="3"/>
  <c r="D2397" i="3"/>
  <c r="E2396" i="3"/>
  <c r="D2396" i="3"/>
  <c r="E2395" i="3"/>
  <c r="D2395" i="3"/>
  <c r="E2394" i="3"/>
  <c r="D2394" i="3"/>
  <c r="E2393" i="3"/>
  <c r="D2393" i="3"/>
  <c r="E2392" i="3"/>
  <c r="D2392" i="3"/>
  <c r="E2391" i="3"/>
  <c r="D2391" i="3"/>
  <c r="E2390" i="3"/>
  <c r="D2390" i="3"/>
  <c r="E2389" i="3"/>
  <c r="D2389" i="3"/>
  <c r="E2388" i="3"/>
  <c r="D2388" i="3"/>
  <c r="E2387" i="3"/>
  <c r="D2387" i="3"/>
  <c r="E2386" i="3"/>
  <c r="D2386" i="3"/>
  <c r="E2385" i="3"/>
  <c r="D2385" i="3"/>
  <c r="E2384" i="3"/>
  <c r="D2384" i="3"/>
  <c r="E2383" i="3"/>
  <c r="D2383" i="3"/>
  <c r="E2382" i="3"/>
  <c r="D2382" i="3"/>
  <c r="E2381" i="3"/>
  <c r="D2381" i="3"/>
  <c r="E2380" i="3"/>
  <c r="D2380" i="3"/>
  <c r="E2379" i="3"/>
  <c r="D2379" i="3"/>
  <c r="E2378" i="3"/>
  <c r="D2378" i="3"/>
  <c r="E2377" i="3"/>
  <c r="D2377" i="3"/>
  <c r="E2376" i="3"/>
  <c r="D2376" i="3"/>
  <c r="E2375" i="3"/>
  <c r="D2375" i="3"/>
  <c r="E2374" i="3"/>
  <c r="D2374" i="3"/>
  <c r="E2373" i="3"/>
  <c r="D2373" i="3"/>
  <c r="E2372" i="3"/>
  <c r="D2372" i="3"/>
  <c r="E2371" i="3"/>
  <c r="D2371" i="3"/>
  <c r="E2370" i="3"/>
  <c r="D2370" i="3"/>
  <c r="E2369" i="3"/>
  <c r="D2369" i="3"/>
  <c r="E2368" i="3"/>
  <c r="D2368" i="3"/>
  <c r="E2367" i="3"/>
  <c r="D2367" i="3"/>
  <c r="E2366" i="3"/>
  <c r="D2366" i="3"/>
  <c r="E2365" i="3"/>
  <c r="D2365" i="3"/>
  <c r="E2364" i="3"/>
  <c r="D2364" i="3"/>
  <c r="E2363" i="3"/>
  <c r="D2363" i="3"/>
  <c r="E2362" i="3"/>
  <c r="D2362" i="3"/>
  <c r="E2361" i="3"/>
  <c r="D2361" i="3"/>
  <c r="E2360" i="3"/>
  <c r="D2360" i="3"/>
  <c r="E2359" i="3"/>
  <c r="D2359" i="3"/>
  <c r="E2358" i="3"/>
  <c r="D2358" i="3"/>
  <c r="E2357" i="3"/>
  <c r="D2357" i="3"/>
  <c r="E2356" i="3"/>
  <c r="D2356" i="3"/>
  <c r="E2355" i="3"/>
  <c r="D2355" i="3"/>
  <c r="E2354" i="3"/>
  <c r="D2354" i="3"/>
  <c r="E2353" i="3"/>
  <c r="D2353" i="3"/>
  <c r="E2352" i="3"/>
  <c r="D2352" i="3"/>
  <c r="E2351" i="3"/>
  <c r="D2351" i="3"/>
  <c r="E2350" i="3"/>
  <c r="D2350" i="3"/>
  <c r="E2349" i="3"/>
  <c r="D2349" i="3"/>
  <c r="E2348" i="3"/>
  <c r="D2348" i="3"/>
  <c r="E2347" i="3"/>
  <c r="D2347" i="3"/>
  <c r="E2346" i="3"/>
  <c r="D2346" i="3"/>
  <c r="E2345" i="3"/>
  <c r="D2345" i="3"/>
  <c r="E2344" i="3"/>
  <c r="D2344" i="3"/>
  <c r="E2343" i="3"/>
  <c r="D2343" i="3"/>
  <c r="E2342" i="3"/>
  <c r="D2342" i="3"/>
  <c r="E2341" i="3"/>
  <c r="D2341" i="3"/>
  <c r="E2340" i="3"/>
  <c r="D2340" i="3"/>
  <c r="E2339" i="3"/>
  <c r="D2339" i="3"/>
  <c r="E2338" i="3"/>
  <c r="D2338" i="3"/>
  <c r="E2337" i="3"/>
  <c r="D2337" i="3"/>
  <c r="E2336" i="3"/>
  <c r="D2336" i="3"/>
  <c r="E2335" i="3"/>
  <c r="D2335" i="3"/>
  <c r="E2334" i="3"/>
  <c r="D2334" i="3"/>
  <c r="E2333" i="3"/>
  <c r="D2333" i="3"/>
  <c r="E2332" i="3"/>
  <c r="D2332" i="3"/>
  <c r="E2331" i="3"/>
  <c r="D2331" i="3"/>
  <c r="E2330" i="3"/>
  <c r="D2330" i="3"/>
  <c r="E2329" i="3"/>
  <c r="D2329" i="3"/>
  <c r="E2328" i="3"/>
  <c r="D2328" i="3"/>
  <c r="E2327" i="3"/>
  <c r="D2327" i="3"/>
  <c r="E2326" i="3"/>
  <c r="D2326" i="3"/>
  <c r="E2325" i="3"/>
  <c r="D2325" i="3"/>
  <c r="E2324" i="3"/>
  <c r="D2324" i="3"/>
  <c r="E2323" i="3"/>
  <c r="D2323" i="3"/>
  <c r="E2322" i="3"/>
  <c r="D2322" i="3"/>
  <c r="E2321" i="3"/>
  <c r="D2321" i="3"/>
  <c r="E2320" i="3"/>
  <c r="D2320" i="3"/>
  <c r="E2319" i="3"/>
  <c r="D2319" i="3"/>
  <c r="E2318" i="3"/>
  <c r="D2318" i="3"/>
  <c r="E2317" i="3"/>
  <c r="D2317" i="3"/>
  <c r="E2316" i="3"/>
  <c r="D2316" i="3"/>
  <c r="E2315" i="3"/>
  <c r="D2315" i="3"/>
  <c r="E2314" i="3"/>
  <c r="D2314" i="3"/>
  <c r="E2313" i="3"/>
  <c r="D2313" i="3"/>
  <c r="E2312" i="3"/>
  <c r="D2312" i="3"/>
  <c r="E2311" i="3"/>
  <c r="D2311" i="3"/>
  <c r="E2310" i="3"/>
  <c r="D2310" i="3"/>
  <c r="E2309" i="3"/>
  <c r="D2309" i="3"/>
  <c r="E2308" i="3"/>
  <c r="D2308" i="3"/>
  <c r="E2307" i="3"/>
  <c r="D2307" i="3"/>
  <c r="E2306" i="3"/>
  <c r="D2306" i="3"/>
  <c r="E2305" i="3"/>
  <c r="D2305" i="3"/>
  <c r="E2304" i="3"/>
  <c r="D2304" i="3"/>
  <c r="E2303" i="3"/>
  <c r="D2303" i="3"/>
  <c r="E2302" i="3"/>
  <c r="D2302" i="3"/>
  <c r="E2301" i="3"/>
  <c r="D2301" i="3"/>
  <c r="E2300" i="3"/>
  <c r="D2300" i="3"/>
  <c r="E2299" i="3"/>
  <c r="D2299" i="3"/>
  <c r="E2298" i="3"/>
  <c r="D2298" i="3"/>
  <c r="E2297" i="3"/>
  <c r="D2297" i="3"/>
  <c r="E2296" i="3"/>
  <c r="D2296" i="3"/>
  <c r="E2295" i="3"/>
  <c r="D2295" i="3"/>
  <c r="E2294" i="3"/>
  <c r="D2294" i="3"/>
  <c r="E2293" i="3"/>
  <c r="D2293" i="3"/>
  <c r="E2292" i="3"/>
  <c r="D2292" i="3"/>
  <c r="E2291" i="3"/>
  <c r="D2291" i="3"/>
  <c r="E2290" i="3"/>
  <c r="D2290" i="3"/>
  <c r="E2289" i="3"/>
  <c r="D2289" i="3"/>
  <c r="E2288" i="3"/>
  <c r="D2288" i="3"/>
  <c r="E2287" i="3"/>
  <c r="D2287" i="3"/>
  <c r="E2286" i="3"/>
  <c r="D2286" i="3"/>
  <c r="E2285" i="3"/>
  <c r="D2285" i="3"/>
  <c r="E2284" i="3"/>
  <c r="D2284" i="3"/>
  <c r="E2283" i="3"/>
  <c r="D2283" i="3"/>
  <c r="E2282" i="3"/>
  <c r="D2282" i="3"/>
  <c r="E2281" i="3"/>
  <c r="D2281" i="3"/>
  <c r="E2280" i="3"/>
  <c r="D2280" i="3"/>
  <c r="E2279" i="3"/>
  <c r="D2279" i="3"/>
  <c r="E2278" i="3"/>
  <c r="D2278" i="3"/>
  <c r="E2277" i="3"/>
  <c r="D2277" i="3"/>
  <c r="E2276" i="3"/>
  <c r="D2276" i="3"/>
  <c r="E2275" i="3"/>
  <c r="D2275" i="3"/>
  <c r="E2274" i="3"/>
  <c r="D2274" i="3"/>
  <c r="E2273" i="3"/>
  <c r="D2273" i="3"/>
  <c r="E2272" i="3"/>
  <c r="D2272" i="3"/>
  <c r="E2271" i="3"/>
  <c r="D2271" i="3"/>
  <c r="E2270" i="3"/>
  <c r="D2270" i="3"/>
  <c r="E2269" i="3"/>
  <c r="D2269" i="3"/>
  <c r="E2268" i="3"/>
  <c r="D2268" i="3"/>
  <c r="E2267" i="3"/>
  <c r="D2267" i="3"/>
  <c r="E2266" i="3"/>
  <c r="D2266" i="3"/>
  <c r="E2265" i="3"/>
  <c r="D2265" i="3"/>
  <c r="E2264" i="3"/>
  <c r="D2264" i="3"/>
  <c r="E2263" i="3"/>
  <c r="D2263" i="3"/>
  <c r="E2262" i="3"/>
  <c r="D2262" i="3"/>
  <c r="E2261" i="3"/>
  <c r="D2261" i="3"/>
  <c r="E2260" i="3"/>
  <c r="D2260" i="3"/>
  <c r="E2259" i="3"/>
  <c r="D2259" i="3"/>
  <c r="E2258" i="3"/>
  <c r="D2258" i="3"/>
  <c r="E2257" i="3"/>
  <c r="D2257" i="3"/>
  <c r="E2256" i="3"/>
  <c r="D2256" i="3"/>
  <c r="E2255" i="3"/>
  <c r="D2255" i="3"/>
  <c r="E2254" i="3"/>
  <c r="D2254" i="3"/>
  <c r="E2253" i="3"/>
  <c r="D2253" i="3"/>
  <c r="E2252" i="3"/>
  <c r="D2252" i="3"/>
  <c r="E2251" i="3"/>
  <c r="D2251" i="3"/>
  <c r="E2250" i="3"/>
  <c r="D2250" i="3"/>
  <c r="E2249" i="3"/>
  <c r="D2249" i="3"/>
  <c r="E2248" i="3"/>
  <c r="D2248" i="3"/>
  <c r="E2247" i="3"/>
  <c r="D2247" i="3"/>
  <c r="E2246" i="3"/>
  <c r="D2246" i="3"/>
  <c r="E2245" i="3"/>
  <c r="D2245" i="3"/>
  <c r="E2244" i="3"/>
  <c r="D2244" i="3"/>
  <c r="E2243" i="3"/>
  <c r="D2243" i="3"/>
  <c r="E2242" i="3"/>
  <c r="D2242" i="3"/>
  <c r="E2241" i="3"/>
  <c r="D2241" i="3"/>
  <c r="E2240" i="3"/>
  <c r="D2240" i="3"/>
  <c r="E2239" i="3"/>
  <c r="D2239" i="3"/>
  <c r="E2238" i="3"/>
  <c r="D2238" i="3"/>
  <c r="E2237" i="3"/>
  <c r="D2237" i="3"/>
  <c r="E2236" i="3"/>
  <c r="D2236" i="3"/>
  <c r="E2235" i="3"/>
  <c r="D2235" i="3"/>
  <c r="E2234" i="3"/>
  <c r="D2234" i="3"/>
  <c r="E2233" i="3"/>
  <c r="D2233" i="3"/>
  <c r="E2232" i="3"/>
  <c r="D2232" i="3"/>
  <c r="E2231" i="3"/>
  <c r="D2231" i="3"/>
  <c r="E2230" i="3"/>
  <c r="D2230" i="3"/>
  <c r="E2229" i="3"/>
  <c r="D2229" i="3"/>
  <c r="E2228" i="3"/>
  <c r="D2228" i="3"/>
  <c r="E2227" i="3"/>
  <c r="D2227" i="3"/>
  <c r="E2226" i="3"/>
  <c r="D2226" i="3"/>
  <c r="E2225" i="3"/>
  <c r="D2225" i="3"/>
  <c r="E2224" i="3"/>
  <c r="D2224" i="3"/>
  <c r="E2223" i="3"/>
  <c r="D2223" i="3"/>
  <c r="E2222" i="3"/>
  <c r="D2222" i="3"/>
  <c r="E2221" i="3"/>
  <c r="D2221" i="3"/>
  <c r="E2220" i="3"/>
  <c r="D2220" i="3"/>
  <c r="E2219" i="3"/>
  <c r="D2219" i="3"/>
  <c r="E2218" i="3"/>
  <c r="D2218" i="3"/>
  <c r="E2217" i="3"/>
  <c r="D2217" i="3"/>
  <c r="E2216" i="3"/>
  <c r="D2216" i="3"/>
  <c r="E2215" i="3"/>
  <c r="D2215" i="3"/>
  <c r="E2214" i="3"/>
  <c r="D2214" i="3"/>
  <c r="E2213" i="3"/>
  <c r="D2213" i="3"/>
  <c r="E2212" i="3"/>
  <c r="D2212" i="3"/>
  <c r="E2211" i="3"/>
  <c r="D2211" i="3"/>
  <c r="E2210" i="3"/>
  <c r="D2210" i="3"/>
  <c r="E2209" i="3"/>
  <c r="D2209" i="3"/>
  <c r="E2208" i="3"/>
  <c r="D2208" i="3"/>
  <c r="E2207" i="3"/>
  <c r="D2207" i="3"/>
  <c r="E2206" i="3"/>
  <c r="D2206" i="3"/>
  <c r="E2205" i="3"/>
  <c r="D2205" i="3"/>
  <c r="E2204" i="3"/>
  <c r="D2204" i="3"/>
  <c r="E2203" i="3"/>
  <c r="D2203" i="3"/>
  <c r="E2202" i="3"/>
  <c r="D2202" i="3"/>
  <c r="E2201" i="3"/>
  <c r="D2201" i="3"/>
  <c r="E2200" i="3"/>
  <c r="D2200" i="3"/>
  <c r="E2199" i="3"/>
  <c r="D2199" i="3"/>
  <c r="E2198" i="3"/>
  <c r="D2198" i="3"/>
  <c r="E2197" i="3"/>
  <c r="D2197" i="3"/>
  <c r="E2196" i="3"/>
  <c r="D2196" i="3"/>
  <c r="E2195" i="3"/>
  <c r="D2195" i="3"/>
  <c r="E2194" i="3"/>
  <c r="D2194" i="3"/>
  <c r="E2193" i="3"/>
  <c r="D2193" i="3"/>
  <c r="E2192" i="3"/>
  <c r="D2192" i="3"/>
  <c r="E2191" i="3"/>
  <c r="D2191" i="3"/>
  <c r="E2190" i="3"/>
  <c r="D2190" i="3"/>
  <c r="E2189" i="3"/>
  <c r="D2189" i="3"/>
  <c r="E2188" i="3"/>
  <c r="D2188" i="3"/>
  <c r="E2187" i="3"/>
  <c r="D2187" i="3"/>
  <c r="E2186" i="3"/>
  <c r="D2186" i="3"/>
  <c r="E2185" i="3"/>
  <c r="D2185" i="3"/>
  <c r="E2184" i="3"/>
  <c r="D2184" i="3"/>
  <c r="E2183" i="3"/>
  <c r="D2183" i="3"/>
  <c r="E2182" i="3"/>
  <c r="D2182" i="3"/>
  <c r="E2181" i="3"/>
  <c r="D2181" i="3"/>
  <c r="E2180" i="3"/>
  <c r="D2180" i="3"/>
  <c r="E2179" i="3"/>
  <c r="D2179" i="3"/>
  <c r="E2178" i="3"/>
  <c r="D2178" i="3"/>
  <c r="E2177" i="3"/>
  <c r="D2177" i="3"/>
  <c r="E2176" i="3"/>
  <c r="D2176" i="3"/>
  <c r="E2175" i="3"/>
  <c r="D2175" i="3"/>
  <c r="E2174" i="3"/>
  <c r="D2174" i="3"/>
  <c r="E2173" i="3"/>
  <c r="D2173" i="3"/>
  <c r="E2172" i="3"/>
  <c r="D2172" i="3"/>
  <c r="E2171" i="3"/>
  <c r="D2171" i="3"/>
  <c r="E2170" i="3"/>
  <c r="D2170" i="3"/>
  <c r="E2169" i="3"/>
  <c r="D2169" i="3"/>
  <c r="E2168" i="3"/>
  <c r="D2168" i="3"/>
  <c r="E2167" i="3"/>
  <c r="D2167" i="3"/>
  <c r="E2166" i="3"/>
  <c r="D2166" i="3"/>
  <c r="E2165" i="3"/>
  <c r="D2165" i="3"/>
  <c r="E2164" i="3"/>
  <c r="D2164" i="3"/>
  <c r="E2163" i="3"/>
  <c r="D2163" i="3"/>
  <c r="E2162" i="3"/>
  <c r="D2162" i="3"/>
  <c r="E2161" i="3"/>
  <c r="D2161" i="3"/>
  <c r="E2160" i="3"/>
  <c r="D2160" i="3"/>
  <c r="E2159" i="3"/>
  <c r="D2159" i="3"/>
  <c r="E2158" i="3"/>
  <c r="D2158" i="3"/>
  <c r="E2157" i="3"/>
  <c r="D2157" i="3"/>
  <c r="E2156" i="3"/>
  <c r="D2156" i="3"/>
  <c r="E2155" i="3"/>
  <c r="D2155" i="3"/>
  <c r="E2154" i="3"/>
  <c r="D2154" i="3"/>
  <c r="E2153" i="3"/>
  <c r="D2153" i="3"/>
  <c r="E2152" i="3"/>
  <c r="D2152" i="3"/>
  <c r="E2151" i="3"/>
  <c r="D2151" i="3"/>
  <c r="E2150" i="3"/>
  <c r="D2150" i="3"/>
  <c r="E2149" i="3"/>
  <c r="D2149" i="3"/>
  <c r="E2148" i="3"/>
  <c r="D2148" i="3"/>
  <c r="E2147" i="3"/>
  <c r="D2147" i="3"/>
  <c r="E2146" i="3"/>
  <c r="D2146" i="3"/>
  <c r="E2145" i="3"/>
  <c r="D2145" i="3"/>
  <c r="E2144" i="3"/>
  <c r="D2144" i="3"/>
  <c r="E2143" i="3"/>
  <c r="D2143" i="3"/>
  <c r="E2142" i="3"/>
  <c r="D2142" i="3"/>
  <c r="E2141" i="3"/>
  <c r="D2141" i="3"/>
  <c r="E2140" i="3"/>
  <c r="D2140" i="3"/>
  <c r="E2139" i="3"/>
  <c r="D2139" i="3"/>
  <c r="E2138" i="3"/>
  <c r="D2138" i="3"/>
  <c r="E2137" i="3"/>
  <c r="D2137" i="3"/>
  <c r="E2136" i="3"/>
  <c r="D2136" i="3"/>
  <c r="E2135" i="3"/>
  <c r="D2135" i="3"/>
  <c r="E2134" i="3"/>
  <c r="D2134" i="3"/>
  <c r="E2133" i="3"/>
  <c r="D2133" i="3"/>
  <c r="E2132" i="3"/>
  <c r="D2132" i="3"/>
  <c r="E2131" i="3"/>
  <c r="D2131" i="3"/>
  <c r="E2130" i="3"/>
  <c r="D2130" i="3"/>
  <c r="E2129" i="3"/>
  <c r="D2129" i="3"/>
  <c r="E2128" i="3"/>
  <c r="D2128" i="3"/>
  <c r="E2127" i="3"/>
  <c r="D2127" i="3"/>
  <c r="E2126" i="3"/>
  <c r="D2126" i="3"/>
  <c r="E2125" i="3"/>
  <c r="D2125" i="3"/>
  <c r="E2124" i="3"/>
  <c r="D2124" i="3"/>
  <c r="E2123" i="3"/>
  <c r="D2123" i="3"/>
  <c r="E2122" i="3"/>
  <c r="D2122" i="3"/>
  <c r="E2121" i="3"/>
  <c r="D2121" i="3"/>
  <c r="E2120" i="3"/>
  <c r="D2120" i="3"/>
  <c r="E2119" i="3"/>
  <c r="D2119" i="3"/>
  <c r="E2118" i="3"/>
  <c r="D2118" i="3"/>
  <c r="E2117" i="3"/>
  <c r="D2117" i="3"/>
  <c r="E2116" i="3"/>
  <c r="D2116" i="3"/>
  <c r="E2115" i="3"/>
  <c r="D2115" i="3"/>
  <c r="E2114" i="3"/>
  <c r="D2114" i="3"/>
  <c r="E2113" i="3"/>
  <c r="D2113" i="3"/>
  <c r="E2112" i="3"/>
  <c r="D2112" i="3"/>
  <c r="E2111" i="3"/>
  <c r="D2111" i="3"/>
  <c r="E2110" i="3"/>
  <c r="D2110" i="3"/>
  <c r="E2109" i="3"/>
  <c r="D2109" i="3"/>
  <c r="E2108" i="3"/>
  <c r="D2108" i="3"/>
  <c r="E2107" i="3"/>
  <c r="D2107" i="3"/>
  <c r="E2106" i="3"/>
  <c r="D2106" i="3"/>
  <c r="E2105" i="3"/>
  <c r="D2105" i="3"/>
  <c r="E2104" i="3"/>
  <c r="D2104" i="3"/>
  <c r="E2103" i="3"/>
  <c r="D2103" i="3"/>
  <c r="E2102" i="3"/>
  <c r="D2102" i="3"/>
  <c r="E2101" i="3"/>
  <c r="D2101" i="3"/>
  <c r="E2100" i="3"/>
  <c r="D2100" i="3"/>
  <c r="E2099" i="3"/>
  <c r="D2099" i="3"/>
  <c r="E2098" i="3"/>
  <c r="D2098" i="3"/>
  <c r="E2097" i="3"/>
  <c r="D2097" i="3"/>
  <c r="E2096" i="3"/>
  <c r="D2096" i="3"/>
  <c r="E2095" i="3"/>
  <c r="D2095" i="3"/>
  <c r="E2094" i="3"/>
  <c r="D2094" i="3"/>
  <c r="E2093" i="3"/>
  <c r="D2093" i="3"/>
  <c r="E2092" i="3"/>
  <c r="D2092" i="3"/>
  <c r="E2091" i="3"/>
  <c r="D2091" i="3"/>
  <c r="E2090" i="3"/>
  <c r="D2090" i="3"/>
  <c r="E2089" i="3"/>
  <c r="D2089" i="3"/>
  <c r="E2088" i="3"/>
  <c r="D2088" i="3"/>
  <c r="E2087" i="3"/>
  <c r="D2087" i="3"/>
  <c r="E2086" i="3"/>
  <c r="D2086" i="3"/>
  <c r="E2085" i="3"/>
  <c r="D2085" i="3"/>
  <c r="E2084" i="3"/>
  <c r="D2084" i="3"/>
  <c r="E2083" i="3"/>
  <c r="D2083" i="3"/>
  <c r="E2082" i="3"/>
  <c r="D2082" i="3"/>
  <c r="E2081" i="3"/>
  <c r="D2081" i="3"/>
  <c r="E2080" i="3"/>
  <c r="D2080" i="3"/>
  <c r="E2079" i="3"/>
  <c r="D2079" i="3"/>
  <c r="E2078" i="3"/>
  <c r="D2078" i="3"/>
  <c r="E2077" i="3"/>
  <c r="D2077" i="3"/>
  <c r="E2076" i="3"/>
  <c r="D2076" i="3"/>
  <c r="E2075" i="3"/>
  <c r="D2075" i="3"/>
  <c r="E2074" i="3"/>
  <c r="D2074" i="3"/>
  <c r="E2073" i="3"/>
  <c r="D2073" i="3"/>
  <c r="E2072" i="3"/>
  <c r="D2072" i="3"/>
  <c r="E2071" i="3"/>
  <c r="D2071" i="3"/>
  <c r="E2070" i="3"/>
  <c r="D2070" i="3"/>
  <c r="E2069" i="3"/>
  <c r="D2069" i="3"/>
  <c r="E2068" i="3"/>
  <c r="D2068" i="3"/>
  <c r="E2067" i="3"/>
  <c r="D2067" i="3"/>
  <c r="E2066" i="3"/>
  <c r="D2066" i="3"/>
  <c r="E2065" i="3"/>
  <c r="D2065" i="3"/>
  <c r="E2064" i="3"/>
  <c r="D2064" i="3"/>
  <c r="E2063" i="3"/>
  <c r="D2063" i="3"/>
  <c r="E2062" i="3"/>
  <c r="D2062" i="3"/>
  <c r="E2061" i="3"/>
  <c r="D2061" i="3"/>
  <c r="E2060" i="3"/>
  <c r="D2060" i="3"/>
  <c r="E2059" i="3"/>
  <c r="D2059" i="3"/>
  <c r="E2058" i="3"/>
  <c r="D2058" i="3"/>
  <c r="E2057" i="3"/>
  <c r="D2057" i="3"/>
  <c r="E2056" i="3"/>
  <c r="D2056" i="3"/>
  <c r="E2055" i="3"/>
  <c r="D2055" i="3"/>
  <c r="E2054" i="3"/>
  <c r="D2054" i="3"/>
  <c r="E2053" i="3"/>
  <c r="D2053" i="3"/>
  <c r="E2052" i="3"/>
  <c r="D2052" i="3"/>
  <c r="E2051" i="3"/>
  <c r="D2051" i="3"/>
  <c r="E2050" i="3"/>
  <c r="D2050" i="3"/>
  <c r="E2049" i="3"/>
  <c r="D2049" i="3"/>
  <c r="E2048" i="3"/>
  <c r="D2048" i="3"/>
  <c r="E2047" i="3"/>
  <c r="D2047" i="3"/>
  <c r="E2046" i="3"/>
  <c r="D2046" i="3"/>
  <c r="E2045" i="3"/>
  <c r="D2045" i="3"/>
  <c r="E2044" i="3"/>
  <c r="D2044" i="3"/>
  <c r="E2043" i="3"/>
  <c r="D2043" i="3"/>
  <c r="E2042" i="3"/>
  <c r="D2042" i="3"/>
  <c r="E2041" i="3"/>
  <c r="D2041" i="3"/>
  <c r="E2040" i="3"/>
  <c r="D2040" i="3"/>
  <c r="E2039" i="3"/>
  <c r="D2039" i="3"/>
  <c r="E2038" i="3"/>
  <c r="D2038" i="3"/>
  <c r="E2037" i="3"/>
  <c r="D2037" i="3"/>
  <c r="E2036" i="3"/>
  <c r="D2036" i="3"/>
  <c r="E2035" i="3"/>
  <c r="D2035" i="3"/>
  <c r="E2034" i="3"/>
  <c r="D2034" i="3"/>
  <c r="E2033" i="3"/>
  <c r="D2033" i="3"/>
  <c r="E2032" i="3"/>
  <c r="D2032" i="3"/>
  <c r="E2031" i="3"/>
  <c r="D2031" i="3"/>
  <c r="E2030" i="3"/>
  <c r="D2030" i="3"/>
  <c r="E2029" i="3"/>
  <c r="D2029" i="3"/>
  <c r="E2028" i="3"/>
  <c r="D2028" i="3"/>
  <c r="E2027" i="3"/>
  <c r="D2027" i="3"/>
  <c r="E2026" i="3"/>
  <c r="D2026" i="3"/>
  <c r="E2025" i="3"/>
  <c r="D2025" i="3"/>
  <c r="E2024" i="3"/>
  <c r="D2024" i="3"/>
  <c r="E2023" i="3"/>
  <c r="D2023" i="3"/>
  <c r="E2022" i="3"/>
  <c r="D2022" i="3"/>
  <c r="E2021" i="3"/>
  <c r="D2021" i="3"/>
  <c r="E2020" i="3"/>
  <c r="D2020" i="3"/>
  <c r="E2019" i="3"/>
  <c r="D2019" i="3"/>
  <c r="E2018" i="3"/>
  <c r="D2018" i="3"/>
  <c r="E2017" i="3"/>
  <c r="D2017" i="3"/>
  <c r="E2016" i="3"/>
  <c r="D2016" i="3"/>
  <c r="E2015" i="3"/>
  <c r="D2015" i="3"/>
  <c r="E2014" i="3"/>
  <c r="D2014" i="3"/>
  <c r="E2013" i="3"/>
  <c r="D2013" i="3"/>
  <c r="E2012" i="3"/>
  <c r="D2012" i="3"/>
  <c r="E2011" i="3"/>
  <c r="D2011" i="3"/>
  <c r="E2010" i="3"/>
  <c r="D2010" i="3"/>
  <c r="E2009" i="3"/>
  <c r="D2009" i="3"/>
  <c r="E2008" i="3"/>
  <c r="D2008" i="3"/>
  <c r="F2007" i="3"/>
  <c r="E2007" i="3"/>
  <c r="D2007" i="3"/>
  <c r="E2006" i="3"/>
  <c r="D2006" i="3"/>
  <c r="E2005" i="3"/>
  <c r="D2005" i="3"/>
  <c r="E2004" i="3"/>
  <c r="D2004" i="3"/>
  <c r="E2003" i="3"/>
  <c r="D2003" i="3"/>
  <c r="E2002" i="3"/>
  <c r="D2002" i="3"/>
  <c r="E2001" i="3"/>
  <c r="D2001" i="3"/>
  <c r="E2000" i="3"/>
  <c r="D2000" i="3"/>
  <c r="E1999" i="3"/>
  <c r="D1999" i="3"/>
  <c r="E1998" i="3"/>
  <c r="D1998" i="3"/>
  <c r="E1997" i="3"/>
  <c r="D1997" i="3"/>
  <c r="E1996" i="3"/>
  <c r="D1996" i="3"/>
  <c r="E1995" i="3"/>
  <c r="D1995" i="3"/>
  <c r="E1994" i="3"/>
  <c r="D1994" i="3"/>
  <c r="E1993" i="3"/>
  <c r="D1993" i="3"/>
  <c r="E1992" i="3"/>
  <c r="D1992" i="3"/>
  <c r="E1991" i="3"/>
  <c r="D1991" i="3"/>
  <c r="E1990" i="3"/>
  <c r="D1990" i="3"/>
  <c r="E1989" i="3"/>
  <c r="D1989" i="3"/>
  <c r="E1988" i="3"/>
  <c r="D1988" i="3"/>
  <c r="E1987" i="3"/>
  <c r="D1987" i="3"/>
  <c r="E1986" i="3"/>
  <c r="D1986" i="3"/>
  <c r="E1985" i="3"/>
  <c r="D1985" i="3"/>
  <c r="E1984" i="3"/>
  <c r="D1984" i="3"/>
  <c r="E1983" i="3"/>
  <c r="D1983" i="3"/>
  <c r="E1982" i="3"/>
  <c r="D1982" i="3"/>
  <c r="E1981" i="3"/>
  <c r="D1981" i="3"/>
  <c r="E1980" i="3"/>
  <c r="D1980" i="3"/>
  <c r="E1979" i="3"/>
  <c r="D1979" i="3"/>
  <c r="E1978" i="3"/>
  <c r="D1978" i="3"/>
  <c r="E1977" i="3"/>
  <c r="D1977" i="3"/>
  <c r="E1976" i="3"/>
  <c r="D1976" i="3"/>
  <c r="E1975" i="3"/>
  <c r="D1975" i="3"/>
  <c r="E1974" i="3"/>
  <c r="D1974" i="3"/>
  <c r="E1973" i="3"/>
  <c r="D1973" i="3"/>
  <c r="E1972" i="3"/>
  <c r="D1972" i="3"/>
  <c r="E1971" i="3"/>
  <c r="D1971" i="3"/>
  <c r="E1970" i="3"/>
  <c r="D1970" i="3"/>
  <c r="E1969" i="3"/>
  <c r="D1969" i="3"/>
  <c r="E1968" i="3"/>
  <c r="D1968" i="3"/>
  <c r="E1967" i="3"/>
  <c r="D1967" i="3"/>
  <c r="E1966" i="3"/>
  <c r="D1966" i="3"/>
  <c r="E1965" i="3"/>
  <c r="D1965" i="3"/>
  <c r="E1964" i="3"/>
  <c r="D1964" i="3"/>
  <c r="E1963" i="3"/>
  <c r="D1963" i="3"/>
  <c r="E1962" i="3"/>
  <c r="D1962" i="3"/>
  <c r="E1961" i="3"/>
  <c r="D1961" i="3"/>
  <c r="E1960" i="3"/>
  <c r="D1960" i="3"/>
  <c r="E1959" i="3"/>
  <c r="D1959" i="3"/>
  <c r="E1958" i="3"/>
  <c r="D1958" i="3"/>
  <c r="E1957" i="3"/>
  <c r="D1957" i="3"/>
  <c r="E1956" i="3"/>
  <c r="D1956" i="3"/>
  <c r="E1955" i="3"/>
  <c r="D1955" i="3"/>
  <c r="E1954" i="3"/>
  <c r="D1954" i="3"/>
  <c r="E1953" i="3"/>
  <c r="D1953" i="3"/>
  <c r="E1952" i="3"/>
  <c r="D1952" i="3"/>
  <c r="E1951" i="3"/>
  <c r="D1951" i="3"/>
  <c r="E1950" i="3"/>
  <c r="D1950" i="3"/>
  <c r="E1949" i="3"/>
  <c r="D1949" i="3"/>
  <c r="E1948" i="3"/>
  <c r="D1948" i="3"/>
  <c r="E1947" i="3"/>
  <c r="D1947" i="3"/>
  <c r="E1946" i="3"/>
  <c r="D1946" i="3"/>
  <c r="E1945" i="3"/>
  <c r="D1945" i="3"/>
  <c r="E1944" i="3"/>
  <c r="D1944" i="3"/>
  <c r="E1943" i="3"/>
  <c r="D1943" i="3"/>
  <c r="E1942" i="3"/>
  <c r="D1942" i="3"/>
  <c r="E1941" i="3"/>
  <c r="D1941" i="3"/>
  <c r="E1940" i="3"/>
  <c r="D1940" i="3"/>
  <c r="E1939" i="3"/>
  <c r="D1939" i="3"/>
  <c r="E1938" i="3"/>
  <c r="D1938" i="3"/>
  <c r="E1937" i="3"/>
  <c r="D1937" i="3"/>
  <c r="E1936" i="3"/>
  <c r="D1936" i="3"/>
  <c r="E1935" i="3"/>
  <c r="D1935" i="3"/>
  <c r="E1934" i="3"/>
  <c r="D1934" i="3"/>
  <c r="E1933" i="3"/>
  <c r="D1933" i="3"/>
  <c r="E1932" i="3"/>
  <c r="D1932" i="3"/>
  <c r="E1931" i="3"/>
  <c r="D1931" i="3"/>
  <c r="E1930" i="3"/>
  <c r="D1930" i="3"/>
  <c r="E1929" i="3"/>
  <c r="D1929" i="3"/>
  <c r="E1928" i="3"/>
  <c r="D1928" i="3"/>
  <c r="E1927" i="3"/>
  <c r="D1927" i="3"/>
  <c r="E1926" i="3"/>
  <c r="D1926" i="3"/>
  <c r="E1925" i="3"/>
  <c r="D1925" i="3"/>
  <c r="E1924" i="3"/>
  <c r="D1924" i="3"/>
  <c r="E1923" i="3"/>
  <c r="D1923" i="3"/>
  <c r="E1922" i="3"/>
  <c r="D1922" i="3"/>
  <c r="E1921" i="3"/>
  <c r="D1921" i="3"/>
  <c r="E1920" i="3"/>
  <c r="D1920" i="3"/>
  <c r="E1919" i="3"/>
  <c r="D1919" i="3"/>
  <c r="E1918" i="3"/>
  <c r="D1918" i="3"/>
  <c r="E1917" i="3"/>
  <c r="D1917" i="3"/>
  <c r="E1916" i="3"/>
  <c r="D1916" i="3"/>
  <c r="E1915" i="3"/>
  <c r="D1915" i="3"/>
  <c r="E1914" i="3"/>
  <c r="D1914" i="3"/>
  <c r="E1913" i="3"/>
  <c r="D1913" i="3"/>
  <c r="E1912" i="3"/>
  <c r="D1912" i="3"/>
  <c r="E1911" i="3"/>
  <c r="D1911" i="3"/>
  <c r="E1910" i="3"/>
  <c r="D1910" i="3"/>
  <c r="E1909" i="3"/>
  <c r="D1909" i="3"/>
  <c r="E1908" i="3"/>
  <c r="D1908" i="3"/>
  <c r="E1907" i="3"/>
  <c r="D1907" i="3"/>
  <c r="E1906" i="3"/>
  <c r="D1906" i="3"/>
  <c r="E1905" i="3"/>
  <c r="D1905" i="3"/>
  <c r="E1904" i="3"/>
  <c r="D1904" i="3"/>
  <c r="E1903" i="3"/>
  <c r="D1903" i="3"/>
  <c r="E1902" i="3"/>
  <c r="D1902" i="3"/>
  <c r="E1901" i="3"/>
  <c r="D1901" i="3"/>
  <c r="E1900" i="3"/>
  <c r="D1900" i="3"/>
  <c r="E1899" i="3"/>
  <c r="D1899" i="3"/>
  <c r="E1898" i="3"/>
  <c r="D1898" i="3"/>
  <c r="E1897" i="3"/>
  <c r="D1897" i="3"/>
  <c r="E1896" i="3"/>
  <c r="D1896" i="3"/>
  <c r="E1895" i="3"/>
  <c r="D1895" i="3"/>
  <c r="E1894" i="3"/>
  <c r="D1894" i="3"/>
  <c r="E1893" i="3"/>
  <c r="D1893" i="3"/>
  <c r="E1892" i="3"/>
  <c r="D1892" i="3"/>
  <c r="E1891" i="3"/>
  <c r="D1891" i="3"/>
  <c r="E1890" i="3"/>
  <c r="D1890" i="3"/>
  <c r="E1889" i="3"/>
  <c r="D1889" i="3"/>
  <c r="E1888" i="3"/>
  <c r="D1888" i="3"/>
  <c r="E1887" i="3"/>
  <c r="D1887" i="3"/>
  <c r="E1886" i="3"/>
  <c r="D1886" i="3"/>
  <c r="E1885" i="3"/>
  <c r="D1885" i="3"/>
  <c r="E1884" i="3"/>
  <c r="D1884" i="3"/>
  <c r="E1883" i="3"/>
  <c r="D1883" i="3"/>
  <c r="E1882" i="3"/>
  <c r="D1882" i="3"/>
  <c r="E1881" i="3"/>
  <c r="D1881" i="3"/>
  <c r="E1880" i="3"/>
  <c r="D1880" i="3"/>
  <c r="E1879" i="3"/>
  <c r="D1879" i="3"/>
  <c r="E1878" i="3"/>
  <c r="D1878" i="3"/>
  <c r="E1877" i="3"/>
  <c r="D1877" i="3"/>
  <c r="E1876" i="3"/>
  <c r="D1876" i="3"/>
  <c r="E1875" i="3"/>
  <c r="D1875" i="3"/>
  <c r="E1874" i="3"/>
  <c r="D1874" i="3"/>
  <c r="E1873" i="3"/>
  <c r="D1873" i="3"/>
  <c r="E1872" i="3"/>
  <c r="D1872" i="3"/>
  <c r="E1871" i="3"/>
  <c r="D1871" i="3"/>
  <c r="E1870" i="3"/>
  <c r="D1870" i="3"/>
  <c r="E1869" i="3"/>
  <c r="D1869" i="3"/>
  <c r="E1868" i="3"/>
  <c r="D1868" i="3"/>
  <c r="E1867" i="3"/>
  <c r="D1867" i="3"/>
  <c r="E1866" i="3"/>
  <c r="D1866" i="3"/>
  <c r="E1865" i="3"/>
  <c r="D1865" i="3"/>
  <c r="E1864" i="3"/>
  <c r="D1864" i="3"/>
  <c r="E1863" i="3"/>
  <c r="D1863" i="3"/>
  <c r="E1862" i="3"/>
  <c r="D1862" i="3"/>
  <c r="E1861" i="3"/>
  <c r="D1861" i="3"/>
  <c r="E1860" i="3"/>
  <c r="D1860" i="3"/>
  <c r="E1859" i="3"/>
  <c r="D1859" i="3"/>
  <c r="E1858" i="3"/>
  <c r="D1858" i="3"/>
  <c r="E1857" i="3"/>
  <c r="D1857" i="3"/>
  <c r="E1856" i="3"/>
  <c r="D1856" i="3"/>
  <c r="E1855" i="3"/>
  <c r="D1855" i="3"/>
  <c r="E1854" i="3"/>
  <c r="D1854" i="3"/>
  <c r="E1853" i="3"/>
  <c r="D1853" i="3"/>
  <c r="E1852" i="3"/>
  <c r="D1852" i="3"/>
  <c r="E1851" i="3"/>
  <c r="D1851" i="3"/>
  <c r="E1850" i="3"/>
  <c r="D1850" i="3"/>
  <c r="E1849" i="3"/>
  <c r="D1849" i="3"/>
  <c r="E1848" i="3"/>
  <c r="D1848" i="3"/>
  <c r="E1847" i="3"/>
  <c r="D1847" i="3"/>
  <c r="E1846" i="3"/>
  <c r="D1846" i="3"/>
  <c r="E1845" i="3"/>
  <c r="D1845" i="3"/>
  <c r="E1844" i="3"/>
  <c r="D1844" i="3"/>
  <c r="E1843" i="3"/>
  <c r="D1843" i="3"/>
  <c r="E1842" i="3"/>
  <c r="D1842" i="3"/>
  <c r="E1841" i="3"/>
  <c r="D1841" i="3"/>
  <c r="E1840" i="3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E1810" i="3"/>
  <c r="D1810" i="3"/>
  <c r="E1809" i="3"/>
  <c r="D1809" i="3"/>
  <c r="E1808" i="3"/>
  <c r="D1808" i="3"/>
  <c r="E1807" i="3"/>
  <c r="D1807" i="3"/>
  <c r="E1806" i="3"/>
  <c r="D1806" i="3"/>
  <c r="E1805" i="3"/>
  <c r="D1805" i="3"/>
  <c r="E1804" i="3"/>
  <c r="D1804" i="3"/>
  <c r="E1803" i="3"/>
  <c r="D1803" i="3"/>
  <c r="E1802" i="3"/>
  <c r="D1802" i="3"/>
  <c r="E1801" i="3"/>
  <c r="D1801" i="3"/>
  <c r="E1800" i="3"/>
  <c r="D1800" i="3"/>
  <c r="E1799" i="3"/>
  <c r="D1799" i="3"/>
  <c r="E1798" i="3"/>
  <c r="D1798" i="3"/>
  <c r="E1797" i="3"/>
  <c r="D1797" i="3"/>
  <c r="E1796" i="3"/>
  <c r="D1796" i="3"/>
  <c r="E1795" i="3"/>
  <c r="D1795" i="3"/>
  <c r="E1794" i="3"/>
  <c r="D1794" i="3"/>
  <c r="E1793" i="3"/>
  <c r="D1793" i="3"/>
  <c r="E1792" i="3"/>
  <c r="D1792" i="3"/>
  <c r="E1791" i="3"/>
  <c r="D1791" i="3"/>
  <c r="E1790" i="3"/>
  <c r="D1790" i="3"/>
  <c r="E1789" i="3"/>
  <c r="D1789" i="3"/>
  <c r="E1788" i="3"/>
  <c r="D1788" i="3"/>
  <c r="E1787" i="3"/>
  <c r="D1787" i="3"/>
  <c r="E1786" i="3"/>
  <c r="D1786" i="3"/>
  <c r="E1785" i="3"/>
  <c r="D1785" i="3"/>
  <c r="E1784" i="3"/>
  <c r="D1784" i="3"/>
  <c r="E1783" i="3"/>
  <c r="D1783" i="3"/>
  <c r="E1782" i="3"/>
  <c r="D1782" i="3"/>
  <c r="E1781" i="3"/>
  <c r="D1781" i="3"/>
  <c r="E1780" i="3"/>
  <c r="D1780" i="3"/>
  <c r="E1779" i="3"/>
  <c r="D1779" i="3"/>
  <c r="E1778" i="3"/>
  <c r="D1778" i="3"/>
  <c r="E1777" i="3"/>
  <c r="D1777" i="3"/>
  <c r="E1776" i="3"/>
  <c r="D1776" i="3"/>
  <c r="E1775" i="3"/>
  <c r="D1775" i="3"/>
  <c r="E1774" i="3"/>
  <c r="D1774" i="3"/>
  <c r="E1773" i="3"/>
  <c r="D1773" i="3"/>
  <c r="E1772" i="3"/>
  <c r="D1772" i="3"/>
  <c r="E1771" i="3"/>
  <c r="D1771" i="3"/>
  <c r="E1770" i="3"/>
  <c r="D1770" i="3"/>
  <c r="E1769" i="3"/>
  <c r="D1769" i="3"/>
  <c r="E1768" i="3"/>
  <c r="D1768" i="3"/>
  <c r="E1767" i="3"/>
  <c r="D1767" i="3"/>
  <c r="E1766" i="3"/>
  <c r="D1766" i="3"/>
  <c r="E1765" i="3"/>
  <c r="D1765" i="3"/>
  <c r="E1764" i="3"/>
  <c r="D1764" i="3"/>
  <c r="E1763" i="3"/>
  <c r="D1763" i="3"/>
  <c r="E1762" i="3"/>
  <c r="D1762" i="3"/>
  <c r="E1761" i="3"/>
  <c r="D1761" i="3"/>
  <c r="E1760" i="3"/>
  <c r="D1760" i="3"/>
  <c r="E1759" i="3"/>
  <c r="D1759" i="3"/>
  <c r="E1758" i="3"/>
  <c r="D1758" i="3"/>
  <c r="E1757" i="3"/>
  <c r="D1757" i="3"/>
  <c r="E1756" i="3"/>
  <c r="D1756" i="3"/>
  <c r="E1755" i="3"/>
  <c r="D1755" i="3"/>
  <c r="E1754" i="3"/>
  <c r="D1754" i="3"/>
  <c r="E1753" i="3"/>
  <c r="D1753" i="3"/>
  <c r="E1752" i="3"/>
  <c r="D1752" i="3"/>
  <c r="E1751" i="3"/>
  <c r="D1751" i="3"/>
  <c r="E1750" i="3"/>
  <c r="D1750" i="3"/>
  <c r="E1749" i="3"/>
  <c r="D1749" i="3"/>
  <c r="E1748" i="3"/>
  <c r="D1748" i="3"/>
  <c r="E1747" i="3"/>
  <c r="D1747" i="3"/>
  <c r="E1746" i="3"/>
  <c r="D1746" i="3"/>
  <c r="E1745" i="3"/>
  <c r="D1745" i="3"/>
  <c r="E1744" i="3"/>
  <c r="D1744" i="3"/>
  <c r="E1743" i="3"/>
  <c r="D1743" i="3"/>
  <c r="E1742" i="3"/>
  <c r="D1742" i="3"/>
  <c r="E1741" i="3"/>
  <c r="D1741" i="3"/>
  <c r="E1740" i="3"/>
  <c r="D1740" i="3"/>
  <c r="E1739" i="3"/>
  <c r="D1739" i="3"/>
  <c r="E1738" i="3"/>
  <c r="D1738" i="3"/>
  <c r="E1737" i="3"/>
  <c r="D1737" i="3"/>
  <c r="E1736" i="3"/>
  <c r="D1736" i="3"/>
  <c r="E1735" i="3"/>
  <c r="D1735" i="3"/>
  <c r="E1734" i="3"/>
  <c r="D1734" i="3"/>
  <c r="E1733" i="3"/>
  <c r="D1733" i="3"/>
  <c r="E1732" i="3"/>
  <c r="D1732" i="3"/>
  <c r="E1731" i="3"/>
  <c r="D1731" i="3"/>
  <c r="E1730" i="3"/>
  <c r="D1730" i="3"/>
  <c r="E1729" i="3"/>
  <c r="D1729" i="3"/>
  <c r="E1728" i="3"/>
  <c r="D1728" i="3"/>
  <c r="E1727" i="3"/>
  <c r="D1727" i="3"/>
  <c r="E1726" i="3"/>
  <c r="D1726" i="3"/>
  <c r="E1725" i="3"/>
  <c r="D1725" i="3"/>
  <c r="E1724" i="3"/>
  <c r="D1724" i="3"/>
  <c r="E1723" i="3"/>
  <c r="D1723" i="3"/>
  <c r="E1722" i="3"/>
  <c r="D1722" i="3"/>
  <c r="E1721" i="3"/>
  <c r="D1721" i="3"/>
  <c r="E1720" i="3"/>
  <c r="D1720" i="3"/>
  <c r="E1719" i="3"/>
  <c r="D1719" i="3"/>
  <c r="E1718" i="3"/>
  <c r="D1718" i="3"/>
  <c r="E1717" i="3"/>
  <c r="D1717" i="3"/>
  <c r="E1716" i="3"/>
  <c r="D1716" i="3"/>
  <c r="E1715" i="3"/>
  <c r="D1715" i="3"/>
  <c r="E1714" i="3"/>
  <c r="D1714" i="3"/>
  <c r="E1713" i="3"/>
  <c r="D1713" i="3"/>
  <c r="E1712" i="3"/>
  <c r="D1712" i="3"/>
  <c r="E1711" i="3"/>
  <c r="D1711" i="3"/>
  <c r="E1710" i="3"/>
  <c r="D1710" i="3"/>
  <c r="E1709" i="3"/>
  <c r="D1709" i="3"/>
  <c r="E1708" i="3"/>
  <c r="D1708" i="3"/>
  <c r="E1707" i="3"/>
  <c r="D1707" i="3"/>
  <c r="E1706" i="3"/>
  <c r="D1706" i="3"/>
  <c r="E1705" i="3"/>
  <c r="D1705" i="3"/>
  <c r="E1704" i="3"/>
  <c r="D1704" i="3"/>
  <c r="E1703" i="3"/>
  <c r="D1703" i="3"/>
  <c r="E1702" i="3"/>
  <c r="D1702" i="3"/>
  <c r="E1701" i="3"/>
  <c r="D1701" i="3"/>
  <c r="E1700" i="3"/>
  <c r="D1700" i="3"/>
  <c r="E1699" i="3"/>
  <c r="D1699" i="3"/>
  <c r="E1698" i="3"/>
  <c r="D1698" i="3"/>
  <c r="E1697" i="3"/>
  <c r="D1697" i="3"/>
  <c r="E1696" i="3"/>
  <c r="D1696" i="3"/>
  <c r="E1695" i="3"/>
  <c r="D1695" i="3"/>
  <c r="E1694" i="3"/>
  <c r="D1694" i="3"/>
  <c r="E1693" i="3"/>
  <c r="D1693" i="3"/>
  <c r="E1692" i="3"/>
  <c r="D1692" i="3"/>
  <c r="E1691" i="3"/>
  <c r="D1691" i="3"/>
  <c r="E1690" i="3"/>
  <c r="D1690" i="3"/>
  <c r="E1689" i="3"/>
  <c r="D1689" i="3"/>
  <c r="E1688" i="3"/>
  <c r="D1688" i="3"/>
  <c r="E1687" i="3"/>
  <c r="D1687" i="3"/>
  <c r="E1686" i="3"/>
  <c r="D1686" i="3"/>
  <c r="E1685" i="3"/>
  <c r="D1685" i="3"/>
  <c r="E1684" i="3"/>
  <c r="D1684" i="3"/>
  <c r="E1683" i="3"/>
  <c r="D1683" i="3"/>
  <c r="E1682" i="3"/>
  <c r="D1682" i="3"/>
  <c r="E1681" i="3"/>
  <c r="D1681" i="3"/>
  <c r="E1680" i="3"/>
  <c r="D1680" i="3"/>
  <c r="E1679" i="3"/>
  <c r="D1679" i="3"/>
  <c r="E1678" i="3"/>
  <c r="D1678" i="3"/>
  <c r="E1677" i="3"/>
  <c r="D1677" i="3"/>
  <c r="E1676" i="3"/>
  <c r="D1676" i="3"/>
  <c r="E1675" i="3"/>
  <c r="D1675" i="3"/>
  <c r="E1674" i="3"/>
  <c r="D1674" i="3"/>
  <c r="E1673" i="3"/>
  <c r="D1673" i="3"/>
  <c r="E1672" i="3"/>
  <c r="D1672" i="3"/>
  <c r="E1671" i="3"/>
  <c r="D1671" i="3"/>
  <c r="E1670" i="3"/>
  <c r="D1670" i="3"/>
  <c r="E1669" i="3"/>
  <c r="D1669" i="3"/>
  <c r="E1668" i="3"/>
  <c r="D1668" i="3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F1457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F1131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2" i="4" l="1"/>
</calcChain>
</file>

<file path=xl/sharedStrings.xml><?xml version="1.0" encoding="utf-8"?>
<sst xmlns="http://schemas.openxmlformats.org/spreadsheetml/2006/main" count="14312" uniqueCount="10626">
  <si>
    <t>imdbid</t>
  </si>
  <si>
    <t>title</t>
  </si>
  <si>
    <t>Adult Animation</t>
  </si>
  <si>
    <t>Luke Cage (TV Series 2016–2018)</t>
  </si>
  <si>
    <t>Showtime at the Apollo (TV Series 2017– )</t>
  </si>
  <si>
    <t>Queen of the South (TV Series 2016– )</t>
  </si>
  <si>
    <t>Fresh Off the Boat (TV Series 2015– )</t>
  </si>
  <si>
    <t>The Hot Zone (TV Mini-Series 2019– )</t>
  </si>
  <si>
    <t>House of Cards (TV Series 2013–2018)</t>
  </si>
  <si>
    <t>Big Little Lies (TV Series 2017– )</t>
  </si>
  <si>
    <t>Sex and the City (TV Series 1998–2004)</t>
  </si>
  <si>
    <t>The Witcher (TV Series 2019– )</t>
  </si>
  <si>
    <t>Dirty John (TV Series)</t>
  </si>
  <si>
    <t>Modern Love (TV Series 2019– )</t>
  </si>
  <si>
    <t>Westworld (TV Series 2016– )</t>
  </si>
  <si>
    <t>Mindhunter (TV Series 2017– )</t>
  </si>
  <si>
    <t>The Flash (TV Series 2014– )</t>
  </si>
  <si>
    <t>DC's Legends of Tomorrow (TV Series 2016– )</t>
  </si>
  <si>
    <t>Nancy Drew (TV Series 2019– )</t>
  </si>
  <si>
    <t>The Carrie Diaries (TV Series 2013–2014)</t>
  </si>
  <si>
    <t>Tom Clancy's Jack Ryan (TV Series 2018– )</t>
  </si>
  <si>
    <t>True Blood (TV Series 2008–2014)</t>
  </si>
  <si>
    <t>Gossip Girl (TV Series 2007–2012)</t>
  </si>
  <si>
    <t>Hemlock Grove (TV Series 2013–2015)</t>
  </si>
  <si>
    <t>Orange Is the New Black (TV Series 2013–2019)</t>
  </si>
  <si>
    <t>Outlander (TV Series 2014– )</t>
  </si>
  <si>
    <t>Sleepy Hollow (TV Series 2013–2017)</t>
  </si>
  <si>
    <t>The Vampire Diaries (TV Series 2009–2017)</t>
  </si>
  <si>
    <t>Conan (TV Series 1997–1998)</t>
  </si>
  <si>
    <t>Conan: The Adventurer (TV Series 1992–1993)</t>
  </si>
  <si>
    <t>The Punisher (TV Series 2017–2019)</t>
  </si>
  <si>
    <t>The Handmaid's Tale (TV Series 2017– )</t>
  </si>
  <si>
    <t>A Series of Unfortunate Events (TV Series 2017–2019)</t>
  </si>
  <si>
    <t>Dorothy and the Wizard of Oz (TV Series 2017– )</t>
  </si>
  <si>
    <t>Friday Night Lights (TV Series 2006–2011)</t>
  </si>
  <si>
    <t>Get Shorty (TV Series 2017– )</t>
  </si>
  <si>
    <t>Kung Fu Panda: Legends of Awesomeness (TV Series 2011–2016)</t>
  </si>
  <si>
    <t>Kung Fu: The Legend Continues (TV Series 1993–1997)</t>
  </si>
  <si>
    <t>Tales from the Crypt (TV Series 1989–1996)</t>
  </si>
  <si>
    <t>The Exorcist (TV Series 2016–2018)</t>
  </si>
  <si>
    <t>The LXD: The Legion of Extraordinary Dancers (TV Series 2010– )</t>
  </si>
  <si>
    <t>Smallville (TV Series 2001–2011)</t>
  </si>
  <si>
    <t>Gotham (TV Series 2014–2019)</t>
  </si>
  <si>
    <t>Hulk and the Agents of S.M.A.S.H. (TV Series 2013–2015)</t>
  </si>
  <si>
    <t>Justice League Action (TV Series 2016– )</t>
  </si>
  <si>
    <t>Justice League Unlimited (TV Series 2004–2006)</t>
  </si>
  <si>
    <t>Lois &amp; Clark: The New Adventures of Superman (TV Series 1993–1997)</t>
  </si>
  <si>
    <t>Doom Patrol (TV Series 2019– )</t>
  </si>
  <si>
    <t>Batman Beyond (TV Series 1999–2001)</t>
  </si>
  <si>
    <t>Batman: The Animated Series (TV Series 1992–1995)</t>
  </si>
  <si>
    <t>Batman: The Brave and the Bold (TV Series 2008–2011)</t>
  </si>
  <si>
    <t>Beware the Batman (TV Series 2013–2014)</t>
  </si>
  <si>
    <t>Birds of Prey (TV Series 2002–2003)</t>
  </si>
  <si>
    <t>Care Bears: Adventures in Care-A-Lot (TV Series 2007–2008)</t>
  </si>
  <si>
    <t>Care Bears: Welcome to Care-a-Lot (TV Series 2012)</t>
  </si>
  <si>
    <t>Constantine (TV Series 2014–2015)</t>
  </si>
  <si>
    <t>Curious George (TV Series 2006–2015)</t>
  </si>
  <si>
    <t>Dracula (TV Series 2013–2014)</t>
  </si>
  <si>
    <t>Dragon Ball (TV Series 1995–2003)</t>
  </si>
  <si>
    <t>Dragon Ball Super (TV Series 2015–2018)</t>
  </si>
  <si>
    <t>Dragon Ball Z (TV Series 1989–1996)</t>
  </si>
  <si>
    <t>Dragon Ball Z (TV Series 1996–2003)</t>
  </si>
  <si>
    <t>Dragon Flyz (TV Series 1996– )</t>
  </si>
  <si>
    <t>Elementary (TV Series 2012–2019)</t>
  </si>
  <si>
    <t>Fantastic Four: The Animated Series (TV Series 1994–1996)</t>
  </si>
  <si>
    <t>Fantastic Four: World's Greatest Heroes (TV Series 2006–2010)</t>
  </si>
  <si>
    <t>G.I. Joe (TV Series 1985–1986)</t>
  </si>
  <si>
    <t>Garfield and Friends (TV Series 1988–1995)</t>
  </si>
  <si>
    <t>He-Man and the Masters of the Universe (TV Series 1983–1985)</t>
  </si>
  <si>
    <t>Iron Man (TV Series 2010– )</t>
  </si>
  <si>
    <t>Iron Man: Armored Adventures (TV Series 2008–2012)</t>
  </si>
  <si>
    <t>Justice League (TV Series 2001–2004)</t>
  </si>
  <si>
    <t>Ninja Turtles: The Next Mutation (TV Series 1997–1998)</t>
  </si>
  <si>
    <t>Pokémon (TV Series 1997– )</t>
  </si>
  <si>
    <t>Robin Hood: Mischief in Sherwood (TV Series 2014– )</t>
  </si>
  <si>
    <t>Spider-Man and His Amazing Friends (TV Series 1981–1986)</t>
  </si>
  <si>
    <t>Spider-Man Unlimited (TV Series 1999–2005)</t>
  </si>
  <si>
    <t>Spider-Man: The Animated Series (TV Series 1994–1998)</t>
  </si>
  <si>
    <t>Superman: Red Son (TV Series 2009– )</t>
  </si>
  <si>
    <t>Superman: The Animated Series (TV Series 1996–2000)</t>
  </si>
  <si>
    <t>Tarzan: The Epic Adventures (TV Series 1996– )</t>
  </si>
  <si>
    <t>Teenage Mutant Ninja Turtles (TV Series 1987–1996)</t>
  </si>
  <si>
    <t>Teenage Mutant Ninja Turtles (TV Series 2003–2010)</t>
  </si>
  <si>
    <t>Teenage Mutant Ninja Turtles (TV Series 2012–2017)</t>
  </si>
  <si>
    <t>The Avengers: Earth's Mightiest Heroes (TV Series 2010–2012)</t>
  </si>
  <si>
    <t>The Batman (TV Series 2004–2008)</t>
  </si>
  <si>
    <t>The Incredible Hulk (TV Series 1996–1998)</t>
  </si>
  <si>
    <t>The New Adventures of He-Man (TV Series 1990–1991)</t>
  </si>
  <si>
    <t>The New Adventures of Winnie the Pooh (TV Series 1988–1991)</t>
  </si>
  <si>
    <t>The New Batman Adventures (TV Series 1997–1999)</t>
  </si>
  <si>
    <t>The Spectacular Spider-Man (TV Series 2008–2009)</t>
  </si>
  <si>
    <t>Ultimate Spider-Man (TV Series 2012–2017)</t>
  </si>
  <si>
    <t>Welcome to Pooh Corner (TV Series 1983–1986)</t>
  </si>
  <si>
    <t>Wolverine and the X-Men (TV Series 2008–2009)</t>
  </si>
  <si>
    <t>X-Men: Evolution (TV Series 2000–2003)</t>
  </si>
  <si>
    <t>X-Men: The Animated Series (TV Series 1992–1997)</t>
  </si>
  <si>
    <t>Yu-Gi-Oh! 5D's (TV Series 2008–2011)</t>
  </si>
  <si>
    <t>Yu-Gi-Oh! Arc-V (TV Series 2014–2018)</t>
  </si>
  <si>
    <t>Yu-Gi-Oh! GX (TV Series 2004–2008)</t>
  </si>
  <si>
    <t>Yu-Gi-Oh! Zexal (TV Series 2011–2014)</t>
  </si>
  <si>
    <t>Dennis the Menace (TV Series 1996–1998)</t>
  </si>
  <si>
    <t>Naruto: Shippûden (TV Series 2007–2017)</t>
  </si>
  <si>
    <t>Todd McFarlane's Spawn (TV Series 1997–1999)</t>
  </si>
  <si>
    <t>13 Reasons Why (TV Series 2017– )</t>
  </si>
  <si>
    <t>Altered Carbon (TV Series 2018– )</t>
  </si>
  <si>
    <t>Black Sails (TV Series 2014–2017)</t>
  </si>
  <si>
    <t>Game of Thrones (TV Series 2011–2019)</t>
  </si>
  <si>
    <t>His Dark Materials (TV Series 2019– )</t>
  </si>
  <si>
    <t>The Boys (TV Series 2019– )</t>
  </si>
  <si>
    <t>The Walking Dead (TV Series 2010– )</t>
  </si>
  <si>
    <t>The Worst Witch (TV Series 2017– )</t>
  </si>
  <si>
    <t>Van Helsing (TV Series 2016– )</t>
  </si>
  <si>
    <t>A Discovery of Witches (TV Series 2018– )</t>
  </si>
  <si>
    <t>Adventures in Wonderland (TV Series 1992–1994)</t>
  </si>
  <si>
    <t>Agatha Christie's Marple (TV Series 2004–2013)</t>
  </si>
  <si>
    <t>Agatha Raisin (TV Series 2014– )</t>
  </si>
  <si>
    <t>Atlantis (TV Series 2013–2015)</t>
  </si>
  <si>
    <t>Bosch (TV Series 2014– )</t>
  </si>
  <si>
    <t>Bunnicula (TV Series 2016– )</t>
  </si>
  <si>
    <t>Cardinal (TV Series 2017–2020)</t>
  </si>
  <si>
    <t>Castle Rock (TV Series 2018–2019)</t>
  </si>
  <si>
    <t>Dilbert (TV Series 1999–2000)</t>
  </si>
  <si>
    <t>Dora the Explorer (TV Series 2000–2019)</t>
  </si>
  <si>
    <t>Fungus the Bogeyman (TV Series 2004– )</t>
  </si>
  <si>
    <t>Gentleman Jack (TV Series 2019– )</t>
  </si>
  <si>
    <t>Ghost in the Shell: Stand Alone Complex (TV Series 2002–2005)</t>
  </si>
  <si>
    <t>Girlfriends' Guide to Divorce (TV Series 2014–2018)</t>
  </si>
  <si>
    <t>Harlots (TV Series 2017–2019)</t>
  </si>
  <si>
    <t>Instinct (TV Series 2018– )</t>
  </si>
  <si>
    <t>iZombie (TV Series 2015–2019)</t>
  </si>
  <si>
    <t>James Patterson's Murder Is Forever (TV Series 2018– )</t>
  </si>
  <si>
    <t>Jonah Hex: Motion Comics (TV Series 2010– )</t>
  </si>
  <si>
    <t>King Arthur and the Knights of Justice (TV Series 1992– )</t>
  </si>
  <si>
    <t>King Arthur's Disasters (TV Series 2005–2006)</t>
  </si>
  <si>
    <t>Lucifer (TV Series 2015– )</t>
  </si>
  <si>
    <t>Midnight, Texas (TV Series 2017–2018)</t>
  </si>
  <si>
    <t>Moon Lovers: Scarlet Heart Ryeo (TV Series 2016– )</t>
  </si>
  <si>
    <t>My Mad Fat Diary (TV Series 2013–2015)</t>
  </si>
  <si>
    <t>Naruto (TV Series 2002–2007)</t>
  </si>
  <si>
    <t>Once Upon a Time (TV Series 2011–2018)</t>
  </si>
  <si>
    <t>Pretty Little Liars (TV Series 2010–2017)</t>
  </si>
  <si>
    <t>Riverdale (TV Series 2017– )</t>
  </si>
  <si>
    <t>Rizzoli &amp; Isles (TV Series 2010–2016)</t>
  </si>
  <si>
    <t>Roswell, New Mexico (TV Series 2019– )</t>
  </si>
  <si>
    <t>Sabrina, the Teenage Witch (TV Series 1996–2003)</t>
  </si>
  <si>
    <t>Shadowhunters (TV Series 2016–2019)</t>
  </si>
  <si>
    <t>Sherlock (TV Series 2010– )</t>
  </si>
  <si>
    <t>Stan Lee's Lucky Man (TV Series 2016– )</t>
  </si>
  <si>
    <t>Stan Lee's Superhumans (TV Series 2010– )</t>
  </si>
  <si>
    <t>Teen Titans (TV Series 2003–2006)</t>
  </si>
  <si>
    <t>Teen Titans Go! (TV Series 2013– )</t>
  </si>
  <si>
    <t>The 4 Musketeers (TV Series 2005– )</t>
  </si>
  <si>
    <t>The Adventures of Swiss Family Robinson (TV Series 1998– )</t>
  </si>
  <si>
    <t>The Crow: Stairway to Heaven (TV Series 1998–1999)</t>
  </si>
  <si>
    <t>The Garfield Show (TV Series 2008–2016)</t>
  </si>
  <si>
    <t>The Hitchhiker's Guide to the Galaxy (TV Series 1981)</t>
  </si>
  <si>
    <t>The Jungle Book (TV Series 2010– )</t>
  </si>
  <si>
    <t>The Legend of Tarzan (TV Series 2001–2003)</t>
  </si>
  <si>
    <t>The Legends of Treasure Island (TV Mini-Series 1993–1995)</t>
  </si>
  <si>
    <t>The Magicians (TV Series 2015– )</t>
  </si>
  <si>
    <t>The Man in the High Castle (TV Series 2015– )</t>
  </si>
  <si>
    <t>The Real Adventures of Jonny Quest (TV Series 1996–1997)</t>
  </si>
  <si>
    <t>The Scarlet Pimpernel (TV Series 1999– )</t>
  </si>
  <si>
    <t>The Shannara Chronicles (TV Series 2016–2017)</t>
  </si>
  <si>
    <t>The Smurfs (TV Series 1981–1990)</t>
  </si>
  <si>
    <t>The Thorn Birds (TV Series 2011– )</t>
  </si>
  <si>
    <t>The Umbrella Academy (TV Series 2019– )</t>
  </si>
  <si>
    <t>The Wild Thornberrys (TV Series 1998–2004)</t>
  </si>
  <si>
    <t>The Wizard of Oz (TV Series 1990–1991)</t>
  </si>
  <si>
    <t>The Wonderful Wizard of Oz (TV Series 1986–1987)</t>
  </si>
  <si>
    <t>War of the Worlds (TV Series 1988–1990)</t>
  </si>
  <si>
    <t>Wynonna Earp (TV Series 2016– )</t>
  </si>
  <si>
    <t>Extant (TV Series 2014–2015)</t>
  </si>
  <si>
    <t>Scandal (TV Series 2012–2018)</t>
  </si>
  <si>
    <t>Ballers (TV Series 2015– )</t>
  </si>
  <si>
    <t>Black Monday (TV Series 2018– )</t>
  </si>
  <si>
    <t>One Day at a Time (TV Series 2017– )</t>
  </si>
  <si>
    <t>Mayans M.C. (TV Series 2018– )</t>
  </si>
  <si>
    <t>The Twilight Zone (TV Series 2019– )</t>
  </si>
  <si>
    <t>9-1-1 (TV Series 2018– )</t>
  </si>
  <si>
    <t>Empire (TV Series 2015– )</t>
  </si>
  <si>
    <t>Everybody Hates Chris (TV Series 2005–2009)</t>
  </si>
  <si>
    <t>How to Get Away with Murder (TV Series 2014– )</t>
  </si>
  <si>
    <t>Pose (TV Series 2018– )</t>
  </si>
  <si>
    <t>World of Dance (TV Series 2017– )</t>
  </si>
  <si>
    <t>Blade: The Series (TV Series 2006)</t>
  </si>
  <si>
    <t>5th Ward (TV Series 2018– )</t>
  </si>
  <si>
    <t>Dear White People (TV Series 2017– )</t>
  </si>
  <si>
    <t>Lethal Weapon (TV Series 2016–2019)</t>
  </si>
  <si>
    <t>Minority Report (TV Series 2015)</t>
  </si>
  <si>
    <t>Charmed (TV Series 2018– )</t>
  </si>
  <si>
    <t>Grown-ish (TV Series 2018– )</t>
  </si>
  <si>
    <t>Keeping Up with the Kardashians (TV Series 2006– )</t>
  </si>
  <si>
    <t>Kourtney &amp; Kim Take New York (TV Series 2011–2012)</t>
  </si>
  <si>
    <t>Magnum P.I. (TV Series 2018– )</t>
  </si>
  <si>
    <t>Narcos: Mexico (TV Series 2018– )</t>
  </si>
  <si>
    <t>Revenge Body with Khloé Kardashian (TV Series 2017– )</t>
  </si>
  <si>
    <t>Marco Polo (TV Series 2014–2016)</t>
  </si>
  <si>
    <t>The Get Down (TV Series 2016–2017)</t>
  </si>
  <si>
    <t>A.N.T. Farm (TV Series 2011–2014)</t>
  </si>
  <si>
    <t>All American (TV Series 2018– )</t>
  </si>
  <si>
    <t>ATL Homicide (TV Series 2018– )</t>
  </si>
  <si>
    <t>Battle Creek (TV Series 2015)</t>
  </si>
  <si>
    <t>Being Mary Jane (TV Series 2013– )</t>
  </si>
  <si>
    <t>Black Jesus (TV Series 2014– )</t>
  </si>
  <si>
    <t>Black-ish (TV Series 2014– )</t>
  </si>
  <si>
    <t>Chocolate News (TV Series 2008– )</t>
  </si>
  <si>
    <t>David Makes Man (TV Series 2019– )</t>
  </si>
  <si>
    <t>Doggy Fizzle Televizzle (TV Series 2002–2003)</t>
  </si>
  <si>
    <t>El Chapo (TV Series 2017– )</t>
  </si>
  <si>
    <t>Fatih (TV Series 2018)</t>
  </si>
  <si>
    <t>Gang Related (TV Series 2014)</t>
  </si>
  <si>
    <t>Gangland (TV Series 2007–2010)</t>
  </si>
  <si>
    <t>George Lopez (TV Series 2002–2007)</t>
  </si>
  <si>
    <t>Hip-Hop Evolution (2016)</t>
  </si>
  <si>
    <t>House of Lies (TV Series 2012–2016)</t>
  </si>
  <si>
    <t>Ice Loves Coco (TV Series 2011– )</t>
  </si>
  <si>
    <t>Jackie Chan Adventures (TV Series 2000–2005)</t>
  </si>
  <si>
    <t>Jane the Virgin (TV Series 2014–2019)</t>
  </si>
  <si>
    <t>Love &amp; Hip Hop (TV Series 2010– )</t>
  </si>
  <si>
    <t>Luther (TV Series 2010– )</t>
  </si>
  <si>
    <t>Martial Law (TV Series 1998–2000)</t>
  </si>
  <si>
    <t>Martin (TV Series 1992–1997)</t>
  </si>
  <si>
    <t>Master of None (TV Series 2015– )</t>
  </si>
  <si>
    <t>Narcos (TV Series 2015–2017)</t>
  </si>
  <si>
    <t>Night Stalker (TV Series 2005– )</t>
  </si>
  <si>
    <t>Power (TV Series 2014– )</t>
  </si>
  <si>
    <t>Queen Sugar (TV Series 2016– )</t>
  </si>
  <si>
    <t>Rosewood (TV Series 2015–2017)</t>
  </si>
  <si>
    <t>RuPaul's Drag Race (TV Series 2009– )</t>
  </si>
  <si>
    <t>Sister, Sister (TV Series 1994–1999)</t>
  </si>
  <si>
    <t>Sisterhood of Hip Hop (TV Series 2014– )</t>
  </si>
  <si>
    <t>Steve Harvey's Funderdome (TV Series 2017– )</t>
  </si>
  <si>
    <t>Superstore (TV Series 2015– )</t>
  </si>
  <si>
    <t>The Adventures of Sinbad (TV Series 1996–1998)</t>
  </si>
  <si>
    <t>The Bernie Mac Show (TV Series 2001–2006)</t>
  </si>
  <si>
    <t>The Bobby Brown Story (TV Series 2018– )</t>
  </si>
  <si>
    <t>The Chi (TV Series 2018– )</t>
  </si>
  <si>
    <t>The Cool Kids (TV Series 2018–2019)</t>
  </si>
  <si>
    <t>The Fosters (TV Series 2013–2018)</t>
  </si>
  <si>
    <t>The Four: Battle for Stardom (TV Series 2018– )</t>
  </si>
  <si>
    <t>The Legend of Bruce Lee (TV Series 2008– )</t>
  </si>
  <si>
    <t>The Wayans Bros. (TV Series 1995–1999)</t>
  </si>
  <si>
    <t>The Wire (TV Series 2002–2008)</t>
  </si>
  <si>
    <t>Turn Up Charlie (TV Series 2018– )</t>
  </si>
  <si>
    <t>Ugly Betty (TV Series 2006–2010)</t>
  </si>
  <si>
    <t>Ugly Delicious (TV Series 2018– )</t>
  </si>
  <si>
    <t>Unsolved: The Murders of Tupac and the Notorious B.I.G. (TV Series 2018– )</t>
  </si>
  <si>
    <t>American Horror Story (TV Series 2011– )</t>
  </si>
  <si>
    <t>Dynasty (TV Series 1981–1989)</t>
  </si>
  <si>
    <t>Miami Vice (TV Series 1984–1989)</t>
  </si>
  <si>
    <t>Mom (TV Series 2013– )</t>
  </si>
  <si>
    <t>Scream Queens (TV Series 2015–2016)</t>
  </si>
  <si>
    <t>Stranger Things (TV Series 2016– )</t>
  </si>
  <si>
    <t>The Good Place (TV Series 2016– )</t>
  </si>
  <si>
    <t>The Kominsky Method (TV Series 2018– )</t>
  </si>
  <si>
    <t>The Morning Show (TV Series 2019– )</t>
  </si>
  <si>
    <t>The Romanoffs (TV Series 2018)</t>
  </si>
  <si>
    <t>The West Wing (TV Series 1999–2006)</t>
  </si>
  <si>
    <t>United States of Tara (TV Series 2009–2011)</t>
  </si>
  <si>
    <t>Yellowstone (TV Series 2018– )</t>
  </si>
  <si>
    <t>The Deuce (TV Series 2017– )</t>
  </si>
  <si>
    <t>Fargo (TV Series 2014– )</t>
  </si>
  <si>
    <t>Walker, Texas Ranger (TV Series 1993–2001)</t>
  </si>
  <si>
    <t>Agent X (TV Series 2015)</t>
  </si>
  <si>
    <t>A Nero Wolfe Mystery (TV Series 2001–2002)</t>
  </si>
  <si>
    <t>CSI: Crime Scene Investigation (TV Series 2000–2015)</t>
  </si>
  <si>
    <t>First Dates (TV Series 2017– )</t>
  </si>
  <si>
    <t>Carnival Row (TV Series 2019– )</t>
  </si>
  <si>
    <t>24 (TV Series 2001–2010)</t>
  </si>
  <si>
    <t>3rd Rock from the Sun (TV Series 1996–2001)</t>
  </si>
  <si>
    <t>American Woman (TV Series 2018)</t>
  </si>
  <si>
    <t>Atypical (TV Series 2017– )</t>
  </si>
  <si>
    <t>Billions (TV Series 2016– )</t>
  </si>
  <si>
    <t>Chambers (TV Series 2018– )</t>
  </si>
  <si>
    <t>City on a Hill (TV Series 2019– )</t>
  </si>
  <si>
    <t>Grace and Frankie (TV Series 2015– )</t>
  </si>
  <si>
    <t>Graves (TV Series 2016– )</t>
  </si>
  <si>
    <t>Gypsy (TV Series 2017)</t>
  </si>
  <si>
    <t>Here and Now (TV Series 2018– )</t>
  </si>
  <si>
    <t>Inside Look: The Assassination of Gianni VersaceAmerican Crime Story (TV Series 2017–2018)</t>
  </si>
  <si>
    <t>Living with Yourself (TV Series 2019– )</t>
  </si>
  <si>
    <t>Medium (TV Series 2005–2011)</t>
  </si>
  <si>
    <t>Moonlighting (TV Series 1985–1989)</t>
  </si>
  <si>
    <t>Murphy Brown (TV Series 1988–2018)</t>
  </si>
  <si>
    <t>Nash Bridges (TV Series 1996–2001)</t>
  </si>
  <si>
    <t>Ozark (TV Series 2017– )</t>
  </si>
  <si>
    <t>Ray Donovan (TV Series 2013– )</t>
  </si>
  <si>
    <t>Santa Clarita Diet (TV Series 2017–2019)</t>
  </si>
  <si>
    <t>Schitt's Creek (TV Series 2015– )</t>
  </si>
  <si>
    <t>See (TV Series 2019– )</t>
  </si>
  <si>
    <t>Shameless (TV Series 2011– )</t>
  </si>
  <si>
    <t>Sideswiped (TV Series 2018– )</t>
  </si>
  <si>
    <t>Sorry for Your Loss (TV Series 2018– )</t>
  </si>
  <si>
    <t>The Blacklist (TV Series 2013– )</t>
  </si>
  <si>
    <t>The Titan Games (TV Series 2019– )</t>
  </si>
  <si>
    <t>The World According to Jeff Goldblum (TV Series 2019– )</t>
  </si>
  <si>
    <t>The Young Pope (TV Series 2016)</t>
  </si>
  <si>
    <t>True Detective (TV Series 2014– )</t>
  </si>
  <si>
    <t>Wanderlust (TV Series 2018– )</t>
  </si>
  <si>
    <t>Younger (TV Series 2015– )</t>
  </si>
  <si>
    <t>The Mandalorian (TV Series 2019– )</t>
  </si>
  <si>
    <t>Batwoman (TV Series 2019– )</t>
  </si>
  <si>
    <t>Agents of S.H.I.E.L.D. (TV Series 2013– )</t>
  </si>
  <si>
    <t>Hell's Kitchen (TV Series 2005– )</t>
  </si>
  <si>
    <t>3Below: Tales of Arcadia (TV Series 2018–2019)</t>
  </si>
  <si>
    <t>Chicago Hope (TV Series 1994–2000)</t>
  </si>
  <si>
    <t>Chicago Justice (TV Series 2017)</t>
  </si>
  <si>
    <t>Chicago P.D. (TV Series 2014– )</t>
  </si>
  <si>
    <t>Cold Justice: Sex Crimes (TV Series 2015)</t>
  </si>
  <si>
    <t>Curb Your Enthusiasm (TV Series 2000– )</t>
  </si>
  <si>
    <t>Frasier (TV Series 1993–2004)</t>
  </si>
  <si>
    <t>Law &amp; Order (TV Series 1990–2010)</t>
  </si>
  <si>
    <t>Law &amp; Order: Criminal Intent (TV Series 2001–2011)</t>
  </si>
  <si>
    <t>Law &amp; Order: Special Victims Unit (TV Series 1999– )</t>
  </si>
  <si>
    <t>MasterChef Junior (TV Series 2013– )</t>
  </si>
  <si>
    <t>Private Practice (TV Series 2007–2013)</t>
  </si>
  <si>
    <t>Better Call Saul (TV Series 2015– )</t>
  </si>
  <si>
    <t>American Dad! (TV Series 2005– )</t>
  </si>
  <si>
    <t>Rick and Morty (TV Series 2013– )</t>
  </si>
  <si>
    <t>Boardwalk Empire (TV Series 2010–2014)</t>
  </si>
  <si>
    <t>Firefly (TV Series 2002–2003)</t>
  </si>
  <si>
    <t>Sense8 (TV Series 2015–2018)</t>
  </si>
  <si>
    <t>Vinyl (TV Series 2016)</t>
  </si>
  <si>
    <t>30 Rock (TV Series 2006–2013)</t>
  </si>
  <si>
    <t>A.D. The Bible Continues (TV Series 2015)</t>
  </si>
  <si>
    <t>Alias (TV Series 2001–2006)</t>
  </si>
  <si>
    <t>Ally McBeal (TV Series 1997–2002)</t>
  </si>
  <si>
    <t>American Idol (TV Series 2002– )</t>
  </si>
  <si>
    <t>Animaniacs (TV Series 1993–1998)</t>
  </si>
  <si>
    <t>Anthony Bourdain: Parts Unknown (TV Series 2013–2018)</t>
  </si>
  <si>
    <t>Barry (TV Series 2018– )</t>
  </si>
  <si>
    <t>Believe (TV Series 2014)</t>
  </si>
  <si>
    <t>Blindspot (TV Series 2015– )</t>
  </si>
  <si>
    <t>Bones (TV Series 2005–2017)</t>
  </si>
  <si>
    <t>Boston Legal (TV Series 2004–2008)</t>
  </si>
  <si>
    <t>Boston Public (TV Series 2000–2004)</t>
  </si>
  <si>
    <t>Breaking Bad (TV Series 2008–2013)</t>
  </si>
  <si>
    <t>Brooklyn Nine-Nine (TV Series 2013– )</t>
  </si>
  <si>
    <t>Chef's Table (TV Series 2015– )</t>
  </si>
  <si>
    <t>Chicago Fire (TV Series 2012– )</t>
  </si>
  <si>
    <t>Chuck (TV Series 2007–2012)</t>
  </si>
  <si>
    <t>Cold Justice (TV Series 2013– )</t>
  </si>
  <si>
    <t>Dead to Me (TV Series 2019– )</t>
  </si>
  <si>
    <t>Dharma &amp; Greg (TV Series 1997–2002)</t>
  </si>
  <si>
    <t>FBI (TV Series 2018– )</t>
  </si>
  <si>
    <t>Fringe (TV Series 2008–2013)</t>
  </si>
  <si>
    <t>Future Man (TV Series 2017–2020)</t>
  </si>
  <si>
    <t>Glee (TV Series 2009–2015)</t>
  </si>
  <si>
    <t>Grace Under Fire (TV Series 1993–1998)</t>
  </si>
  <si>
    <t>Grey's Anatomy (TV Series 2005– )</t>
  </si>
  <si>
    <t>King of the Hill (TV Series 1997–2010)</t>
  </si>
  <si>
    <t>L.A. Law (TV Series 1986–1994)</t>
  </si>
  <si>
    <t>Lost (TV Series 2004–2010)</t>
  </si>
  <si>
    <t>Love (TV Series 2016–2018)</t>
  </si>
  <si>
    <t>Love Thy Neighbor (TV Series 2013– )</t>
  </si>
  <si>
    <t>Mad Men (TV Series 2007–2015)</t>
  </si>
  <si>
    <t>Masterchef (TV Series 2010– )</t>
  </si>
  <si>
    <t>Melrose Place (TV Series 1992–1999)</t>
  </si>
  <si>
    <t>Mike &amp; Molly (TV Series 2010–2016)</t>
  </si>
  <si>
    <t>Nip/Tuck (TV Series 2003–2010)</t>
  </si>
  <si>
    <t>No Ordinary Family (TV Series 2010–2011)</t>
  </si>
  <si>
    <t>NYPD Blue (TV Series 1993–2005)</t>
  </si>
  <si>
    <t>One Strange Rock (TV Series 2018– )</t>
  </si>
  <si>
    <t>Parks and Recreation (TV Series 2009–2015)</t>
  </si>
  <si>
    <t>Person of Interest (TV Series 2011–2016)</t>
  </si>
  <si>
    <t>Picket Fences (TV Series 1992–1996)</t>
  </si>
  <si>
    <t>Revolution (TV Series 2012–2014)</t>
  </si>
  <si>
    <t>Roseanne (TV Series 1988–2018)</t>
  </si>
  <si>
    <t>Rules of Engagement (TV Series 2007–2013)</t>
  </si>
  <si>
    <t>Seinfeld (TV Series 1989–1998)</t>
  </si>
  <si>
    <t>Six Feet Under (TV Series 2001–2005)</t>
  </si>
  <si>
    <t>Stars Earn Stripes (TV Series 2012– )</t>
  </si>
  <si>
    <t>The Apprentice (TV Series 2004–2017)</t>
  </si>
  <si>
    <t>The Big Bang Theory (TV Series 2007–2019)</t>
  </si>
  <si>
    <t>The Catch (TV Series 2016–2017)</t>
  </si>
  <si>
    <t>The Middle (TV Series 2009–2018)</t>
  </si>
  <si>
    <t>The New Normal (TV Series 2012–2013)</t>
  </si>
  <si>
    <t>The O.C. (TV Series 2003–2007)</t>
  </si>
  <si>
    <t>The Orville (TV Series 2017– )</t>
  </si>
  <si>
    <t>The Paynes (TV Series 2018– )</t>
  </si>
  <si>
    <t>The Politician (TV Series 2019– )</t>
  </si>
  <si>
    <t>The Practice (TV Series 1997–2004)</t>
  </si>
  <si>
    <t>Two and a Half Men (TV Series 2003–2015)</t>
  </si>
  <si>
    <t>Unbreakable Kimmy Schmidt (TV Series 2015–2019)</t>
  </si>
  <si>
    <t>Weeds (TV Series 2005–2012)</t>
  </si>
  <si>
    <t>Xena: Warrior Princess (TV Series 1995–2001)</t>
  </si>
  <si>
    <t>You (TV Series 2018– )</t>
  </si>
  <si>
    <t>Star Trek: Deep Space Nine (TV Series 1993–1999)</t>
  </si>
  <si>
    <t>Star Trek: Enterprise (TV Series 2001–2005)</t>
  </si>
  <si>
    <t>Star Trek: The Next Generation (TV Series 1987–1994)</t>
  </si>
  <si>
    <t>Star Trek: Voyager (TV Series 1995–2001)</t>
  </si>
  <si>
    <t>Mortal Kombat: Conquest (TV Series 1998–1999)</t>
  </si>
  <si>
    <t>Star Wars Rebels (TV Series 2014–2018)</t>
  </si>
  <si>
    <t>Star Wars: Clone Wars (TV Series 2003–2005)</t>
  </si>
  <si>
    <t>Star Wars: Droids (TV Series 1985–1986)</t>
  </si>
  <si>
    <t>Star Wars: The Clone Wars (TV Series 2008–2020)</t>
  </si>
  <si>
    <t>Daredevil (TV Series 2015–2018)</t>
  </si>
  <si>
    <t>Aladdin (TV Series 1994–1995)</t>
  </si>
  <si>
    <t>Big Hero 6: The Series (TV Series 2017– )</t>
  </si>
  <si>
    <t>Buzz Lightyear of Star Command (TV Series 2000–2001)</t>
  </si>
  <si>
    <t>Ewoks (TV Series 1985–1987)</t>
  </si>
  <si>
    <t>Hotel Transylvania: The Series (TV Series 2017– )</t>
  </si>
  <si>
    <t>Mortal Kombat: Defenders of the Realm (TV Series 1995–1996)</t>
  </si>
  <si>
    <t>The Adventures of Jimmy Neutron: Boy Genius (TV Series 1998–2006)</t>
  </si>
  <si>
    <t>The New Adventures of Zorro (TV Series 1981)</t>
  </si>
  <si>
    <t>The Real Ghostbusters (TV Series 1986–1991)</t>
  </si>
  <si>
    <t>Wet Hot American Summer: Ten Years Later (TV Series 2017)</t>
  </si>
  <si>
    <t>Clerks (TV Series 2000–2001)</t>
  </si>
  <si>
    <t>Alien Nation (TV Series 1989–1990)</t>
  </si>
  <si>
    <t>Stargate SG-1 (TV Series 1997–2007)</t>
  </si>
  <si>
    <t>Stargate Universe (TV Series 2009–2011)</t>
  </si>
  <si>
    <t>Stargate: Atlantis (TV Series 2004–2009)</t>
  </si>
  <si>
    <t>Terminator: The Sarah Connor Chronicles (TV Series 2008–2009)</t>
  </si>
  <si>
    <t>The Dark Crystal: Age of Resistance (TV Series 2019– )</t>
  </si>
  <si>
    <t>V (TV Series 2009–2011)</t>
  </si>
  <si>
    <t>12 Monkeys (TV Series 2015–2018)</t>
  </si>
  <si>
    <t>56 Up (TV Movie 2012)</t>
  </si>
  <si>
    <t>Anger Management (TV Series 2012–2014)</t>
  </si>
  <si>
    <t>Animal Kingdom (TV Series 2016– )</t>
  </si>
  <si>
    <t>Ash vs Evil Dead (TV Series 2015–2018)</t>
  </si>
  <si>
    <t>Back to the Future (TV Series 1991–1993)</t>
  </si>
  <si>
    <t>Bates Motel (TV Series 2013–2017)</t>
  </si>
  <si>
    <t>BeastMaster (TV Series 1999–2002)</t>
  </si>
  <si>
    <t>Beetlejuice (TV Series 1989–1991)</t>
  </si>
  <si>
    <t>Big Fish (TV Series 2007)</t>
  </si>
  <si>
    <t>Bill &amp; Ted's Excellent Adventures (TV Series 1990–1991)</t>
  </si>
  <si>
    <t>Black Scorpion (TV Series 2001)</t>
  </si>
  <si>
    <t>Bring It! (TV Series 2014– )</t>
  </si>
  <si>
    <t>Buffy the Vampire Slayer (TV Series 1997–2003)</t>
  </si>
  <si>
    <t>Catfish: The TV Show (TV Series 2012– )</t>
  </si>
  <si>
    <t>Clueless (TV Series 1996–1999)</t>
  </si>
  <si>
    <t>Cobra Kai (TV Series 2018– )</t>
  </si>
  <si>
    <t>Das Boot (TV Series 2018– )</t>
  </si>
  <si>
    <t>Four Weddings and a Funeral (TV Series 2019)</t>
  </si>
  <si>
    <t>From Dusk Till Dawn: The Series (TV Series 2014–2016)</t>
  </si>
  <si>
    <t>Hanna (TV Series 2019– )</t>
  </si>
  <si>
    <t>Hannibal (TV Series 2013–2015)</t>
  </si>
  <si>
    <t>Heartbreak High (TV Series 1994–1999)</t>
  </si>
  <si>
    <t>High School Musical: The Musical (TV Series 2019– )</t>
  </si>
  <si>
    <t>Highlander (TV Series 1992–1998)</t>
  </si>
  <si>
    <t>Home Alone (TV Series 2017– )</t>
  </si>
  <si>
    <t>James Bond Jr. (TV Series 1991–1992)</t>
  </si>
  <si>
    <t>Nikita (TV Series 2010–2013)</t>
  </si>
  <si>
    <t>Police Academy: The Series (TV Series 1988–1989)</t>
  </si>
  <si>
    <t>Rambo (TV Series 1986)</t>
  </si>
  <si>
    <t>RoboCop: Prime Directives (TV Series 2001)</t>
  </si>
  <si>
    <t>Scream: The TV Series (TV Series 2015– )</t>
  </si>
  <si>
    <t>Teen Wolf (TV Series 2011–2017)</t>
  </si>
  <si>
    <t>Terminator Salvation: The Machinima Series (TV Series 2009– )</t>
  </si>
  <si>
    <t>The Bachelorette (TV Series 2003– )</t>
  </si>
  <si>
    <t>The Fonz and the Happy Days Gang (TV Series 1980–1981)</t>
  </si>
  <si>
    <t>The Hunger (TV Series 1997–2000)</t>
  </si>
  <si>
    <t>The Karate Kid (TV Series 1989– )</t>
  </si>
  <si>
    <t>The Purge (TV Series 2018– )</t>
  </si>
  <si>
    <t>The Untouchables (TV Series 1993–1994)</t>
  </si>
  <si>
    <t>The Young Indiana Jones Chronicles (TV Series 1992–1993)</t>
  </si>
  <si>
    <t>Uncle Grandpa (TV Series 2010–2017)</t>
  </si>
  <si>
    <t>Undercover Boss Australia (TV Series 2010– )</t>
  </si>
  <si>
    <t>Undercover Boss Canada (TV Series 2012– )</t>
  </si>
  <si>
    <t>What We Do in the Shadows (TV Series 2019– )</t>
  </si>
  <si>
    <t>Zombieland Saga (TV Series 2018– )</t>
  </si>
  <si>
    <t>Zorro (TV Series 1990–1993)</t>
  </si>
  <si>
    <t>Zorro (TV Series 1997– )</t>
  </si>
  <si>
    <t>Zorro (TV Series 2009– )</t>
  </si>
  <si>
    <t>Jessica Jones (TV Series 2015–2019)</t>
  </si>
  <si>
    <t>Baby Looney Tunes (TV Series 2002–2005)</t>
  </si>
  <si>
    <t>Ben 10 (TV Series 2016– )</t>
  </si>
  <si>
    <t>Ben 10: Alien Force (TV Series 2008–2010)</t>
  </si>
  <si>
    <t>Harley Quinn (TV Series 2019– )</t>
  </si>
  <si>
    <t>Mickey and the Roadster Racers (TV Series 2017– )</t>
  </si>
  <si>
    <t>Mickey Mouse (TV Series 2013– )</t>
  </si>
  <si>
    <t>Mickey Mouse Clubhouse (TV Series 2006–2016)</t>
  </si>
  <si>
    <t>Mickey Mouse Works (TV Series 1999–2000)</t>
  </si>
  <si>
    <t>Mortal Kombat: Legacy (TV Series 2011–2013)</t>
  </si>
  <si>
    <t>Muppet Babies (TV Series 1984–1991)</t>
  </si>
  <si>
    <t>Scooby-Doo! Mystery Incorporated (TV Series 2010–2013)</t>
  </si>
  <si>
    <t>She-Ra and the Princesses of Power (TV Series 2018– )</t>
  </si>
  <si>
    <t>Space Ghost Coast to Coast (TV Series 1993–2011)</t>
  </si>
  <si>
    <t>The Flintstone Comedy Show (TV Series 1980– )</t>
  </si>
  <si>
    <t>The New Addams Family (TV Series 1998–1999)</t>
  </si>
  <si>
    <t>The Powerpuff Girls (TV Series 1998–2005)</t>
  </si>
  <si>
    <t>Transformers Prime (TV Series 2010–2013)</t>
  </si>
  <si>
    <t>Transformers: Armada (TV Series 2002–2003)</t>
  </si>
  <si>
    <t>Transformers: Energon (TV Series 2004)</t>
  </si>
  <si>
    <t>Transformers: Robots in Disguise (TV Series 2000– )</t>
  </si>
  <si>
    <t>Transformers: Robots in Disguise (TV Series 2014–2017)</t>
  </si>
  <si>
    <t>Young Hercules (TV Series 1998–1999)</t>
  </si>
  <si>
    <t>Agent Carter (TV Series 2015–2016)</t>
  </si>
  <si>
    <t>Arrow (TV Series 2012– )</t>
  </si>
  <si>
    <t>Amada Anime Series: Super Mario (TV Series 1989– )</t>
  </si>
  <si>
    <t>Andromeda (TV Series 2000–2005)</t>
  </si>
  <si>
    <t>Avengers: United They Stand (TV Series 1999–2000)</t>
  </si>
  <si>
    <t>Beast Machines: Transformers (TV Series 1999–2001)</t>
  </si>
  <si>
    <t>Beast Wars: Transformers (TV Series 1996–1999)</t>
  </si>
  <si>
    <t>Beyblade Burst (TV Series 2016– )</t>
  </si>
  <si>
    <t>Black Lightning (TV Series 2018– )</t>
  </si>
  <si>
    <t>Bob the Builder (TV Series 1998–2004)</t>
  </si>
  <si>
    <t>DC Super Hero Girls (TV Series 2015– )</t>
  </si>
  <si>
    <t>DuckTales (TV Series 1987–1990)</t>
  </si>
  <si>
    <t>DuckTales (TV Series 2017– )</t>
  </si>
  <si>
    <t>Dungeons &amp; Dragons (TV Series 1983–1985)</t>
  </si>
  <si>
    <t>Flight of the Conchords (TV Series 2007–2009)</t>
  </si>
  <si>
    <t>Hot Wheels Challenge Accepted (TV Series 2018– )</t>
  </si>
  <si>
    <t>Lego Elves: Secrets of Elvendale (TV Series 2017– )</t>
  </si>
  <si>
    <t>Lego Friends (TV Series 2013– )</t>
  </si>
  <si>
    <t>Lego Star Wars: The Freemaker Adventures (TV Series 2016– )</t>
  </si>
  <si>
    <t>Marvel's Hero Project (TV Series 2019– )</t>
  </si>
  <si>
    <t>Power Rangers DinoThunder (TV Series 2004)</t>
  </si>
  <si>
    <t>Power Rangers in Space (TV Series 1998–1999)</t>
  </si>
  <si>
    <t>Power Rangers Jungle Fury (TV Series 2008)</t>
  </si>
  <si>
    <t>Power Rangers Ninja Steel (TV Series 2017–2018)</t>
  </si>
  <si>
    <t>Power Rangers Ninja Storm (TV Series 2003–2004)</t>
  </si>
  <si>
    <t>Power Rangers Samurai (TV Series 2011–2012)</t>
  </si>
  <si>
    <t>Power Rangers Wild Force (TV Series 2002–2003)</t>
  </si>
  <si>
    <t>Power Rangers Zeo (TV Series 1996–1997)</t>
  </si>
  <si>
    <t>Sonic the Hedgehog (TV Series 1993–1994)</t>
  </si>
  <si>
    <t>The Adventures of Super Mario Bros. 3 (TV Series 1990)</t>
  </si>
  <si>
    <t>The Frankenstein Chronicles (TV Series 2015– )</t>
  </si>
  <si>
    <t>The Legend of Zelda (TV Series 1989)</t>
  </si>
  <si>
    <t>The Transformers (TV Series 1984–1987)</t>
  </si>
  <si>
    <t>Unikitty! (TV Series 2017– )</t>
  </si>
  <si>
    <t>Battlestar Galactica (TV Series 2004–2009)</t>
  </si>
  <si>
    <t>Fear the Walking Dead (TV Series 2015– )</t>
  </si>
  <si>
    <t>Lost in Space (TV Series 2018– )</t>
  </si>
  <si>
    <t>24: Legacy (TV Series 2016–2017)</t>
  </si>
  <si>
    <t>90 Day Fiancé: The Other Way (TV Series 2019– )</t>
  </si>
  <si>
    <t>90210 (TV Series 2008–2013)</t>
  </si>
  <si>
    <t>A Pup Named Scooby-Doo (TV Series 1988–1991)</t>
  </si>
  <si>
    <t>Aliens in the Family (TV Series 1996– )</t>
  </si>
  <si>
    <t>America's Most Wanted: America Fights Back (TV Series 1988–2013)</t>
  </si>
  <si>
    <t>American Gothic (TV Series 2016)</t>
  </si>
  <si>
    <t>Angel (TV Series 1999–2004)</t>
  </si>
  <si>
    <t>Australia's Next Top Model (TV Series 2005– )</t>
  </si>
  <si>
    <t>Bachelor in Paradise (TV Series 2014– )</t>
  </si>
  <si>
    <t>Bachelor Pad (TV Series 2010–2012)</t>
  </si>
  <si>
    <t>Baywatch Nights (TV Series 1995–1997)</t>
  </si>
  <si>
    <t>Be Cool, Scooby-Doo! (TV Series 2015–2018)</t>
  </si>
  <si>
    <t>Bear's Mission With... (TV Series 2017– )</t>
  </si>
  <si>
    <t>Beyond the Tank (TV Series 2015– )</t>
  </si>
  <si>
    <t>Big Brother (TV Series 2000– )</t>
  </si>
  <si>
    <t>Breaking Amish: LA (TV Series 2013– )</t>
  </si>
  <si>
    <t>Britain and Ireland's Next Top Model (TV Series 2005– )</t>
  </si>
  <si>
    <t>Britain's Got More Talent (TV Series 2007– )</t>
  </si>
  <si>
    <t>Britain's Got Talent (TV Series 2007– )</t>
  </si>
  <si>
    <t>Cake Boss: Next Great Baker (TV Series 2010– )</t>
  </si>
  <si>
    <t>Chef's Table: France (TV Series 2016– )</t>
  </si>
  <si>
    <t>Chilling Adventures of Sabrina (TV Series 2018– )</t>
  </si>
  <si>
    <t>Chiquititas (TV Series 2013–2015)</t>
  </si>
  <si>
    <t>Chiquititas Brasil (TV Series 1997–2000)</t>
  </si>
  <si>
    <t>Cops UK: Bodycam Squad (TV Series 2016– )</t>
  </si>
  <si>
    <t>Crime Stories (TV Series 2012– )</t>
  </si>
  <si>
    <t>Criminal Minds: Beyond Borders (TV Series 2016–2017)</t>
  </si>
  <si>
    <t>Criminal Minds: Suspect Behavior (TV Series 2011)</t>
  </si>
  <si>
    <t>CSI: Cyber (TV Series 2015–2016)</t>
  </si>
  <si>
    <t>CSI: Miami (TV Series 2002–2012)</t>
  </si>
  <si>
    <t>CSI: NY (TV Series 2004–2013)</t>
  </si>
  <si>
    <t>Danger Mouse (TV Series 2015– )</t>
  </si>
  <si>
    <t>Darna (TV Series 2009– )</t>
  </si>
  <si>
    <t>Deadline: Crime with Tamron Hall (TV Series 2013– )</t>
  </si>
  <si>
    <t>Degrassi High (TV Series 1987–1991)</t>
  </si>
  <si>
    <t>Degrassi: The Next Generation (TV Series 2001–2015)</t>
  </si>
  <si>
    <t>Deutschland 86 (TV Series 2018)</t>
  </si>
  <si>
    <t>Doctor Who (TV Series 2005– )</t>
  </si>
  <si>
    <t>Doctor Who: Devious (TV Series 2018– )</t>
  </si>
  <si>
    <t>Don't mess with an angel (TV Series 2008–2009)</t>
  </si>
  <si>
    <t>Drunk History (TV Series 2013– )</t>
  </si>
  <si>
    <t>Dynasty (TV Series 2017– )</t>
  </si>
  <si>
    <t>Euphoria (TV Series 2019– )</t>
  </si>
  <si>
    <t>Ex on the Beach (TV Series 2018– )</t>
  </si>
  <si>
    <t>Extreme Makeover: Home Edition (TV Series 2003–2012)</t>
  </si>
  <si>
    <t>Fantastico 10 (TV Series 1989– )</t>
  </si>
  <si>
    <t>Fantastico 12 (TV Series 1991– )</t>
  </si>
  <si>
    <t>Fantastico 6 (TV Series 1985– )</t>
  </si>
  <si>
    <t>Fantastico 90 (TV Series 1990– )</t>
  </si>
  <si>
    <t>First Dates Abroad (TV Series 2016– )</t>
  </si>
  <si>
    <t>First Dates Hotel (TV Series 2017– )</t>
  </si>
  <si>
    <t>Fist of the North Star 2 (TV Series 1987–1988)</t>
  </si>
  <si>
    <t>Floyd on Britain &amp; Ireland (TV Series 1988– )</t>
  </si>
  <si>
    <t>Floyd on Fish (TV Series 1985– )</t>
  </si>
  <si>
    <t>Floyd on Food (TV Series 1986– )</t>
  </si>
  <si>
    <t>Floyd on France (TV Series 1987– )</t>
  </si>
  <si>
    <t>Fred: The Show (TV Series 2012–2018)</t>
  </si>
  <si>
    <t>Fuller House (TV Series 2016– )</t>
  </si>
  <si>
    <t>Get Out Alive with Bear Grylls (TV Series 2013– )</t>
  </si>
  <si>
    <t>Hawaii Five-0 (TV Series 2010– )</t>
  </si>
  <si>
    <t>Hi-5 vs. Hi-5 House (TV Series 2008–2016)</t>
  </si>
  <si>
    <t>Highlander: The Animated Series (TV Series 1994– )</t>
  </si>
  <si>
    <t>Highlander: The Raven (TV Series 1998–1999)</t>
  </si>
  <si>
    <t>Homeland (TV Series 2011– )</t>
  </si>
  <si>
    <t>Hunter (TV Series 2003– )</t>
  </si>
  <si>
    <t>I'm a Celebrity... Extra Camp (TV Series 2016– )</t>
  </si>
  <si>
    <t>Impractical Jokers (TV Series 2012– )</t>
  </si>
  <si>
    <t>Impractical Jokers: Inside Jokes (TV Series 2016– )</t>
  </si>
  <si>
    <t>Inspector Gadget (TV Series 2015– )</t>
  </si>
  <si>
    <t>James May's Cars of the People (TV Mini-Series 2014– )</t>
  </si>
  <si>
    <t>James May's Man Lab (TV Series 2010– )</t>
  </si>
  <si>
    <t>Jamie's 30 Minute Meals (TV Series 2010– )</t>
  </si>
  <si>
    <t>Jamie's Great Escape (TV Series 2005– )</t>
  </si>
  <si>
    <t>Jamie's Money Saving Meals (TV Series 2013– )</t>
  </si>
  <si>
    <t>Jersey Shore Family Vacation (TV Series 2018– )</t>
  </si>
  <si>
    <t>Jerseylicious (TV Series 2010– )</t>
  </si>
  <si>
    <t>Joey (TV Series 2004–2006)</t>
  </si>
  <si>
    <t>Kirstie &amp; Phil's Love It or List It (TV Series 2015– )</t>
  </si>
  <si>
    <t>Kirstie Allsopp's Home Style (TV Series 2013– )</t>
  </si>
  <si>
    <t>Kirstie's Handmade Christmas (TV Series 2014– )</t>
  </si>
  <si>
    <t>Kirstie's Vintage Gems (TV Series 2013– )</t>
  </si>
  <si>
    <t>Knight Rider (TV Series 2008–2009)</t>
  </si>
  <si>
    <t>Kojak (TV Series 2005)</t>
  </si>
  <si>
    <t>Laguna Beach: The Real Orange County (TV Series 2004–2006)</t>
  </si>
  <si>
    <t>Land of the Lost (TV Series 1991–1992)</t>
  </si>
  <si>
    <t>Life on Mars (TV Series 2008–2009)</t>
  </si>
  <si>
    <t>Little People, Big World: Wedding Farm (TV Series 2012– )</t>
  </si>
  <si>
    <t>Luke Nguyen's Vietnam (TV Series 2010–2011)</t>
  </si>
  <si>
    <t>MacGyver (TV Series 2016– )</t>
  </si>
  <si>
    <t>Million Dollar Listing New York (TV Series 2012– )</t>
  </si>
  <si>
    <t>Mission: Impossible (TV Series 1988–1990)</t>
  </si>
  <si>
    <t>Mobile Suit Gundam Seed (TV Series 2002–2003)</t>
  </si>
  <si>
    <t>Mobile Suit Gundam Seed Destiny (TV Series 2004–2005)</t>
  </si>
  <si>
    <t>Mobile Suit Gundam Wing (TV Series 1995–1996)</t>
  </si>
  <si>
    <t>Mobile Suit Gundam ZZ (TV Series 1986–1987)</t>
  </si>
  <si>
    <t>Murphy Brown (TV Series 2018– )</t>
  </si>
  <si>
    <t>My Big Fat Fabulous Life (TV Series 2015– )</t>
  </si>
  <si>
    <t>My Little Pony: Friendship Is Magic (TV Series 2010–2020)</t>
  </si>
  <si>
    <t>NCIS: Los Angeles (TV Series 2009– )</t>
  </si>
  <si>
    <t>NCIS: New Orleans (TV Series 2014– )</t>
  </si>
  <si>
    <t>Port Charles (TV Series 1997–2003)</t>
  </si>
  <si>
    <t>Queer Eye (TV Series 2018– )</t>
  </si>
  <si>
    <t>Rake (TV Series 2014)</t>
  </si>
  <si>
    <t>Running Wild with Bear Grylls (TV Series 2014– )</t>
  </si>
  <si>
    <t>S.W.A.T. (TV Series 2017– )</t>
  </si>
  <si>
    <t>Sabrina, the Animated Series (TV Series 1999–2000)</t>
  </si>
  <si>
    <t>Saved by the Bell: The College Years (TV Series 1993–1994)</t>
  </si>
  <si>
    <t>Saved by the Bell: The New Class (TV Series 1993–2000)</t>
  </si>
  <si>
    <t>Shed Seven: Live at Leeds Academy (TV Series 2011– )</t>
  </si>
  <si>
    <t>Shed Seven: Live at O2 Academy Liverpool (TV Series 2010– )</t>
  </si>
  <si>
    <t>Shed Seven: Live at York Fibbers (TV Series 2010– )</t>
  </si>
  <si>
    <t>So You Think You Can Dance Canada (TV Series 2008– )</t>
  </si>
  <si>
    <t>Storage Hunters UK (TV Series 2014– )</t>
  </si>
  <si>
    <t>Survivor (TV Series 2000– )</t>
  </si>
  <si>
    <t>The $100,000 Pyramid (TV Series 2016– )</t>
  </si>
  <si>
    <t>The Blacklist: Redemption (TV Series 2017)</t>
  </si>
  <si>
    <t>The Bletchley Circle: San Francisco (TV Series 2018– )</t>
  </si>
  <si>
    <t>The Conners (TV Series 2018– )</t>
  </si>
  <si>
    <t>The Hills: New Beginnings (TV Series 2019– )</t>
  </si>
  <si>
    <t>The Killing (TV Series 2011–2014)</t>
  </si>
  <si>
    <t>The Office (TV Series 2005–2013)</t>
  </si>
  <si>
    <t>The Powerpuff Girls (TV Series 2016– )</t>
  </si>
  <si>
    <t>The Real Housewives of Atlanta (TV Series 2008– )</t>
  </si>
  <si>
    <t>The Real Housewives of Beverly Hills (TV Series 2010– )</t>
  </si>
  <si>
    <t>The Real Housewives of New Jersey (TV Series 2009– )</t>
  </si>
  <si>
    <t>The Real Housewives of New York City (TV Series 2008– )</t>
  </si>
  <si>
    <t>The Simpsons (TV Series 1989– )</t>
  </si>
  <si>
    <t>The Tom and Jerry Show (TV Series 2014– )</t>
  </si>
  <si>
    <t>The X Factor (TV Series 2011–2013)</t>
  </si>
  <si>
    <t>Top Gear USA (TV Series 2008– )</t>
  </si>
  <si>
    <t>Twin Peaks (TV Series 2017)</t>
  </si>
  <si>
    <t>Veep (TV Series 2012–2019)</t>
  </si>
  <si>
    <t>Æon Flux (TV Series 1991–1995)</t>
  </si>
  <si>
    <t>Allen Gregory (TV Series 2011)</t>
  </si>
  <si>
    <t>Archer (TV Series 2009– )</t>
  </si>
  <si>
    <t>Beavis and Butt-Head (TV Series 1993–2011)</t>
  </si>
  <si>
    <t>Big Mouth (TV Series 2017– )</t>
  </si>
  <si>
    <t>BoJack Horseman (TV Series 2014– )</t>
  </si>
  <si>
    <t>Bordertown (TV Series 2016)</t>
  </si>
  <si>
    <t>Bromwell High (TV Series 2005– )</t>
  </si>
  <si>
    <t>Family Guy (TV Series 1999– )</t>
  </si>
  <si>
    <t>Metalocalypse (TV Series 2006–2013)</t>
  </si>
  <si>
    <t>Queen's Blade: Wandering Warrior (TV Series 2009– )</t>
  </si>
  <si>
    <t>Ren &amp; Stimpy 'Adult Party Cartoon' (TV Series 2003)</t>
  </si>
  <si>
    <t>Robot Chicken (TV Series 2005– )</t>
  </si>
  <si>
    <t>South Park (TV Series 1997– )</t>
  </si>
  <si>
    <t>Babylon 5 (TV Series 1994–1998)</t>
  </si>
  <si>
    <t>Britannia (TV Series 2017– )</t>
  </si>
  <si>
    <t>Camelot (TV Series 2011)</t>
  </si>
  <si>
    <t>Deadwood (TV Series 2004–2006)</t>
  </si>
  <si>
    <t>Heroes (TV Series 2006–2010)</t>
  </si>
  <si>
    <t>Misfits (TV Series 2009–2013)</t>
  </si>
  <si>
    <t>Rome (TV Series 2005–2007)</t>
  </si>
  <si>
    <t>Spartacus (TV Series 2010–2013)</t>
  </si>
  <si>
    <t>Stargate Origins (TV Series 2018– )</t>
  </si>
  <si>
    <t>Starhunter (TV Series 2000–2004)</t>
  </si>
  <si>
    <t>Strangers (TV Series 2018– )</t>
  </si>
  <si>
    <t>The Expanse (TV Series 2015– )</t>
  </si>
  <si>
    <t>The Outpost (TV Series 2018– )</t>
  </si>
  <si>
    <t>The Tick (TV Series 2017–2019)</t>
  </si>
  <si>
    <t>The Tudors (TV Series 2007–2010)</t>
  </si>
  <si>
    <t>Troy: Fall of a City (TV Series 2018– )</t>
  </si>
  <si>
    <t>Vikings (TV Series 2013– )</t>
  </si>
  <si>
    <t>¡Q'Viva!: The Chosen (TV Series 2012)</t>
  </si>
  <si>
    <t>10 Puppies and Us (TV Series 2017– )</t>
  </si>
  <si>
    <t>100 Code (TV Series 2015)</t>
  </si>
  <si>
    <t>100 years of automobile (TV Series 1985– )</t>
  </si>
  <si>
    <t>1000 Ways to Die (TV Series 2008–2012)</t>
  </si>
  <si>
    <t>15 Storeys High (TV Series 2002– )</t>
  </si>
  <si>
    <t>16 and Pregnant (TV Series 2009– )</t>
  </si>
  <si>
    <t>1600 Penn (TV Series 2012–2013)</t>
  </si>
  <si>
    <t>18 Wheels of Justice (TV Series 2000– )</t>
  </si>
  <si>
    <t>19 Kids and Counting (TV Series 2008–2015)</t>
  </si>
  <si>
    <t>19-2 (TV Series 2014– )</t>
  </si>
  <si>
    <t>1983 (TV Series 2018– )</t>
  </si>
  <si>
    <t>1984 (TV Series 2013– )</t>
  </si>
  <si>
    <t>2 Broke Girls (TV Series 2011–2017)</t>
  </si>
  <si>
    <t>20tantos (TV Series 2002–2003)</t>
  </si>
  <si>
    <t>21 Jump Street (TV Series 1987–1991)</t>
  </si>
  <si>
    <t>24 Hour Restaurant Battle (TV Series 2010– )</t>
  </si>
  <si>
    <t>24 Hrs to Hell and Back (TV Series 2018– )</t>
  </si>
  <si>
    <t>24 to Life (TV Series 2016– )</t>
  </si>
  <si>
    <t>2point4 Children (TV Series 1991–1999)</t>
  </si>
  <si>
    <t>3 (TV Series 2012– )</t>
  </si>
  <si>
    <t>3:00 A.M. (TV Series 2016)</t>
  </si>
  <si>
    <t>30 for 30 (TV Series 2009– )</t>
  </si>
  <si>
    <t>32 Brinkburn Street (TV Series 2011)</t>
  </si>
  <si>
    <t>35 Diwrnod (TV Mini-Series 2014– )</t>
  </si>
  <si>
    <t>48 Hours (TV Series 1988– )</t>
  </si>
  <si>
    <t>60 Days In (TV Series 2016– )</t>
  </si>
  <si>
    <t>7 Little Johnstons (TV Movie 2013)</t>
  </si>
  <si>
    <t>7 Lives Xposed (TV Series 2001– )</t>
  </si>
  <si>
    <t>7th Heaven (TV Series 1996–2007)</t>
  </si>
  <si>
    <t>8 Out of 10 Cats Does Countdown (TV Series 2012– )</t>
  </si>
  <si>
    <t>8 Simple Rules (TV Series 2002–2005)</t>
  </si>
  <si>
    <t>8.13 (TV Series 2010–2013)</t>
  </si>
  <si>
    <t>800 Words (TV Series 2015– )</t>
  </si>
  <si>
    <t>90 Day Fiancé (TV Series 2014– )</t>
  </si>
  <si>
    <t>A Bit of a Do (TV Mini-Series 1989– )</t>
  </si>
  <si>
    <t>A Bit of Fry and Laurie (TV Series 1987–1995)</t>
  </si>
  <si>
    <t>A Chance to Love (TV Series 2007– )</t>
  </si>
  <si>
    <t>A Country Practice (TV Series 1981–1993)</t>
  </si>
  <si>
    <t>A Crime to Remember (TV Series 2013– )</t>
  </si>
  <si>
    <t>A Cup of Style (TV Series 2010– )</t>
  </si>
  <si>
    <t>A Fine Romance (TV Series 1981–1984)</t>
  </si>
  <si>
    <t>A Game About Love (TV Series 2006– )</t>
  </si>
  <si>
    <t>A Gypsy Life for Me (TV Series 2010– )</t>
  </si>
  <si>
    <t>A Haunting (TV Series 2005–2019)</t>
  </si>
  <si>
    <t>A League of Their Own US Road Trip (TV Mini-Series 2017)</t>
  </si>
  <si>
    <t>A Million Little Things (TV Series 2018– )</t>
  </si>
  <si>
    <t>A Skirt Through History (TV Series 1994– )</t>
  </si>
  <si>
    <t>A Touch of Cloth (TV Series 2012–2014)</t>
  </si>
  <si>
    <t>A Touch of Frost (TV Series 1992–2010)</t>
  </si>
  <si>
    <t>A Wedding and a Murder (TV Series 2018)</t>
  </si>
  <si>
    <t>A Wicked Offer (TV Series 2015–2016)</t>
  </si>
  <si>
    <t>A Young Doctor's Notebook &amp; Other Stories (TV Series 2012–2013)</t>
  </si>
  <si>
    <t>A.P. Bio (TV Series 2018– )</t>
  </si>
  <si>
    <t>Aahat (TV Series 1996–2015)</t>
  </si>
  <si>
    <t>Aap ki Kaneez (TV Series 2014–2015)</t>
  </si>
  <si>
    <t>Aaron Stone (TV Series 2009–2010)</t>
  </si>
  <si>
    <t>Abby's (TV Series 2019– )</t>
  </si>
  <si>
    <t>About Him (TV Series 2016– )</t>
  </si>
  <si>
    <t>Above Suspicion (TV Series 2009–2012)</t>
  </si>
  <si>
    <t>Absentia (TV Series 2017– )</t>
  </si>
  <si>
    <t>Absolute Boyfriend (TV Series 2008– )</t>
  </si>
  <si>
    <t>Absolutely Fabulous (TV Series 1992–2012)</t>
  </si>
  <si>
    <t>Acceptable TV (TV Series 2007)</t>
  </si>
  <si>
    <t>According to Jim (TV Series 2001–2009)</t>
  </si>
  <si>
    <t>Ace of Cakes (TV Series 2006– )</t>
  </si>
  <si>
    <t>Ackley Bridge (TV Series 2017– )</t>
  </si>
  <si>
    <t>Acorralada (TV Series 2007–2008)</t>
  </si>
  <si>
    <t>Action League Now!! (TV Series 2003–2004)</t>
  </si>
  <si>
    <t>Adam Mach (TV Series 2016– )</t>
  </si>
  <si>
    <t>Adam Ruins Everything (TV Series 2015– )</t>
  </si>
  <si>
    <t>Adventure Time (TV Series 2010–2018)</t>
  </si>
  <si>
    <t>Adventures from the Book of Virtues (TV Series 1996– )</t>
  </si>
  <si>
    <t>Adventures of JAB (TV Series 2012– )</t>
  </si>
  <si>
    <t>Africa's Deadly Kingdoms (TV Series 2018– )</t>
  </si>
  <si>
    <t>Ah! My Goddess (TV Series 2005– )</t>
  </si>
  <si>
    <t>Air Emergency (TV Series 2003– )</t>
  </si>
  <si>
    <t>Airplane Repo (TV Series 2010– )</t>
  </si>
  <si>
    <t>Airwolf (TV Series 1984–1986)</t>
  </si>
  <si>
    <t>Alakdana (TV Series 2011– )</t>
  </si>
  <si>
    <t>Alarm für Cobra 11Die Autobahnpolizei (TV Series 1996– )</t>
  </si>
  <si>
    <t>Ales Lamka Fitness (TV Series 2014– )</t>
  </si>
  <si>
    <t>Alex, Inc. (TV Series 2018)</t>
  </si>
  <si>
    <t>Alexa &amp; Katie (TV Series 2018– )</t>
  </si>
  <si>
    <t>ALF (TV Series 1986–1990)</t>
  </si>
  <si>
    <t>Alfred J. Kwak (TV Series 1989–1991)</t>
  </si>
  <si>
    <t>Ali May ASMR (TV Series 2018– )</t>
  </si>
  <si>
    <t>Aliens in the Family (TV Series 1987– )</t>
  </si>
  <si>
    <t>Alisea and the Dream Prince (TV Movie 1996)</t>
  </si>
  <si>
    <t>All Def Comedy (TV Series 2017– )</t>
  </si>
  <si>
    <t>All Grown Up! (TV Series 2003–2008)</t>
  </si>
  <si>
    <t>All Saints (TV Series 1998–2009)</t>
  </si>
  <si>
    <t>All Souls (TV Series 2001– )</t>
  </si>
  <si>
    <t>Alleyn Mysteries (TV Series 1990–1994)</t>
  </si>
  <si>
    <t>Allo 'Allo (TV Series 1982–1992)</t>
  </si>
  <si>
    <t>Almost Home (TV Series 1993)</t>
  </si>
  <si>
    <t>Alone (TV Series 2015– )</t>
  </si>
  <si>
    <t>Alone Together (TV Series 2018)</t>
  </si>
  <si>
    <t>Always and Everyone (TV Series 1999–2002)</t>
  </si>
  <si>
    <t>America (TV Series 2005– )</t>
  </si>
  <si>
    <t>America's Book of Secrets (TV Series 2012– )</t>
  </si>
  <si>
    <t>America's Funniest Home Videos (TV Series 1989– )</t>
  </si>
  <si>
    <t>America's Next Top Model (TV Series 2003– )</t>
  </si>
  <si>
    <t>American Chainsaw (TV Series 2012– )</t>
  </si>
  <si>
    <t>American Crime Story (TV Series 2016– )</t>
  </si>
  <si>
    <t>American Dragon: Jake Long (TV Series 2005–2007)</t>
  </si>
  <si>
    <t>American Dream Builders (TV Series 2014– )</t>
  </si>
  <si>
    <t>American Dreams (TV Series 2002–2005)</t>
  </si>
  <si>
    <t>American Gods (TV Series 2017– )</t>
  </si>
  <si>
    <t>American Gothic (TV Series 1995–1996)</t>
  </si>
  <si>
    <t>American Murder Song (TV Series 2016– )</t>
  </si>
  <si>
    <t>American Odyssey (TV Series 2015)</t>
  </si>
  <si>
    <t>American Pickers (TV Series 2010– )</t>
  </si>
  <si>
    <t>American Pie (TV Series 1989– )</t>
  </si>
  <si>
    <t>American Playboy: The Hugh Hefner Story (TV Series 2017– )</t>
  </si>
  <si>
    <t>Amie and Kamil's Fitness Journey (TV Series 2017– )</t>
  </si>
  <si>
    <t>Amor de 4 (TV Series 2017– )</t>
  </si>
  <si>
    <t>Amor sin maquillaje (TV Series 2007– )</t>
  </si>
  <si>
    <t>Amphibia (TV Series 2019– )</t>
  </si>
  <si>
    <t>An Idiot Abroad (TV Series 2010–2012)</t>
  </si>
  <si>
    <t>Ancient Aliens (TV Series 2009– )</t>
  </si>
  <si>
    <t>Andi Mack (TV Series 2017–2019)</t>
  </si>
  <si>
    <t>Andrew Marr's History of the World (TV Series 2012– )</t>
  </si>
  <si>
    <t>Andy Shows (TV Series 2013–2016)</t>
  </si>
  <si>
    <t>Ang babaeng hinugot sa aking tadyang (TV Series 2009– )</t>
  </si>
  <si>
    <t>Angelic Layer (TV Series 2001– )</t>
  </si>
  <si>
    <t>Angie Tribeca (TV Series 2016– )</t>
  </si>
  <si>
    <t>Animal Armageddon (TV Series 2009– )</t>
  </si>
  <si>
    <t>Anime Abandon (TV Series 2011– )</t>
  </si>
  <si>
    <t>Anime-Gataris (TV Series 2017– )</t>
  </si>
  <si>
    <t>Anna (TV Series 2008– )</t>
  </si>
  <si>
    <t>Anna Sulc (TV Series 2015– )</t>
  </si>
  <si>
    <t>Annie Camel (TV Series 2015– )</t>
  </si>
  <si>
    <t>Annie Ki Ayegi Baraat (TV Series 2012)</t>
  </si>
  <si>
    <t>Anohana: The Flower We Saw That Day (TV Mini-Series 2011– )</t>
  </si>
  <si>
    <t>Another (TV Series 2012)</t>
  </si>
  <si>
    <t>Another Period (TV Series 2013–2018)</t>
  </si>
  <si>
    <t>Any Day Now (TV Series 1998–2002)</t>
  </si>
  <si>
    <t>Anyone But Me (TV Series 2008– )</t>
  </si>
  <si>
    <t>Aqua Teen Hunger Force (TV Series 2000–2015)</t>
  </si>
  <si>
    <t>Aquarius (TV Series 2015–2016)</t>
  </si>
  <si>
    <t>Aquí no hay quien viva (TV Series 2003–2006)</t>
  </si>
  <si>
    <t>Arab Labor (TV Series 2007– )</t>
  </si>
  <si>
    <t>Arang and the Magistrate (TV Series 2012– )</t>
  </si>
  <si>
    <t>Archie's Weird Mysteries (TV Series 1999–2000)</t>
  </si>
  <si>
    <t>Are You Afraid of the Dark? (TV Series 1990–2000)</t>
  </si>
  <si>
    <t>Are You the One? (TV Series 2014– )</t>
  </si>
  <si>
    <t>Area 88 (TV Series 2004– )</t>
  </si>
  <si>
    <t>Argai: The Prophecy (TV Series 2000–2001)</t>
  </si>
  <si>
    <t>Århundredets vidner (TV Series 1998–1999)</t>
  </si>
  <si>
    <t>Army Wives (TV Series 2007–2013)</t>
  </si>
  <si>
    <t>Around the World with Willy Fog (TV Series 1981– )</t>
  </si>
  <si>
    <t>Arrested Development (TV Series 2003– )</t>
  </si>
  <si>
    <t>Art of the Western World (TV Series 1989– )</t>
  </si>
  <si>
    <t>Artists at Work (TV Series 2006–2007)</t>
  </si>
  <si>
    <t>As Ilhas Desconhecidas (TV Series 2009– )</t>
  </si>
  <si>
    <t>As Time Goes By (TV Series 1992–2005)</t>
  </si>
  <si>
    <t>Ashes to Ashes (TV Series 2008–2010)</t>
  </si>
  <si>
    <t>Así son ellas (TV Series 2002–2003)</t>
  </si>
  <si>
    <t>Asian Treasures (TV Series 2007– )</t>
  </si>
  <si>
    <t>ASMR Darling (TV Series 2016– )</t>
  </si>
  <si>
    <t>ASMR Melina (TV Series 2019– )</t>
  </si>
  <si>
    <t>ASMR Patronus (TV Series 2017– )</t>
  </si>
  <si>
    <t>Asmrbebexo (TV Series 2012– )</t>
  </si>
  <si>
    <t>Atashinchi no danshi (TV Series 2009– )</t>
  </si>
  <si>
    <t>Atom TV (TV Series 2008–2010)</t>
  </si>
  <si>
    <t>Attack on Titan (TV Series 2013– )</t>
  </si>
  <si>
    <t>Auf Wiedersehen, Pet (TV Series 1983–2004)</t>
  </si>
  <si>
    <t>Austin &amp; Ally (TV Series 2011–2016)</t>
  </si>
  <si>
    <t>Austintatious (TV Series 2017– )</t>
  </si>
  <si>
    <t>Australian Icon Towns (TV Series 2004–2005)</t>
  </si>
  <si>
    <t>Ava-Conda ASMR (TV Series 2015– )</t>
  </si>
  <si>
    <t>Avatar: The Last Airbender (TV Series 2005–2008)</t>
  </si>
  <si>
    <t>Average Joe (TV Series 2003– )</t>
  </si>
  <si>
    <t>Avoiding Armageddon (TV Series 2003– )</t>
  </si>
  <si>
    <t>Avonlea (TV Series 1990–1996)</t>
  </si>
  <si>
    <t>Awkward. (TV Series 2011–2016)</t>
  </si>
  <si>
    <t>Ax Men (TV Series 2008– )</t>
  </si>
  <si>
    <t>Ayza Atgawez (TV Series 2010– )</t>
  </si>
  <si>
    <t>Azumanga Daioh (TV Series 2002)</t>
  </si>
  <si>
    <t>Babangon ako't dudurugin kita (TV Series 2008– )</t>
  </si>
  <si>
    <t>Babar (TV Series 1989–2002)</t>
  </si>
  <si>
    <t>Baby Daddy (TV Series 2012–2017)</t>
  </si>
  <si>
    <t>Babylon Berlin (TV Series 2017– )</t>
  </si>
  <si>
    <t>Baccano! (TV Series 2007–2008)</t>
  </si>
  <si>
    <t>Back (TV Series 2017– )</t>
  </si>
  <si>
    <t>Back from the Dead (TV Series 2013– )</t>
  </si>
  <si>
    <t>Back of the Y Masterpiece Television (TV Series 2008– )</t>
  </si>
  <si>
    <t>Back Roads (TV Series 2015–2018)</t>
  </si>
  <si>
    <t>Back to the Peaceful Sea (TV Series 2016– )</t>
  </si>
  <si>
    <t>Bad Blood (TV Mini-Series 2017– )</t>
  </si>
  <si>
    <t>Bad Girls (TV Series 1999–2006)</t>
  </si>
  <si>
    <t>Bad Move (TV Series 2017– )</t>
  </si>
  <si>
    <t>Bailey Kipper's P.O.V. (TV Series 1996)</t>
  </si>
  <si>
    <t>Bakekang (TV Series 2006– )</t>
  </si>
  <si>
    <t>Baki the Grappler (TV Series 2001–2007)</t>
  </si>
  <si>
    <t>Balika Vadhu (TV Series 2008–2016)</t>
  </si>
  <si>
    <t>Balkan ekspres (TV Series 1984– )</t>
  </si>
  <si>
    <t>Ballmastrz 9009 (TV Series 2018– )</t>
  </si>
  <si>
    <t>Balls of Steel Australia (TV Series 2011–2012)</t>
  </si>
  <si>
    <t>Bambinot (TV Series 1984– )</t>
  </si>
  <si>
    <t>Bananas in Pyjamas (TV Series 2011– )</t>
  </si>
  <si>
    <t>Bang (TV Series 2017– )</t>
  </si>
  <si>
    <t>Banned in the UK (TV Series 2005– )</t>
  </si>
  <si>
    <t>Banshee (TV Series 2013–2016)</t>
  </si>
  <si>
    <t>Baptist Spanish Language Course (TV Series 2009– )</t>
  </si>
  <si>
    <t>Bar Rescue (TV Series 2011– )</t>
  </si>
  <si>
    <t>Barbarians (TV Series 2004– )</t>
  </si>
  <si>
    <t>Barbarians Rising (TV Series 2016– )</t>
  </si>
  <si>
    <t>Bare Knuckle Fight Club (TV Series 2017– )</t>
  </si>
  <si>
    <t>Barefoot Contessa (TV Series 2002– )</t>
  </si>
  <si>
    <t>Bargain Hunt (TV Series 2000– )</t>
  </si>
  <si>
    <t>Baroness Von Sketch Show (TV Series 2016– )</t>
  </si>
  <si>
    <t>Basilisk: The Kouga Ninja Scrolls (TV Series 2005)</t>
  </si>
  <si>
    <t>Basketball Wives (TV Series 2010– )</t>
  </si>
  <si>
    <t>Battle History of the Air Force (TV Series 2003– )</t>
  </si>
  <si>
    <t>Battle History of the U. S. Coast Guard (TV Series 2004– )</t>
  </si>
  <si>
    <t>Baywatch (TV Series 1989–2001)</t>
  </si>
  <si>
    <t>BBQ Pitmasters (TV Series 2009–2015)</t>
  </si>
  <si>
    <t>Bear Behaving Badly (TV Series 2007– )</t>
  </si>
  <si>
    <t>Bear Grylls: Mission Survive (TV Series 2015– )</t>
  </si>
  <si>
    <t>Beat (TV Series 2018)</t>
  </si>
  <si>
    <t>Beautiful People (TV Series 2008– )</t>
  </si>
  <si>
    <t>Beauty and the Geek (TV Series 2005– )</t>
  </si>
  <si>
    <t>Beauty Queen Murders (TV Series 2013– )</t>
  </si>
  <si>
    <t>Becca's Bunch (TV Series 2018– )</t>
  </si>
  <si>
    <t>Beck (TV Series 1997– )</t>
  </si>
  <si>
    <t>Beck: Mongolian Chop Squad (TV Series 2004–2005)</t>
  </si>
  <si>
    <t>Becker (TV Series 1998–2004)</t>
  </si>
  <si>
    <t>Bedtime (TV Series 1996– )</t>
  </si>
  <si>
    <t>Bedtime (TV Series 2001–2003)</t>
  </si>
  <si>
    <t>BeetleBorgs (TV Series 1996–1998)</t>
  </si>
  <si>
    <t>Before We Die (TV Series 2017– )</t>
  </si>
  <si>
    <t>Before We Ruled the Earth (TV Series 2003– )</t>
  </si>
  <si>
    <t>Behind Closed Doors (TV Series 2011– )</t>
  </si>
  <si>
    <t>Behind the Music (TV Series 1997–2014)</t>
  </si>
  <si>
    <t>Being Human (TV Series 2011–2014)</t>
  </si>
  <si>
    <t>Belíssima (TV Series 2005–2006)</t>
  </si>
  <si>
    <t>Belle and Sebastian (TV Series 1981– )</t>
  </si>
  <si>
    <t>Bellevue (TV Series 2017– )</t>
  </si>
  <si>
    <t>Below Deck (TV Series 2013– )</t>
  </si>
  <si>
    <t>Below the Surface (TV Series 2017– )</t>
  </si>
  <si>
    <t>Ben &amp; Holly's Little Kingdom (TV Series 2009– )</t>
  </si>
  <si>
    <t>Ben 10 (TV Series 2005–2008)</t>
  </si>
  <si>
    <t>Ben and Kate (TV Series 2012–2013)</t>
  </si>
  <si>
    <t>Ben Slamka (TV Series 2015– )</t>
  </si>
  <si>
    <t>Beneath the Lies (TV Series 2014–2016)</t>
  </si>
  <si>
    <t>Berlin Station (TV Series 2016–2019)</t>
  </si>
  <si>
    <t>Berserk (TV Series 1997–1998)</t>
  </si>
  <si>
    <t>Bert (TV Series 1994)</t>
  </si>
  <si>
    <t>Best Walks with a View with Julia Bradbury (TV Series 2016– )</t>
  </si>
  <si>
    <t>Bethel Church Live Webcast (TV Series 2009– )</t>
  </si>
  <si>
    <t>Betrayal (TV Series 2013–2014)</t>
  </si>
  <si>
    <t>Better Things (TV Series 2016– )</t>
  </si>
  <si>
    <t>Bettkantengeschichten (TV Series 1983–1990)</t>
  </si>
  <si>
    <t>Betty White's Off Their Rockers (TV Series 2012– )</t>
  </si>
  <si>
    <t>Between the Lines (TV Series 1992–1994)</t>
  </si>
  <si>
    <t>Beverly Hills Nannies (TV Series 2012)</t>
  </si>
  <si>
    <t>Beverly Hills, 90210 (TV Series 1990–2000)</t>
  </si>
  <si>
    <t>Beyond Reality (TV Series 1991–1993)</t>
  </si>
  <si>
    <t>Beyond Wrestling Beyond Uncharted Territory (TV Series 2019– )</t>
  </si>
  <si>
    <t>Bharosa Pyar Tera (TV Series 2019)</t>
  </si>
  <si>
    <t>Bible Black (TV Series 2001– )</t>
  </si>
  <si>
    <t>X</t>
  </si>
  <si>
    <t>Bible Truth Church (TV Series 2013– )</t>
  </si>
  <si>
    <t>Big Barn Farm (TV Series 2008– )</t>
  </si>
  <si>
    <t>Big City Comedy (TV Series 1980– )</t>
  </si>
  <si>
    <t>Big City Greens (TV Series 2018– )</t>
  </si>
  <si>
    <t>Big Love (TV Series 2006–2011)</t>
  </si>
  <si>
    <t>Big Star's Bigger Star (TV Series 2018– )</t>
  </si>
  <si>
    <t>Big Train (TV Mini-Series 1998–2002)</t>
  </si>
  <si>
    <t>Bill Nye, the Science Guy (TV Series 1993–1998)</t>
  </si>
  <si>
    <t>Billy Dilley's Super-Duper Subterranean Summer (TV Series 2017)</t>
  </si>
  <si>
    <t>Bionic Six (TV Series 1987– )</t>
  </si>
  <si>
    <t>Bitten (TV Series 2014–2016)</t>
  </si>
  <si>
    <t>Bizaardvark (TV Series 2016–2019)</t>
  </si>
  <si>
    <t>Bizarre (TV Series 1980–1985)</t>
  </si>
  <si>
    <t>Bizarre Foods with Andrew Zimmern (TV Series 2006– )</t>
  </si>
  <si>
    <t>Black (TV Series 2017)</t>
  </si>
  <si>
    <t>Black Adder the Third (TV Series 1987)</t>
  </si>
  <si>
    <t>Black and White Love (TV Series 2017– )</t>
  </si>
  <si>
    <t>Black Books (TV Series 2000–2004)</t>
  </si>
  <si>
    <t>Black Butler (TV Series 2008–2010)</t>
  </si>
  <si>
    <t>Black Ink Crew (TV Series 2012– )</t>
  </si>
  <si>
    <t>Black Lagoon (TV Series 2006)</t>
  </si>
  <si>
    <t>Black Mirror (TV Series 2011– )</t>
  </si>
  <si>
    <t>Black Spot (TV Series 2017– )</t>
  </si>
  <si>
    <t>Black Tie Nights (TV Series 2004–2005)</t>
  </si>
  <si>
    <t>Black-Adder II (TV Series 1986)</t>
  </si>
  <si>
    <t>Blackadder Goes Forth (TV Series 1989)</t>
  </si>
  <si>
    <t>Blacked (TV Series 2014– )</t>
  </si>
  <si>
    <t>Blackstar (TV Series 1981–1982)</t>
  </si>
  <si>
    <t>Blaster's Universe (TV Series 1999– )</t>
  </si>
  <si>
    <t>Blaze and the Monster Machines (TV Series 2014– )</t>
  </si>
  <si>
    <t>Blind Date (TV Series 1985–2018)</t>
  </si>
  <si>
    <t>Bliss (TV Series 2002–2004)</t>
  </si>
  <si>
    <t>Blood &amp; Oil (TV Series 2015)</t>
  </si>
  <si>
    <t>Blood &amp; Treasure (TV Series 2019– )</t>
  </si>
  <si>
    <t>Blood and Honor: Youth Under Hitler (TV Series 1982– )</t>
  </si>
  <si>
    <t>Blood Drive (TV Series 2017)</t>
  </si>
  <si>
    <t>Blood-C (TV Series 2011– )</t>
  </si>
  <si>
    <t>Blood+ (TV Series 2005–2006)</t>
  </si>
  <si>
    <t>Bloodivores (TV Series 2016)</t>
  </si>
  <si>
    <t>Bloodline (TV Series 2015–2017)</t>
  </si>
  <si>
    <t>Bloomers (TV Series 2011– )</t>
  </si>
  <si>
    <t>Blossom (TV Series 1990–1995)</t>
  </si>
  <si>
    <t>Bludgeoning Angel Dokuro-chan (TV Series 2005– )</t>
  </si>
  <si>
    <t>Blue Bloods (TV Series 2010– )</t>
  </si>
  <si>
    <t>Blue Drop: Tenshi tachi no gikyoku (TV Series 2007– )</t>
  </si>
  <si>
    <t>Blue Gender (TV Series 1999–2000)</t>
  </si>
  <si>
    <t>Blue Wilderness (TV Series 1991–1992)</t>
  </si>
  <si>
    <t>Blue's Clues (TV Series 1996–2007)</t>
  </si>
  <si>
    <t>Bluestone 42 (TV Series 2013– )</t>
  </si>
  <si>
    <t>Bluewhisper (TV Series 2015– )</t>
  </si>
  <si>
    <t>Bob &amp; Doug (TV Series 2009– )</t>
  </si>
  <si>
    <t>Bob &amp; Rose (TV Series 2001– )</t>
  </si>
  <si>
    <t>Bob's Burgers (TV Series 2011– )</t>
  </si>
  <si>
    <t>Body Cam (TV Series 2018– )</t>
  </si>
  <si>
    <t>Body of Evidence (TV Series 2001– )</t>
  </si>
  <si>
    <t>Body of Proof (TV Series 2011–2013)</t>
  </si>
  <si>
    <t>Bodyguard (TV Series 2018– )</t>
  </si>
  <si>
    <t>Bodyshock.tv (TV Series 2013– )</t>
  </si>
  <si>
    <t>Boku wa Mari no naka (TV Series 2017– )</t>
  </si>
  <si>
    <t>Bomb Girls (TV Series 2012– )</t>
  </si>
  <si>
    <t>Bondi Vet (TV Series 2009– )</t>
  </si>
  <si>
    <t>Bonding (TV Series 2019– )</t>
  </si>
  <si>
    <t>Boomtown (TV Series 2002–2003)</t>
  </si>
  <si>
    <t>Boon (TV Series 1986–1992)</t>
  </si>
  <si>
    <t>Borderline (TV Series 2016– )</t>
  </si>
  <si>
    <t>Bordertown (TV Series 2016– )</t>
  </si>
  <si>
    <t>Bored to Death (TV Series 2009–2011)</t>
  </si>
  <si>
    <t>Borgia (TV Series 2011–2014)</t>
  </si>
  <si>
    <t>Boss (TV Series 2011–2012)</t>
  </si>
  <si>
    <t>Boston Med (TV Series 2010– )</t>
  </si>
  <si>
    <t>Botched (TV Series 2014– )</t>
  </si>
  <si>
    <t>Bottom (TV Series 1991–1995)</t>
  </si>
  <si>
    <t>Bounty Hunters (TV Series 2017– )</t>
  </si>
  <si>
    <t>Boy Meets Girl (TV Mini-Series 2015–2016)</t>
  </si>
  <si>
    <t>Boy Meets World (TV Series 1993–2000)</t>
  </si>
  <si>
    <t>Brain Games (TV Series 2011– )</t>
  </si>
  <si>
    <t>BrainDead (TV Series 2016)</t>
  </si>
  <si>
    <t>Brainiac: Science Abuse (TV Series 2003–2008)</t>
  </si>
  <si>
    <t>Bramwell (TV Series 1995–1998)</t>
  </si>
  <si>
    <t>BraveStarr (TV Series 1987–1989)</t>
  </si>
  <si>
    <t>Brazil Avenue (TV Series 2012)</t>
  </si>
  <si>
    <t>Bread (TV Series 1986–1991)</t>
  </si>
  <si>
    <t>Break'n Reality (TV Series 2012–2014)</t>
  </si>
  <si>
    <t>Breaking Amish (TV Series 2012– )</t>
  </si>
  <si>
    <t>Breaking Homicide (TV Series 2018– )</t>
  </si>
  <si>
    <t>Breaking Pointe (TV Series 2012– )</t>
  </si>
  <si>
    <t>Breakout Kings (TV Series 2011–2012)</t>
  </si>
  <si>
    <t>Breakthrough: With Rod Parsley (TV Series 1996– )</t>
  </si>
  <si>
    <t>Brickleberry (TV Series 2012–2015)</t>
  </si>
  <si>
    <t>Bridal Mask (TV Series 2012– )</t>
  </si>
  <si>
    <t>Brides Gone Styled (TV Series 2015– )</t>
  </si>
  <si>
    <t>Bridezillas (TV Series 2004– )</t>
  </si>
  <si>
    <t>Brimstone (TV Series 1998–1999)</t>
  </si>
  <si>
    <t>Bring 'Em Back Alive (TV Series 1982–1983)</t>
  </si>
  <si>
    <t>Brisani prostor (TV Series 1985– )</t>
  </si>
  <si>
    <t>Britain's Best Bakery (TV Series 2012– )</t>
  </si>
  <si>
    <t>Britain's Brightest Family (TV Series 2018– )</t>
  </si>
  <si>
    <t>Britain's Horror Homes (TV Series 2015– )</t>
  </si>
  <si>
    <t>British Masters (TV Mini-Series 2011–2012)</t>
  </si>
  <si>
    <t>British Men Behaving Badly (TV Series 1992–2014)</t>
  </si>
  <si>
    <t>British Primrose ASMR (TV Series 2013– )</t>
  </si>
  <si>
    <t>Broad City (TV Series 2014–2019)</t>
  </si>
  <si>
    <t>Broadchurch (TV Series 2013–2017)</t>
  </si>
  <si>
    <t>Brockmire (TV Series 2017– )</t>
  </si>
  <si>
    <t>Brojects (TV Series 2014– )</t>
  </si>
  <si>
    <t>Broken (TV Series 2019– )</t>
  </si>
  <si>
    <t>Broken Saints (TV Series 2001–2003)</t>
  </si>
  <si>
    <t>Bromans (TV Series 2017– )</t>
  </si>
  <si>
    <t>Brooklyn Bridge (TV Series 1991–1993)</t>
  </si>
  <si>
    <t>Brooklyn DA (TV Series 2013– )</t>
  </si>
  <si>
    <t>Brother vs. Brother (TV Series 2013– )</t>
  </si>
  <si>
    <t>Brotherhood (TV Series 2006–2008)</t>
  </si>
  <si>
    <t>Brotherly Love (TV Series 1995–1997)</t>
  </si>
  <si>
    <t>Brothers &amp; Sisters (TV Series 2006–2011)</t>
  </si>
  <si>
    <t>Brynhildr in the Darkness (TV Series 2014– )</t>
  </si>
  <si>
    <t>Btooom! (TV Series 2012– )</t>
  </si>
  <si>
    <t>BTS: Burn the Stage (TV Series 2018– )</t>
  </si>
  <si>
    <t>Bucket and Skinner's Epic Adventures (TV Series 2011–2013)</t>
  </si>
  <si>
    <t>Buckwild (TV Series 2013– )</t>
  </si>
  <si>
    <t>Budapest to Bamako (TV Series 2007– )</t>
  </si>
  <si>
    <t>Bug Juice (TV Series 1998–2002)</t>
  </si>
  <si>
    <t>Bull (TV Series 2016– )</t>
  </si>
  <si>
    <t>Bulletproof (TV Series 2018– )</t>
  </si>
  <si>
    <t>Bullseye (TV Series 1981– )</t>
  </si>
  <si>
    <t>Bullshit Quest (TV Series 2014– )</t>
  </si>
  <si>
    <t>Burden of Truth (TV Series 2018– )</t>
  </si>
  <si>
    <t>Burger Bar to Gourmet Star (TV Series 2015– )</t>
  </si>
  <si>
    <t>Burn Notice (TV Series 2007–2013)</t>
  </si>
  <si>
    <t>Burnistoun (TV Series 2009– )</t>
  </si>
  <si>
    <t>Buying the Beach (TV Series 2014– )</t>
  </si>
  <si>
    <t>BuzzFeed Unsolved: Supernatural (TV Series 2016– )</t>
  </si>
  <si>
    <t>Byker Grove (TV Series 1989–2006)</t>
  </si>
  <si>
    <t>Byzantium: The Lost Empire (TV Series 1997– )</t>
  </si>
  <si>
    <t>C.B. Strike (TV Series 2017– )</t>
  </si>
  <si>
    <t>Cagney &amp; Lacey (TV Series 1981–1988)</t>
  </si>
  <si>
    <t>Cake Boss (TV Series 2009– )</t>
  </si>
  <si>
    <t>Cake Wars (TV Series 2015– )</t>
  </si>
  <si>
    <t>California Dreams (TV Series 1992–1997)</t>
  </si>
  <si>
    <t>Californication (TV Series 2007–2014)</t>
  </si>
  <si>
    <t>Call of the Wildman (TV Series 2011–2014)</t>
  </si>
  <si>
    <t>Call the Cleaners (TV Series 2017– )</t>
  </si>
  <si>
    <t>Call the Midwife (TV Series 2012– )</t>
  </si>
  <si>
    <t>Camp (TV Series 2013)</t>
  </si>
  <si>
    <t>Camp Lakebottom (TV Series 2013– )</t>
  </si>
  <si>
    <t>Camp Woodward (TV Series 2008– )</t>
  </si>
  <si>
    <t>Can't Touch This (TV Series 2016– )</t>
  </si>
  <si>
    <t>Candidly Nicole (TV Series 2014– )</t>
  </si>
  <si>
    <t>Capitol Critters (TV Series 1992–1995)</t>
  </si>
  <si>
    <t>Capitol Hill (TV Series 2014– )</t>
  </si>
  <si>
    <t>Caprica (TV Series 2009–2010)</t>
  </si>
  <si>
    <t>Captain Barbell (TV Series 2006– )</t>
  </si>
  <si>
    <t>Captain Flinn and the Pirate Dinosaurs (TV Series 2015)</t>
  </si>
  <si>
    <t>Captain N: The Game Master (TV Series 1989–1991)</t>
  </si>
  <si>
    <t>Captain Planet and the Planeteers (TV Series 1990–1996)</t>
  </si>
  <si>
    <t>Captain Scarlet (TV Series 2005)</t>
  </si>
  <si>
    <t>Capture (TV Series 2013– )</t>
  </si>
  <si>
    <t>Car S.O.S. (TV Series 2013– )</t>
  </si>
  <si>
    <t>Cardcaptor Sakura (TV Series 1998–2000)</t>
  </si>
  <si>
    <t>Carfellas (TV Series 2011)</t>
  </si>
  <si>
    <t>Caribbean Food Made Easy with Levi Roots (TV Series 2009– )</t>
  </si>
  <si>
    <t>Carmilla (TV Series 2014–2016)</t>
  </si>
  <si>
    <t>Carnivàle (TV Series 2003–2005)</t>
  </si>
  <si>
    <t>Carrie Kirsten (TV Series 2014– )</t>
  </si>
  <si>
    <t>Carter (TV Series 2018– )</t>
  </si>
  <si>
    <t>Carters Get Rich (TV Series 2017– )</t>
  </si>
  <si>
    <t>Cartoon Cartoon Fridays (TV Series 2000– )</t>
  </si>
  <si>
    <t>Cartouche, le brigand magnifique (TV Movie 2009)</t>
  </si>
  <si>
    <t>Casa Castagna (TV Series 1995–1996)</t>
  </si>
  <si>
    <t>Case Sensitive (TV Mini-Series 2011–2012)</t>
  </si>
  <si>
    <t>Casey Neistat Vlog (TV Series 2015– )</t>
  </si>
  <si>
    <t>Cash Trapped (TV Series 2016– )</t>
  </si>
  <si>
    <t>Cashmere Mafia (TV Series 2008– )</t>
  </si>
  <si>
    <t>Casino Life (TV Series 2001–2002)</t>
  </si>
  <si>
    <t>Castaways (TV Series 2018– )</t>
  </si>
  <si>
    <t>Castle (TV Series 2009–2016)</t>
  </si>
  <si>
    <t>Casualty (TV Series 1986– )</t>
  </si>
  <si>
    <t>Casualty @ Holby City (TV Series 2005– )</t>
  </si>
  <si>
    <t>Cat's Eye (TV Series 1983–1985)</t>
  </si>
  <si>
    <t>Catastrophe (TV Series 2015–2019)</t>
  </si>
  <si>
    <t>Catch My Killer (TV Series 2013– )</t>
  </si>
  <si>
    <t>Catholic Cheerleaders for Satan (TV Series 2011– )</t>
  </si>
  <si>
    <t>CBC Winnipeg Comedy Festival (TV Series 2002– )</t>
  </si>
  <si>
    <t>Celebrity Deathmatch (TV Series 1998–2007)</t>
  </si>
  <si>
    <t>Celebrity Wedding Planner (TV Series 2012– )</t>
  </si>
  <si>
    <t>Celebrity Wife Swap (TV Series 2012– )</t>
  </si>
  <si>
    <t>Celebs Go Dating (TV Series 2016– )</t>
  </si>
  <si>
    <t>Celebs in Solitary (TV Series 2018– )</t>
  </si>
  <si>
    <t>Centurions (TV Series 1986)</t>
  </si>
  <si>
    <t>Cesar 911 (TV Series 2014– )</t>
  </si>
  <si>
    <t>Cetrdeset osmaZavera i izdaja (TV Series 1988– )</t>
  </si>
  <si>
    <t>Chalice Well: Lifestyle Space (TV Series 2015– )</t>
  </si>
  <si>
    <t>Challenge of the GoBots (TV Series 1984–1985)</t>
  </si>
  <si>
    <t>Champions (TV Series 2018)</t>
  </si>
  <si>
    <t>Chance (TV Series 2016–2017)</t>
  </si>
  <si>
    <t>Chappelle's Show (TV Series 2003–2006)</t>
  </si>
  <si>
    <t>Charles in Charge (TV Series 1984–1990)</t>
  </si>
  <si>
    <t>Charli Robinson Hi-5 Feet Compilation (TV Series 1999–2008)</t>
  </si>
  <si>
    <t>Charmed (TV Series 1998–2006)</t>
  </si>
  <si>
    <t>Charming Deception (TV Series 2013)</t>
  </si>
  <si>
    <t>Chasing Mummies (TV Series 2010– )</t>
  </si>
  <si>
    <t>Cheers (TV Series 1982–1993)</t>
  </si>
  <si>
    <t>Chelsea Does (TV Series 2016– )</t>
  </si>
  <si>
    <t>Chesapeake Shores (TV Series 2016– )</t>
  </si>
  <si>
    <t>Chespirito (TV Series 1980–1995)</t>
  </si>
  <si>
    <t>Childrens Hospital (TV Series 2008–2016)</t>
  </si>
  <si>
    <t>Chiquititas (TV Series 1995–2001)</t>
  </si>
  <si>
    <t>Chobits (TV Series 2002– )</t>
  </si>
  <si>
    <t>Choctaw Church of Christ (TV Series 2010– )</t>
  </si>
  <si>
    <t>Chopped (TV Series 2007– )</t>
  </si>
  <si>
    <t>Chowder (TV Series 2007–2010)</t>
  </si>
  <si>
    <t>Chrono Crusade (TV Series 2003–2004)</t>
  </si>
  <si>
    <t>Chuck Norris: Karate Kommandos (TV Series 1986)</t>
  </si>
  <si>
    <t>Cinemassacre's Monster Madness (TV Series 2007–2019)</t>
  </si>
  <si>
    <t>Citrus (TV Series 2018– )</t>
  </si>
  <si>
    <t>City Homicide (TV Series 2007–2011)</t>
  </si>
  <si>
    <t>Civil War Combat: America's Bloodiest Battles (TV Series 2000– )</t>
  </si>
  <si>
    <t>Clannad (TV Series 2007–2008)</t>
  </si>
  <si>
    <t>Clarissa (TV Series 1991– )</t>
  </si>
  <si>
    <t>Clarissa Explains It All (TV Series 1991–1994)</t>
  </si>
  <si>
    <t>Clark and Michael (TV Series 2007)</t>
  </si>
  <si>
    <t>Clatterford (TV Series 2006–2009)</t>
  </si>
  <si>
    <t>Claws (TV Series 2017– )</t>
  </si>
  <si>
    <t>Claymore (TV Series 2007)</t>
  </si>
  <si>
    <t>Clever Girl (TV Series 2015– )</t>
  </si>
  <si>
    <t>Cleverman (TV Series 2016– )</t>
  </si>
  <si>
    <t>Clinic (TV Series 2009– )</t>
  </si>
  <si>
    <t>Clocking Off (TV Series 2000–2003)</t>
  </si>
  <si>
    <t>Clone High (TV Series 2002–2003)</t>
  </si>
  <si>
    <t>Club Reps (TV Series 2001–2004)</t>
  </si>
  <si>
    <t>Coach Snoop (TV Series 2016– )</t>
  </si>
  <si>
    <t>Cobra (TV Series 1993–1994)</t>
  </si>
  <si>
    <t>Cobra the Animation (TV Series 2010– )</t>
  </si>
  <si>
    <t>Cock'd Gunns (TV Series 2007– )</t>
  </si>
  <si>
    <t>Code Geass: Lelouch of the Rebellion (TV Series 2006–2012)</t>
  </si>
  <si>
    <t>Coded Court (TV Series 2018– )</t>
  </si>
  <si>
    <t>Codename: Kids Next Door (TV Series 2002–2008)</t>
  </si>
  <si>
    <t>Coinland (TV Series 2015– )</t>
  </si>
  <si>
    <t>Cold Case (TV Series 2003–2010)</t>
  </si>
  <si>
    <t>Cold Walls (TV Series 2017– )</t>
  </si>
  <si>
    <t>Colleen Ballinger (TV Series 2006– )</t>
  </si>
  <si>
    <t>Colleen Vlogs (TV Series 2014– )</t>
  </si>
  <si>
    <t>Collierville First Pentecostal Church (TV Series 2014– )</t>
  </si>
  <si>
    <t>Colony (TV Series 2016–2018)</t>
  </si>
  <si>
    <t>Colpo grosso (TV Series 1987– )</t>
  </si>
  <si>
    <t>Combat Hospital (TV Series 2011)</t>
  </si>
  <si>
    <t>Come Home (TV Series 2018– )</t>
  </si>
  <si>
    <t>Comeback (TV Series 2008– )</t>
  </si>
  <si>
    <t>Comedy Central Presents (TV Series 1998– )</t>
  </si>
  <si>
    <t>Comedy Inc. (TV Series 2002–2007)</t>
  </si>
  <si>
    <t>Comedy Now! (TV Series 1997– )</t>
  </si>
  <si>
    <t>Commander in Chief (TV Series 2005–2006)</t>
  </si>
  <si>
    <t>Community (TV Series 2009–2015)</t>
  </si>
  <si>
    <t>Compañeros (TV Series 1998–2002)</t>
  </si>
  <si>
    <t>Cómplices al rescate (TV Series 2002– )</t>
  </si>
  <si>
    <t>Computerman (TV Series 2003–2004)</t>
  </si>
  <si>
    <t>Confab (TV Series 2012– )</t>
  </si>
  <si>
    <t>Connie &amp; Clyde (TV Series 2013– )</t>
  </si>
  <si>
    <t>Connor Undercover (TV Series 2009– )</t>
  </si>
  <si>
    <t>Conspiracy Theory with Jesse Ventura (TV Series 2009– )</t>
  </si>
  <si>
    <t>Content Cop (TV Series 2015– )</t>
  </si>
  <si>
    <t>Contessa (TV Series 2018– )</t>
  </si>
  <si>
    <t>Continuum (TV Series 2012–2015)</t>
  </si>
  <si>
    <t>CooRdy (TV Series 2015– )</t>
  </si>
  <si>
    <t>Copper (TV Series 2012–2013)</t>
  </si>
  <si>
    <t>Cops (TV Series 1989– )</t>
  </si>
  <si>
    <t>Copycat Killers (TV Series 2016– )</t>
  </si>
  <si>
    <t>Cordon (TV Series 2014– )</t>
  </si>
  <si>
    <t>Corner Gas (TV Series 2004–2009)</t>
  </si>
  <si>
    <t>Corrupt Crimes (TV Series 2015– )</t>
  </si>
  <si>
    <t>Costa del Dosh (TV Series 2002– )</t>
  </si>
  <si>
    <t>Count Arthur Strong (TV Series 2013–2017)</t>
  </si>
  <si>
    <t>Count Duckula (TV Series 1988–1993)</t>
  </si>
  <si>
    <t>Countdown (TV Series 1982– )</t>
  </si>
  <si>
    <t>Countdown: Championship of Champions (TV Series 1984– )</t>
  </si>
  <si>
    <t>Counterfeit Cat (TV Series 2016–2017)</t>
  </si>
  <si>
    <t>Counterpart (TV Series 2017–2019)</t>
  </si>
  <si>
    <t>Coupled (TV Series 2016)</t>
  </si>
  <si>
    <t>Couples Come Dine with Me (TV Series 2014– )</t>
  </si>
  <si>
    <t>Coupling (TV Series 2000–2004)</t>
  </si>
  <si>
    <t>Courage the Cowardly Dog (TV Series 1999–2002)</t>
  </si>
  <si>
    <t>Covert Affairs (TV Series 2010–2014)</t>
  </si>
  <si>
    <t>Cowboy Bebop (TV Series 1998–1999)</t>
  </si>
  <si>
    <t>Cra$h &amp; Burn (TV Series 2009–2010)</t>
  </si>
  <si>
    <t>Cracker (TV Series 1993–1996)</t>
  </si>
  <si>
    <t>Craig of the Creek (TV Series 2018– )</t>
  </si>
  <si>
    <t>Crashing (TV Series 2017–2019)</t>
  </si>
  <si>
    <t>Craziest Restaurants in America (TV Series 2015– )</t>
  </si>
  <si>
    <t>Crazy Ex-Girlfriend (TV Series 2015–2019)</t>
  </si>
  <si>
    <t>Creation Boot Camp (TV Series 2005– )</t>
  </si>
  <si>
    <t>Creation Seminar (TV Series 1999– )</t>
  </si>
  <si>
    <t>Creation Seminar (TV Series 2005– )</t>
  </si>
  <si>
    <t>Creature Comforts (TV Series 2003– )</t>
  </si>
  <si>
    <t>Creeped Out (TV Series 2017– )</t>
  </si>
  <si>
    <t>Crime 360 (TV Series 2008–2009)</t>
  </si>
  <si>
    <t>Crime Stories (TV Series 1998– )</t>
  </si>
  <si>
    <t>Criminal Minds (TV Series 2005– )</t>
  </si>
  <si>
    <t>Criminals: Caught on Camera (TV Series 2013–2015)</t>
  </si>
  <si>
    <t>Crisis (TV Series 2014)</t>
  </si>
  <si>
    <t>Cro (TV Series 1993– )</t>
  </si>
  <si>
    <t>Crossing Jordan (TV Series 2001–2007)</t>
  </si>
  <si>
    <t>Crossing Lines (TV Series 2013–2015)</t>
  </si>
  <si>
    <t>Cruising with Jane McDonald (TV Series 2017– )</t>
  </si>
  <si>
    <t>Crusoe (TV Series 2008–2009)</t>
  </si>
  <si>
    <t>CSE Bible Studies (TV Series 2016– )</t>
  </si>
  <si>
    <t>Cuckoo (TV Series 2012– )</t>
  </si>
  <si>
    <t>Cupcake Wars (TV Series 2009– )</t>
  </si>
  <si>
    <t>Curfew (TV Series 2019– )</t>
  </si>
  <si>
    <t>Curiosity (TV Series 2011– )</t>
  </si>
  <si>
    <t>Curious and Unusual Deaths (TV Series 2009– )</t>
  </si>
  <si>
    <t>Curl Girls (TV Series 2007– )</t>
  </si>
  <si>
    <t>Cutebunny992 ASMR (TV Series 2014– )</t>
  </si>
  <si>
    <t>Cutting It (TV Series 2002–2005)</t>
  </si>
  <si>
    <t>Cyber Secrets (TV Series 2013– )</t>
  </si>
  <si>
    <t>Cyberchase (TV Series 2002– )</t>
  </si>
  <si>
    <t>Cybill (TV Series 1995–1998)</t>
  </si>
  <si>
    <t>Da Vinci's Demons (TV Series 2013–2015)</t>
  </si>
  <si>
    <t>Dabing Street (TV Series 2017– )</t>
  </si>
  <si>
    <t>Dallas Cowboys Cheerleaders: Making the Team (TV Series 2006– )</t>
  </si>
  <si>
    <t>Dalziel and Pascoe (TV Series 1996–2007)</t>
  </si>
  <si>
    <t>Dáma a Král (TV Series 2017– )</t>
  </si>
  <si>
    <t>Damnation (TV Series 2017–2018)</t>
  </si>
  <si>
    <t>Dance Academy (TV Series 2010–2013)</t>
  </si>
  <si>
    <t>Dance Moms (TV Series 2011– )</t>
  </si>
  <si>
    <t>Dancing with the Stars (TV Series 2005– )</t>
  </si>
  <si>
    <t>Danger Mouse (TV Series 1981–1992)</t>
  </si>
  <si>
    <t>Dangerfield (TV Series 1995–1999)</t>
  </si>
  <si>
    <t>Daniel Tiger's Neighborhood (TV Series 2012– )</t>
  </si>
  <si>
    <t>Daniel Xavier (TV Series 2016– )</t>
  </si>
  <si>
    <t>Danny Phantom (TV Series 2004–2007)</t>
  </si>
  <si>
    <t>Dante's Cove (TV Series 2004– )</t>
  </si>
  <si>
    <t>Dara O Briain: School of Hard Sums (TV Series 2012– )</t>
  </si>
  <si>
    <t>Daria (TV Series 1997–2001)</t>
  </si>
  <si>
    <t>Dark (TV Series 2017– )</t>
  </si>
  <si>
    <t>Dark Angel (TV Series 2000–2002)</t>
  </si>
  <si>
    <t>Dark Days in Monkey City (TV Series 2009– )</t>
  </si>
  <si>
    <t>Dark Matter (TV Series 2015–2017)</t>
  </si>
  <si>
    <t>Dark Matters: Twisted But True (TV Series 2011– )</t>
  </si>
  <si>
    <t>Dark Net (TV Series 2016– )</t>
  </si>
  <si>
    <t>Dark Shadows (TV Series 1991)</t>
  </si>
  <si>
    <t>Dark Skies (TV Series 1996–1997)</t>
  </si>
  <si>
    <t>Darker Than Black: Gemini of the Meteor (TV Series 2007–2010)</t>
  </si>
  <si>
    <t>Darkwing Duck (TV Series 1991–1992)</t>
  </si>
  <si>
    <t>DARLING in the FRANXX (TV Series 2018– )</t>
  </si>
  <si>
    <t>Darna (TV Series 2005– )</t>
  </si>
  <si>
    <t>Datel (TV Series 2012– )</t>
  </si>
  <si>
    <t>Dates from Hell (TV Series 2012– )</t>
  </si>
  <si>
    <t>Dating in the Dark (TV Series 2009– )</t>
  </si>
  <si>
    <t>Dawson's Creek (TV Series 1998–2003)</t>
  </si>
  <si>
    <t>Day Break (TV Series 2006–2007)</t>
  </si>
  <si>
    <t>DCI Banks (TV Series 2010–2016)</t>
  </si>
  <si>
    <t>De la B a la Z (TV Series 2011– )</t>
  </si>
  <si>
    <t>Dead at 21 (TV Series 1994– )</t>
  </si>
  <si>
    <t>Dead Like Me (TV Series 2003–2004)</t>
  </si>
  <si>
    <t>Dead Man's Gun (TV Series 1997–1999)</t>
  </si>
  <si>
    <t>Dead of Summer (TV Series 2016)</t>
  </si>
  <si>
    <t>Dead Silent (TV Series 2016– )</t>
  </si>
  <si>
    <t>Deadbeat (TV Series 2014–2016)</t>
  </si>
  <si>
    <t>Deadliest Catch (TV Series 2005– )</t>
  </si>
  <si>
    <t>Deadly Affairs (TV Series 2012– )</t>
  </si>
  <si>
    <t>Deadly Nightmares (TV Series 1983–1991)</t>
  </si>
  <si>
    <t>Deadly Rain (TV Series 2015– )</t>
  </si>
  <si>
    <t>Deadly Sins (TV Series 2012– )</t>
  </si>
  <si>
    <t>Deadly Women (TV Series 2008– )</t>
  </si>
  <si>
    <t>Deadwind (TV Series 2018–2020)</t>
  </si>
  <si>
    <t>Deal with It (TV Series 2013– )</t>
  </si>
  <si>
    <t>Death in Paradise (TV Series 2011– )</t>
  </si>
  <si>
    <t>Death Note (TV Series 2006–2007)</t>
  </si>
  <si>
    <t>Deathly Spirits (TV Series 2015– )</t>
  </si>
  <si>
    <t>Decker (TV Series 2014– )</t>
  </si>
  <si>
    <t>Decoded (TV Series 2010– )</t>
  </si>
  <si>
    <t>Deep State (TV Series 2018– )</t>
  </si>
  <si>
    <t>Defending the Guilty (TV Mini-Series 2018– )</t>
  </si>
  <si>
    <t>Defiance (TV Series 2013–2015)</t>
  </si>
  <si>
    <t>Defying Gravity (TV Series 2009)</t>
  </si>
  <si>
    <t>Dejiny udatného ceského národa (TV Series 2010–2012)</t>
  </si>
  <si>
    <t>Delicious (TV Series 2016– )</t>
  </si>
  <si>
    <t>Deliver Me (TV Series 2008– )</t>
  </si>
  <si>
    <t>Delocated (TV Series 2009–2013)</t>
  </si>
  <si>
    <t>Dendy Memories (TV Series 2012– )</t>
  </si>
  <si>
    <t>Dennis &amp; Gnasher (TV Series 2009–2013)</t>
  </si>
  <si>
    <t>Derek Acorah's Ghost Towns (TV Series 2005– )</t>
  </si>
  <si>
    <t>Derek and Simon: The Show (TV Series 2007– )</t>
  </si>
  <si>
    <t>Derren Brown: Trick of the Mind (TV Series 2004– )</t>
  </si>
  <si>
    <t>Derry Girls (TV Series 2017– )</t>
  </si>
  <si>
    <t>Designated Survivor (TV Series 2016–2019)</t>
  </si>
  <si>
    <t>Desiring God (TV Series 2003– )</t>
  </si>
  <si>
    <t>Desperate Housewives (TV Series 2004–2012)</t>
  </si>
  <si>
    <t>Destinos: An Introduction to Spanish (TV Series 1992– )</t>
  </si>
  <si>
    <t>Destiny Love (TV Series 2008– )</t>
  </si>
  <si>
    <t>Destiny of the Shrine Maiden (TV Series 2004– )</t>
  </si>
  <si>
    <t>Det gode liv (TV Series 2005– )</t>
  </si>
  <si>
    <t>Detective Conan (TV Series 1996– )</t>
  </si>
  <si>
    <t>Detectorists (TV Series 2014– )</t>
  </si>
  <si>
    <t>Deteqtivebi (TV Series 2010– )</t>
  </si>
  <si>
    <t>Deutschland 83 (TV Series 2015)</t>
  </si>
  <si>
    <t>Development Hell (TV Series 2013– )</t>
  </si>
  <si>
    <t>Devious Maids (TV Series 2013–2016)</t>
  </si>
  <si>
    <t>Dexter (TV Series 2006–2013)</t>
  </si>
  <si>
    <t>Dexter's Laboratory (TV Series 1996–2003)</t>
  </si>
  <si>
    <t>Di Gi Charat Nyo (TV Series 2003–2004)</t>
  </si>
  <si>
    <t>Diablero (TV Series 2018– )</t>
  </si>
  <si>
    <t>Diagnosis Murder (TV Series 1993–2001)</t>
  </si>
  <si>
    <t>Dial 4 Detective (TV Series 2014– )</t>
  </si>
  <si>
    <t>Diaries from Wonderland (TV Series 2014– )</t>
  </si>
  <si>
    <t>Dickens (TV Series 2002– )</t>
  </si>
  <si>
    <t>Dickensian (TV Series 2015–2016)</t>
  </si>
  <si>
    <t>Dickinson (TV Series 2019– )</t>
  </si>
  <si>
    <t>Dickinson's Real Deal (TV Series 2006– )</t>
  </si>
  <si>
    <t>Dicte: Crime Reporter (TV Series 2012–2016)</t>
  </si>
  <si>
    <t>Diddy Movies (TV Series 2012– )</t>
  </si>
  <si>
    <t>Die FallersEine Schwarzwaldfamilie (TV Series 1994– )</t>
  </si>
  <si>
    <t>Diese Drombuschs (TV Series 1983–1994)</t>
  </si>
  <si>
    <t>Dietland (TV Series 2018)</t>
  </si>
  <si>
    <t>Digby Dragon (TV Series 2016– )</t>
  </si>
  <si>
    <t>Digimon: Digital Monsters (TV Series 1999–2003)</t>
  </si>
  <si>
    <t>Dil Kya Karay (TV Series 2019)</t>
  </si>
  <si>
    <t>Dimension 404 (TV Series 2017– )</t>
  </si>
  <si>
    <t>Diners, Drive-ins and Dives (TV Series 2006– )</t>
  </si>
  <si>
    <t>Dinner at Tiffani's (TV Series 2014– )</t>
  </si>
  <si>
    <t>Dinner Date (TV Series 2010–2017)</t>
  </si>
  <si>
    <t>Dinnerladies (TV Series 1998–2000)</t>
  </si>
  <si>
    <t>Dino Dan (TV Series 2010– )</t>
  </si>
  <si>
    <t>Dinosaur King (TV Series 2007–2008)</t>
  </si>
  <si>
    <t>Dinosaur Train (TV Series 2009–2019)</t>
  </si>
  <si>
    <t>Dinosaurs (TV Series 1991–1994)</t>
  </si>
  <si>
    <t>Dinotopia (TV Series 2002–2003)</t>
  </si>
  <si>
    <t>Dinotrux (TV Series 2015–2017)</t>
  </si>
  <si>
    <t>Dirty Jobs (TV Series 2005–2012)</t>
  </si>
  <si>
    <t>Dirty Money (TV Series 2018– )</t>
  </si>
  <si>
    <t>Dirty Sanchez (TV Series 2002– )</t>
  </si>
  <si>
    <t>Dirty Santa (TV Series 2014– )</t>
  </si>
  <si>
    <t>Disappeared (TV Series 2009–2018)</t>
  </si>
  <si>
    <t>Discovery TRVLR (TV Series 2017–2018)</t>
  </si>
  <si>
    <t>Disney's Fairy Tale Weddings (TV Series 2017– )</t>
  </si>
  <si>
    <t>Divorce (TV Series 2016– )</t>
  </si>
  <si>
    <t>Do No Harm (TV Series 2013)</t>
  </si>
  <si>
    <t>Do Not Forget (TV Series 2005– )</t>
  </si>
  <si>
    <t>Doble kara (TV Series 2015–2017)</t>
  </si>
  <si>
    <t>Doc McStuffins (TV Series 2012– )</t>
  </si>
  <si>
    <t>Doctor Doctor (TV Series 2016– )</t>
  </si>
  <si>
    <t>Doctor Foster (TV Series 2015– )</t>
  </si>
  <si>
    <t>Does Someone Have to Go? (TV Series 2013– )</t>
  </si>
  <si>
    <t>Dog Bites Man (TV Series 2006– )</t>
  </si>
  <si>
    <t>Dog Whisperer with Cesar Millan (TV Series 2004–2016)</t>
  </si>
  <si>
    <t>Dog with a Blog (TV Series 2012–2015)</t>
  </si>
  <si>
    <t>Dogs in the City (TV Series 2012– )</t>
  </si>
  <si>
    <t>Doktor Martin (TV Series 2015– )</t>
  </si>
  <si>
    <t>Dolgaya doroga v dyunakh (TV Series 1980– )</t>
  </si>
  <si>
    <t>Dollface (TV Series 2019– )</t>
  </si>
  <si>
    <t>Dollhouse (TV Series 2009–2010)</t>
  </si>
  <si>
    <t>Dolmen (TV Series 2005– )</t>
  </si>
  <si>
    <t>Domi Novak (TV Series 2013– )</t>
  </si>
  <si>
    <t>Dominion (TV Series 2014–2015)</t>
  </si>
  <si>
    <t>Don't Be Tardy... (TV Series 2012– )</t>
  </si>
  <si>
    <t>Don't Tell the Bride (TV Series 2007– )</t>
  </si>
  <si>
    <t>Doogie Howser, M.D. (TV Series 1989–1993)</t>
  </si>
  <si>
    <t>Dope (TV Series 2017– )</t>
  </si>
  <si>
    <t>Doraemon (TV Series 2005– )</t>
  </si>
  <si>
    <t>Dormitoryo (TV Series 2013– )</t>
  </si>
  <si>
    <t>Dotto! Koni-chan (TV Series 2000)</t>
  </si>
  <si>
    <t>Double Exposure (TV Series 1997– )</t>
  </si>
  <si>
    <t>Double Your House for Half the Money (TV Series 2012– )</t>
  </si>
  <si>
    <t>Down to Earth (TV Series 2000–2005)</t>
  </si>
  <si>
    <t>Downton Abbey (TV Series 2010–2015)</t>
  </si>
  <si>
    <t>Dr. 90210 (TV Series 2004– )</t>
  </si>
  <si>
    <t>Dr. Kent Hovind Q&amp;A (TV Series 2015– )</t>
  </si>
  <si>
    <t>Dr. Pimple Popper (TV Series 2018– )</t>
  </si>
  <si>
    <t>Dr. Slump (TV Series 1981– )</t>
  </si>
  <si>
    <t>Drake &amp; Josh (TV Series 2004–2007)</t>
  </si>
  <si>
    <t>Drawn Together (TV Series 2004–2007)</t>
  </si>
  <si>
    <t>Dream High (TV Series 2011– )</t>
  </si>
  <si>
    <t>Drive (TV Series 2007– )</t>
  </si>
  <si>
    <t>Drive in (TV Series 1983–1988)</t>
  </si>
  <si>
    <t>Drop Dead Diva (TV Series 2009–2014)</t>
  </si>
  <si>
    <t>Drug Lords (TV Series 2018– )</t>
  </si>
  <si>
    <t>Drugs, Inc. (TV Series 2010– )</t>
  </si>
  <si>
    <t>Drunk History (TV Series 2007–2011)</t>
  </si>
  <si>
    <t>Duck Dodgers (TV Series 2003–2005)</t>
  </si>
  <si>
    <t>Duckie (TV Series 2016– )</t>
  </si>
  <si>
    <t>Duckman: Private Dick/Family Man (TV Series 1994–1997)</t>
  </si>
  <si>
    <t>Duel Masters (TV Series 2004– )</t>
  </si>
  <si>
    <t>Duets (TV Series 2012)</t>
  </si>
  <si>
    <t>Durarara!! (TV Series 2010)</t>
  </si>
  <si>
    <t>Durham County (TV Series 2007– )</t>
  </si>
  <si>
    <t>Duty of Facebook (TV Series 2014– )</t>
  </si>
  <si>
    <t>Dva tátové (TV Series 2018– )</t>
  </si>
  <si>
    <t>Dying to Belong (TV Series 2018– )</t>
  </si>
  <si>
    <t>Dynamo: Magician Impossible (TV Series 2011–2014)</t>
  </si>
  <si>
    <t>E! True Hollywood Story (TV Series 1996– )</t>
  </si>
  <si>
    <t>E/R (TV Series 1984–1985)</t>
  </si>
  <si>
    <t>EastEnders (TV Series 1985– )</t>
  </si>
  <si>
    <t>Eastsiders (TV Series 2012– )</t>
  </si>
  <si>
    <t>Eaux troubles du crime (TV Series 2007– )</t>
  </si>
  <si>
    <t>ECW Wrestling TNN (TV Series 1999– )</t>
  </si>
  <si>
    <t>Ed (TV Series 2000–2004)</t>
  </si>
  <si>
    <t>Ed, Edd n Eddy (TV Series 1999–2008)</t>
  </si>
  <si>
    <t>Eda, ya lyublyu tebya! (TV Series 2015– )</t>
  </si>
  <si>
    <t>Eden (TV Series 1993– )</t>
  </si>
  <si>
    <t>Eden of the East (TV Series 2009)</t>
  </si>
  <si>
    <t>Eden's Bowy (TV Series 1999– )</t>
  </si>
  <si>
    <t>Edge of Desire (TV Series 2017)</t>
  </si>
  <si>
    <t>El auténtico Rodrigo Leal (TV Series 2005)</t>
  </si>
  <si>
    <t>El Cazador de la Bruja (TV Series 2007– )</t>
  </si>
  <si>
    <t>El Peyero Enmascarado (TV Series 2013)</t>
  </si>
  <si>
    <t>El privilegio de amar (TV Series 1998–1999)</t>
  </si>
  <si>
    <t>El Rostro de la Venganza (TV Series 2012– )</t>
  </si>
  <si>
    <t>El secreto de Puente Viejo (TV Series 2011– )</t>
  </si>
  <si>
    <t>El Señor de la Querencia (TV Series 2008)</t>
  </si>
  <si>
    <t>El Shahroura (TV Series 2011– )</t>
  </si>
  <si>
    <t>El Show de Marquez &amp; Montero and Company (TV Series 2015)</t>
  </si>
  <si>
    <t>El siguiente programa (TV Series 1997–2000)</t>
  </si>
  <si>
    <t>Eleventh Hour (TV Series 2008–2009)</t>
  </si>
  <si>
    <t>Eli Roth's History of Horror (TV Series 2018)</t>
  </si>
  <si>
    <t>Elisa di Rivombrosa (TV Series 2003– )</t>
  </si>
  <si>
    <t>Elite (TV Series 2018– )</t>
  </si>
  <si>
    <t>Ellen (TV Series 1994–1998)</t>
  </si>
  <si>
    <t>Elly &amp; Jools (TV Series 1990)</t>
  </si>
  <si>
    <t>Emil Fitness (TV Series 2016– )</t>
  </si>
  <si>
    <t>Empire (TV Series 2014–2015)</t>
  </si>
  <si>
    <t>Empty Nest (TV Series 1988–1995)</t>
  </si>
  <si>
    <t>En prácticas (TV Series 2010– )</t>
  </si>
  <si>
    <t>Encore! (TV Series 2017– )</t>
  </si>
  <si>
    <t>Enlightened (TV Series 2011–2013)</t>
  </si>
  <si>
    <t>Enterprice (TV Movie 2017)</t>
  </si>
  <si>
    <t>Entourage (TV Series 2004–2011)</t>
  </si>
  <si>
    <t>Epic Meal Empire (TV Series 2014– )</t>
  </si>
  <si>
    <t>Episodes (TV Series 2011–2017)</t>
  </si>
  <si>
    <t>Epitafios (TV Series 2004– )</t>
  </si>
  <si>
    <t>ER (TV Series 1994–2009)</t>
  </si>
  <si>
    <t>Ergo Proxy (TV Series 2006)</t>
  </si>
  <si>
    <t>Erotic Confessions (TV Series 1994– )</t>
  </si>
  <si>
    <t>Escaflowne (TV Series 1996– )</t>
  </si>
  <si>
    <t>Escape Routes (TV Series 2012)</t>
  </si>
  <si>
    <t>Escape to River Cottage (TV Series 1999)</t>
  </si>
  <si>
    <t>Escape to the Chateau (TV Series 2016–2018)</t>
  </si>
  <si>
    <t>Etaten (TV Series 2006– )</t>
  </si>
  <si>
    <t>Eureka (TV Series 2006–2012)</t>
  </si>
  <si>
    <t>Eurotrash (TV Series 1993–2016)</t>
  </si>
  <si>
    <t>Eve (TV Series 2015– )</t>
  </si>
  <si>
    <t>Even Stevens (TV Series 2000–2003)</t>
  </si>
  <si>
    <t>Ever Decreasing Circles (TV Series 1984–1989)</t>
  </si>
  <si>
    <t>Every Witch Way (TV Series 2014–2018)</t>
  </si>
  <si>
    <t>Everybody Loves Raymond (TV Series 1996–2005)</t>
  </si>
  <si>
    <t>Everything Sucks! (TV Series 2018)</t>
  </si>
  <si>
    <t>Everything Wrong with... (TV Series 2012– )</t>
  </si>
  <si>
    <t>Everything's Rosie (TV Series 2010– )</t>
  </si>
  <si>
    <t>Evil Con Carne (TV Series 2003–2004)</t>
  </si>
  <si>
    <t>Evil Twins (TV Series 2012– )</t>
  </si>
  <si>
    <t>Ex on the Beach (TV Series 2014–2018)</t>
  </si>
  <si>
    <t>Excel Saga (TV Series 1999–2001)</t>
  </si>
  <si>
    <t>Exit 57 (TV Series 1995–1996)</t>
  </si>
  <si>
    <t>Expedition Overland (TV Series 2013– )</t>
  </si>
  <si>
    <t>Exploring China: A Culinary Adventure (TV Series 2012– )</t>
  </si>
  <si>
    <t>Extras (TV Series 2005–2007)</t>
  </si>
  <si>
    <t>Extreme Dinosaurs (TV Series 1997)</t>
  </si>
  <si>
    <t>Extreme Makeover (TV Series 2002–2007)</t>
  </si>
  <si>
    <t>Extreme Schools (TV Mini-Series 2013– )</t>
  </si>
  <si>
    <t>Extreme Weight Loss (TV Series 2011– )</t>
  </si>
  <si>
    <t>Eyes on the Prize (TV Series 1987–1990)</t>
  </si>
  <si>
    <t>Eyewitness (TV Series 2016– )</t>
  </si>
  <si>
    <t>EZ Streets (TV Series 1996–1997)</t>
  </si>
  <si>
    <t>Fabulous Cakes (TV Series 2010– )</t>
  </si>
  <si>
    <t>Face Off (TV Series 2011– )</t>
  </si>
  <si>
    <t>Facing Evil (TV Series 2010– )</t>
  </si>
  <si>
    <t>Fact or Faked: Paranormal Files (TV Series 2010– )</t>
  </si>
  <si>
    <t>Failepsik (TV Series 2017– )</t>
  </si>
  <si>
    <t>Fair City (TV Series 1989– )</t>
  </si>
  <si>
    <t>Fairly Legal (TV Series 2011–2012)</t>
  </si>
  <si>
    <t>Fairy Tale Police Department (TV Series 2002)</t>
  </si>
  <si>
    <t>Faithful Word Baptist Church (TV Series 2007– )</t>
  </si>
  <si>
    <t>Faithfully (TV Series 2012– )</t>
  </si>
  <si>
    <t>Falcon Beach (TV Series 2006–2007)</t>
  </si>
  <si>
    <t>Fallet (TV Series 2017– )</t>
  </si>
  <si>
    <t>Falling in Sabei Well (TV Series 1994– )</t>
  </si>
  <si>
    <t>Falling Skies (TV Series 2011–2015)</t>
  </si>
  <si>
    <t>False Flag (TV Series 2015– )</t>
  </si>
  <si>
    <t>Fam (TV Series 2018– )</t>
  </si>
  <si>
    <t>Family Business (TV Series 2003– )</t>
  </si>
  <si>
    <t>Family Food Fight (TV Series 2019– )</t>
  </si>
  <si>
    <t>Family Matters (TV Series 1989–1998)</t>
  </si>
  <si>
    <t>Family Ties (TV Series 1982–1989)</t>
  </si>
  <si>
    <t>Family Tools (TV Series 2013)</t>
  </si>
  <si>
    <t>Famous in Love (TV Series 2017–2018)</t>
  </si>
  <si>
    <t>Fangbone! (TV Series 2014– )</t>
  </si>
  <si>
    <t>Fantomcat (TV Series 1995–1996)</t>
  </si>
  <si>
    <t>Farouk Omar (TV Series 2012– )</t>
  </si>
  <si>
    <t>Farscape (TV Series 1999–2003)</t>
  </si>
  <si>
    <t>Fashion Star (TV Series 2012– )</t>
  </si>
  <si>
    <t>Fast Layne (TV Series 2019)</t>
  </si>
  <si>
    <t>Fast N' Loud (TV Series 2012– )</t>
  </si>
  <si>
    <t>Fat and Back (TV Series 2015– )</t>
  </si>
  <si>
    <t>Fat Families (TV Series 2010– )</t>
  </si>
  <si>
    <t>Fatal Attraction (TV Series 2013– )</t>
  </si>
  <si>
    <t>Fatal Vows (TV Series 2012– )</t>
  </si>
  <si>
    <t>Fauda (TV Series 2015– )</t>
  </si>
  <si>
    <t>Fear Factor (TV Series 2001–2012)</t>
  </si>
  <si>
    <t>Félix (TV Series 2018)</t>
  </si>
  <si>
    <t>Fellowship Baptist Church Coney Island (TV Series 2012– )</t>
  </si>
  <si>
    <t>Femme Fatales (TV Series 2011–2012)</t>
  </si>
  <si>
    <t>Fifty and Embarrassing (TV Series 2017)</t>
  </si>
  <si>
    <t>Fight Quest (TV Series 2007– )</t>
  </si>
  <si>
    <t>Fíkus (TV Series 2015– )</t>
  </si>
  <si>
    <t>Filthy Rich &amp; Catflap (TV Series 1987– )</t>
  </si>
  <si>
    <t>Final Days of Planet Earth (TV Movie 2006)</t>
  </si>
  <si>
    <t>Find Me in Paris (TV Series 2018–2020)</t>
  </si>
  <si>
    <t>Finders Keepers (TV Series 1991)</t>
  </si>
  <si>
    <t>Finding Bigfoot (TV Series 2011– )</t>
  </si>
  <si>
    <t>Finding Carter (TV Series 2014–2015)</t>
  </si>
  <si>
    <t>Finding Stuff Out (TV Series 2012– )</t>
  </si>
  <si>
    <t>Finding Your Roots with Henry Louis Gates, Jr. (TV Series 2012– )</t>
  </si>
  <si>
    <t>First Dates (TV Series 2013– )</t>
  </si>
  <si>
    <t>First Team: Juventus (TV Series 2018– )</t>
  </si>
  <si>
    <t>First United Pentecostal Church of Augusta, Maine (TV Series 2013– )</t>
  </si>
  <si>
    <t>First Wave (TV Series 1998–2001)</t>
  </si>
  <si>
    <t>Fish Police (TV Series 1992)</t>
  </si>
  <si>
    <t>Fist of the North Star (TV Series 1984–1988)</t>
  </si>
  <si>
    <t>Fixer Upper (TV Series 2013–2018)</t>
  </si>
  <si>
    <t>Flack (TV Series 2019– )</t>
  </si>
  <si>
    <t>Flame of Recca (TV Series 1997–1998)</t>
  </si>
  <si>
    <t>Flashforward (TV Series 2009–2010)</t>
  </si>
  <si>
    <t>Flashing Lives (TV Series 2011– )</t>
  </si>
  <si>
    <t>Flashpoint (TV Series 2008–2012)</t>
  </si>
  <si>
    <t>Fleabag (TV Series 2016–2019)</t>
  </si>
  <si>
    <t>Flickers! (TV Series 2014– )</t>
  </si>
  <si>
    <t>Flint Town (TV Series 2018– )</t>
  </si>
  <si>
    <t>Flip or Flop (TV Series 2013– )</t>
  </si>
  <si>
    <t>Flipper &amp; Lopaka (TV Series 1999–2005)</t>
  </si>
  <si>
    <t>Flipping Out (TV Series 2007– )</t>
  </si>
  <si>
    <t>Floating Kitchen (TV Series 2007– )</t>
  </si>
  <si>
    <t>Florrie's Dragons (TV Series 2010– )</t>
  </si>
  <si>
    <t>Flowers of Evil (TV Series 2013– )</t>
  </si>
  <si>
    <t>Follow the Money (TV Series 2016– )</t>
  </si>
  <si>
    <t>Fonejacker (TV Series 2007–2008)</t>
  </si>
  <si>
    <t>Food and Drink (TV Series 1982–2015)</t>
  </si>
  <si>
    <t>Food Fighters (TV Series 2013– )</t>
  </si>
  <si>
    <t>Food Unwrapped (TV Series 2012– )</t>
  </si>
  <si>
    <t>Food: Fact or Fiction? (TV Series 2015– )</t>
  </si>
  <si>
    <t>Food(ography) (TV Series 2010– )</t>
  </si>
  <si>
    <t>Fool Britannia (TV Series 2012– )</t>
  </si>
  <si>
    <t>Footballers' Wives (TV Series 2002–2006)</t>
  </si>
  <si>
    <t>For You in Full BlossomIkemen Paradise(TV Series 2007– )</t>
  </si>
  <si>
    <t>Forbidden Island (TV Series 1999– )</t>
  </si>
  <si>
    <t>Foreign Exchange (TV Series 2004)</t>
  </si>
  <si>
    <t>Forensic Files (TV Series 1996–2011)</t>
  </si>
  <si>
    <t>Forensic Investigators (TV Series 2004– )</t>
  </si>
  <si>
    <t>Forever (TV Series 2014–2015)</t>
  </si>
  <si>
    <t>Forever Knight (TV Series 1992–1996)</t>
  </si>
  <si>
    <t>Forever Summer with Nigella (TV Series 2002– )</t>
  </si>
  <si>
    <t>Fornemmelse for snyd (TV Series 2003– )</t>
  </si>
  <si>
    <t>Forty Weight (TV Series 2011– )</t>
  </si>
  <si>
    <t>Foster's Home for Imaginary Friends (TV Series 2004–2009)</t>
  </si>
  <si>
    <t>Four in a Bed (TV Series 2010– )</t>
  </si>
  <si>
    <t>Four on the Floor (TV Series 1985– )</t>
  </si>
  <si>
    <t>Four Weddings (TV Series 2009– )</t>
  </si>
  <si>
    <t>Foursome (TV Series 2016– )</t>
  </si>
  <si>
    <t>Foyle's War (TV Series 2002–2015)</t>
  </si>
  <si>
    <t>Framed (TV Series 2007– )</t>
  </si>
  <si>
    <t>Francisco the Mathematician (TV Series 1999–2017)</t>
  </si>
  <si>
    <t>Frankie Drake Mysteries (TV Series 2017– )</t>
  </si>
  <si>
    <t>Franklin &amp; Bash (TV Series 2011–2014)</t>
  </si>
  <si>
    <t>Franny's Feet (TV Series 2003– )</t>
  </si>
  <si>
    <t>Freakish (TV Series 2016–2018)</t>
  </si>
  <si>
    <t>Freaks and Geeks (TV Series 1999–2000)</t>
  </si>
  <si>
    <t>Fred (TV Series 2008–2010)</t>
  </si>
  <si>
    <t>Freddy's Nightmares (TV Series 1988–1990)</t>
  </si>
  <si>
    <t>Fredrikssons fabrikk (TV Series 1990–1993)</t>
  </si>
  <si>
    <t>Free Rein (TV Series 2017– )</t>
  </si>
  <si>
    <t>Freemove Honza (TV Series 2013– )</t>
  </si>
  <si>
    <t>Freemove Miky (TV Series 2014– )</t>
  </si>
  <si>
    <t>Freescoot Official (TV Series 2013– )</t>
  </si>
  <si>
    <t>French Fields (TV Series 1989–1991)</t>
  </si>
  <si>
    <t>Fresh Fields (TV Series 1984–1986)</t>
  </si>
  <si>
    <t>Fresh Hell (TV Series 2011– )</t>
  </si>
  <si>
    <t>Fresh Meat (TV Series 2011–2016)</t>
  </si>
  <si>
    <t>Freshers (TV Series 2010– )</t>
  </si>
  <si>
    <t>Friends (TV Series 1994–2004)</t>
  </si>
  <si>
    <t>Friends from College (TV Series 2017– )</t>
  </si>
  <si>
    <t>FrivolousFox ASMR (TV Series 2016– )</t>
  </si>
  <si>
    <t>Frontier (TV Series 2016– )</t>
  </si>
  <si>
    <t>Frozen Heart (TV Series 2012– )</t>
  </si>
  <si>
    <t>Full House (TV Series 1987–1995)</t>
  </si>
  <si>
    <t>Fullmetal Alchemist (TV Series 2003–2004)</t>
  </si>
  <si>
    <t>Fullmetal Alchemist: Brotherhood (TV Series 2009–2012)</t>
  </si>
  <si>
    <t>Funny or Die Presents... (TV Series 2010– )</t>
  </si>
  <si>
    <t>Further Back in Time for Dinner (TV Series 2017– )</t>
  </si>
  <si>
    <t>Fushigi YûgiThe Mysterious Play (TV Series 1995–2002)</t>
  </si>
  <si>
    <t>Futurama (TV Series 1999–2013)</t>
  </si>
  <si>
    <t>Future-Worm! (TV Series 2015– )</t>
  </si>
  <si>
    <t>FutureWeapons (TV Series 2006– )</t>
  </si>
  <si>
    <t>G String Divas (TV Series 2000– )</t>
  </si>
  <si>
    <t>Ga-rei: Zero (TV Series 2008– )</t>
  </si>
  <si>
    <t>Gabrielle Clement (TV Series 2013– )</t>
  </si>
  <si>
    <t>Gabrielle Hecl (TV Series 2014– )</t>
  </si>
  <si>
    <t>Gakuen Alice (TV Series 2004– )</t>
  </si>
  <si>
    <t>Galtar and the Golden Lance (TV Series 1985–1986)</t>
  </si>
  <si>
    <t>Game Knights (TV Series 2012– )</t>
  </si>
  <si>
    <t>Game of Silence (TV Series 2016)</t>
  </si>
  <si>
    <t>Game Shakers (TV Series 2015–2019)</t>
  </si>
  <si>
    <t>Gantz (TV Series 2004)</t>
  </si>
  <si>
    <t>Gargoyles (TV Series 1994–1996)</t>
  </si>
  <si>
    <t>Gary the Rat (TV Series 2003)</t>
  </si>
  <si>
    <t>Gaycation (TV Series 2016– )</t>
  </si>
  <si>
    <t>Gear Heads (TV Series 2014– )</t>
  </si>
  <si>
    <t>Genesis Week (TV Series 2011– )</t>
  </si>
  <si>
    <t>Get Up, Stand Up (TV Series 2003– )</t>
  </si>
  <si>
    <t>GetTheLouk (TV Series 2011– )</t>
  </si>
  <si>
    <t>Getting Doug with High (TV Series 2013– )</t>
  </si>
  <si>
    <t>Getting On (TV Series 2013–2015)</t>
  </si>
  <si>
    <t>Ghost Adventures (TV Series 2008– )</t>
  </si>
  <si>
    <t>Ghost Hound (TV Series 2007– )</t>
  </si>
  <si>
    <t>Ghost Hunters International (TV Series 2008– )</t>
  </si>
  <si>
    <t>Ghost Lab (TV Series 2009– )</t>
  </si>
  <si>
    <t>Ghost Whisperer (TV Series 2005–2010)</t>
  </si>
  <si>
    <t>Ghosted (TV Series 2017)</t>
  </si>
  <si>
    <t>Ghostwriter (TV Series 1992–1995)</t>
  </si>
  <si>
    <t>Gibi ASMR (TV Series 2015– )</t>
  </si>
  <si>
    <t>Gigantic (TV Series 2010–2011)</t>
  </si>
  <si>
    <t>Gigolos (TV Series 2011– )</t>
  </si>
  <si>
    <t>Gilmore Girls (TV Series 2000–2007)</t>
  </si>
  <si>
    <t>Gimme Sugar (TV Series 2008– )</t>
  </si>
  <si>
    <t>Ginger ASMR (TV Series 2019– )</t>
  </si>
  <si>
    <t>Girl Meets World (TV Series 2014–2017)</t>
  </si>
  <si>
    <t>Girls (TV Series 2012–2017)</t>
  </si>
  <si>
    <t>Girls Bravo (TV Series 2004– )</t>
  </si>
  <si>
    <t>Girls on Top (TV Series 1985–1986)</t>
  </si>
  <si>
    <t>Gladiators (TV Series 1992–2000)</t>
  </si>
  <si>
    <t>GLOW (TV Series 2017– )</t>
  </si>
  <si>
    <t>Goa Goals (TV Series 2013)</t>
  </si>
  <si>
    <t>Godparents (TV Series 1999)</t>
  </si>
  <si>
    <t>Golden Time (TV Series 2013– )</t>
  </si>
  <si>
    <t>Golden Years (TV Series 1991– )</t>
  </si>
  <si>
    <t>Golgo 13 (TV Series 2008–2009)</t>
  </si>
  <si>
    <t>Goliath (TV Series 2016– )</t>
  </si>
  <si>
    <t>Goliath Awaits (TV Movie 1981)</t>
  </si>
  <si>
    <t>Gone (TV Series 2017– )</t>
  </si>
  <si>
    <t>Gone Fishing (TV Series 1986–1987)</t>
  </si>
  <si>
    <t>Good Behavior (TV Series 2016–2017)</t>
  </si>
  <si>
    <t>Good Eats (TV Series 1999–2012)</t>
  </si>
  <si>
    <t>Good Girls (TV Series 2018– )</t>
  </si>
  <si>
    <t>Good Luck Charlie (TV Series 2010–2014)</t>
  </si>
  <si>
    <t>Good Trouble (TV Series 2019– )</t>
  </si>
  <si>
    <t>Good vs Evil (TV Series 1999–2000)</t>
  </si>
  <si>
    <t>Goodnight Sweetheart (TV Series 1993–2016)</t>
  </si>
  <si>
    <t>Goof Troop (TV Series 1992–1993)</t>
  </si>
  <si>
    <t>Gooische vrouwen (TV Series 2005–2009)</t>
  </si>
  <si>
    <t>Gortimer Gibbon's Life on Normal Street (TV Series 2014– )</t>
  </si>
  <si>
    <t>Grandfathered (TV Series 2015–2016)</t>
  </si>
  <si>
    <t>Grave Secrets (TV Series 2016– )</t>
  </si>
  <si>
    <t>Gravity (TV Series 2010)</t>
  </si>
  <si>
    <t>Gravity Falls (TV Series 2012–2016)</t>
  </si>
  <si>
    <t>Greece Uncovered (TV Series 1998– )</t>
  </si>
  <si>
    <t>Greek Lessons for KJV-Only Baptists (TV Series 2013– )</t>
  </si>
  <si>
    <t>Green Wing (TV Series 2004–2007)</t>
  </si>
  <si>
    <t>Großstadtrevier (TV Series 1986– )</t>
  </si>
  <si>
    <t>Grounded for Life (TV Series 2001–2005)</t>
  </si>
  <si>
    <t>Growing Pains (TV Series 1985–1992)</t>
  </si>
  <si>
    <t>GTO: Great Teacher Onizuka (TV Series 1998– )</t>
  </si>
  <si>
    <t>Gu Family Book (TV Series 2013– )</t>
  </si>
  <si>
    <t>Gumapang ka sa lusak (TV Series 2010)</t>
  </si>
  <si>
    <t>Gungrave (TV Series 2003–2004)</t>
  </si>
  <si>
    <t>Gunslingers (TV Series 2014– )</t>
  </si>
  <si>
    <t>Guy Code (TV Series 2011–2015)</t>
  </si>
  <si>
    <t>Gwen ASMR (TV Series 2017– )</t>
  </si>
  <si>
    <t>H£ir Hunt£rs (TV Series 2007– )</t>
  </si>
  <si>
    <t>H2o (TV Series 2004– )</t>
  </si>
  <si>
    <t>H2O: Just Add Water (TV Series 2006–2010)</t>
  </si>
  <si>
    <t>H2O: Mermaid Adventures (TV Series 2015– )</t>
  </si>
  <si>
    <t>h3h3Productions (TV Series 2013– )</t>
  </si>
  <si>
    <t>Hahamakin ang lahat (TV Series 2016– )</t>
  </si>
  <si>
    <t>Halt and Catch Fire (TV Series 2014–2017)</t>
  </si>
  <si>
    <t>Hamster in a Nightshirt (TV Series 1987– )</t>
  </si>
  <si>
    <t>Hand of God (TV Series 2014–2017)</t>
  </si>
  <si>
    <t>Hang Time (TV Series 1995–2000)</t>
  </si>
  <si>
    <t>Hank Zipzer (TV Series 2014– )</t>
  </si>
  <si>
    <t>Hannah Montana (TV Series 2006–2011)</t>
  </si>
  <si>
    <t>Hap and Leonard (TV Series 2016– )</t>
  </si>
  <si>
    <t>Haplos (TV Series 2017– )</t>
  </si>
  <si>
    <t>Happily Divorced (TV Series 2011–2013)</t>
  </si>
  <si>
    <t>Happy Endings (TV Series 2011–2013)</t>
  </si>
  <si>
    <t>Happy Town (TV Series 2010)</t>
  </si>
  <si>
    <t>Happy Tree Friends (TV Series 1999– )</t>
  </si>
  <si>
    <t>Happy Valley (TV Series 2014– )</t>
  </si>
  <si>
    <t>Happy! (TV Series 2017–2019)</t>
  </si>
  <si>
    <t>Hard Time on Planet Earth (TV Series 1989)</t>
  </si>
  <si>
    <t>Hare+Guu (TV Series 2001– )</t>
  </si>
  <si>
    <t>Harrow (TV Series 2018– )</t>
  </si>
  <si>
    <t>Harry (TV Series 2013)</t>
  </si>
  <si>
    <t>Harry Enfield and Chums (TV Series 1994–1999)</t>
  </si>
  <si>
    <t>Harsh Realm (TV Series 1999–2000)</t>
  </si>
  <si>
    <t>Hart of Dixie (TV Series 2011–2015)</t>
  </si>
  <si>
    <t>Harvard Court (TV Series 2012– )</t>
  </si>
  <si>
    <t>Harvey Birdman, Attorney at Law (TV Series 2000–2007)</t>
  </si>
  <si>
    <t>Hasta que el dinero nos separe (TV Series 2009–2010)</t>
  </si>
  <si>
    <t>Hatched (TV Series 2015– )</t>
  </si>
  <si>
    <t>Haven (TV Series 2010–2015)</t>
  </si>
  <si>
    <t>Hawthorne (TV Series 2009–2011)</t>
  </si>
  <si>
    <t>Hear No Evil (TV Series 2017– )</t>
  </si>
  <si>
    <t>Heartbeat (TV Series 1992–2010)</t>
  </si>
  <si>
    <t>Heavy Rescue: 401 (TV Series 2016– )</t>
  </si>
  <si>
    <t>Hebburn (TV Series 2012– )</t>
  </si>
  <si>
    <t>Heer (TV Series 2016–2017)</t>
  </si>
  <si>
    <t>Heimat 2: Chronicle of a Generation (TV Series 1992)</t>
  </si>
  <si>
    <t>Helix (TV Series 2014–2015)</t>
  </si>
  <si>
    <t>Hell Girl (TV Series 2005–2006)</t>
  </si>
  <si>
    <t>Hell on Wheels (TV Series 2011–2016)</t>
  </si>
  <si>
    <t>Hello Ladies (TV Series 2013–2014)</t>
  </si>
  <si>
    <t>Help! My House Is Haunted (TV Series 2018– )</t>
  </si>
  <si>
    <t>Hendysovo Doupe (TV Series 2016– )</t>
  </si>
  <si>
    <t>Henry Danger (TV Series 2014– )</t>
  </si>
  <si>
    <t>Henry Hugglemonster (TV Series 2013– )</t>
  </si>
  <si>
    <t>Hercules (TV Series 1998–1999)</t>
  </si>
  <si>
    <t>Hercules: The Legendary Journeys (TV Series 1995–1999)</t>
  </si>
  <si>
    <t>Here Comes Honey Boo Boo (TV Series 2012–2017)</t>
  </si>
  <si>
    <t>Heritage Baptist Church (TV Series 2014– )</t>
  </si>
  <si>
    <t>Heroes of the Public Sector (TV Series 2019– )</t>
  </si>
  <si>
    <t>Hetalia: Axis Powers (TV Series 2009– )</t>
  </si>
  <si>
    <t>Hetty Feather (TV Series 2015– )</t>
  </si>
  <si>
    <t>Hetty Wainthropp Investigates (TV Series 1996–1998)</t>
  </si>
  <si>
    <t>Hey Arnold! (TV Series 1994–2004)</t>
  </si>
  <si>
    <t>Hey Dad..! (TV Series 1987–1994)</t>
  </si>
  <si>
    <t>Hey Meisha (TV Series 2019– )</t>
  </si>
  <si>
    <t>Hi-5 (TV Series 2003–2009)</t>
  </si>
  <si>
    <t>Hi-de-Hi! (TV Series 1980–1988)</t>
  </si>
  <si>
    <t>Hidden (TV Series 2018– )</t>
  </si>
  <si>
    <t>Hidden Truths (TV Series 2015)</t>
  </si>
  <si>
    <t>High School Confidential (TV Series 2008– )</t>
  </si>
  <si>
    <t>High School DxD (TV Series 2012– )</t>
  </si>
  <si>
    <t>High Society (TV Series 1995– )</t>
  </si>
  <si>
    <t>Highway Thru Hell (TV Series 2011– )</t>
  </si>
  <si>
    <t>Hilda (TV Series 2018–2020)</t>
  </si>
  <si>
    <t>Hill Street Blues (TV Series 1981–1987)</t>
  </si>
  <si>
    <t>Hillbilly Handfishin' (TV Movie 2010)</t>
  </si>
  <si>
    <t>Him &amp; Her (TV Series 2010–2013)</t>
  </si>
  <si>
    <t>Himitsu: Top SecretThe Revelation (TV Series 2008– )</t>
  </si>
  <si>
    <t>Hinterland (TV Series 2013– )</t>
  </si>
  <si>
    <t>His and Her Circumstances (TV Series 1998– )</t>
  </si>
  <si>
    <t>History Bites (TV Series 1998–2008)</t>
  </si>
  <si>
    <t>History's Lost &amp; Found (TV Series 1999–2005)</t>
  </si>
  <si>
    <t>Hive Minds (TV Series 2015– )</t>
  </si>
  <si>
    <t>Hoarders (TV Series 2009– )</t>
  </si>
  <si>
    <t>Holby City (TV Series 1999– )</t>
  </si>
  <si>
    <t>Hold the Sunset (TV Series 2018– )</t>
  </si>
  <si>
    <t>Holey Moley (TV Series 2019– )</t>
  </si>
  <si>
    <t>Holiday Baking Championship (TV Series 2014– )</t>
  </si>
  <si>
    <t>Hollyoaks (TV Series 1995– )</t>
  </si>
  <si>
    <t>Hollywood Game Night (TV Series 2013– )</t>
  </si>
  <si>
    <t>Hollywood Horrors (TV Series 2018– )</t>
  </si>
  <si>
    <t>Hollywood Medium (TV Series 2016– )</t>
  </si>
  <si>
    <t>Hollywood the Golden Years: The RKO Story (TV Series 1987– )</t>
  </si>
  <si>
    <t>Home and Away (TV Series 1988– )</t>
  </si>
  <si>
    <t>Home Brewed (TV Series 2012– )</t>
  </si>
  <si>
    <t>Home Cooking Made Easy (TV Series 2011– )</t>
  </si>
  <si>
    <t>Home Fires (TV Series 2015–2016)</t>
  </si>
  <si>
    <t>Home Free (TV Series 2015– )</t>
  </si>
  <si>
    <t>Home Improvement (TV Series 1991–1999)</t>
  </si>
  <si>
    <t>Home Movies (TV Series 1999–2004)</t>
  </si>
  <si>
    <t>Homefront (TV Series 1991–1993)</t>
  </si>
  <si>
    <t>Homicide City (TV Series 2018– )</t>
  </si>
  <si>
    <t>Homicide Hunter: Lt. Joe Kenda (TV Series 2011– )</t>
  </si>
  <si>
    <t>Honest (TV Series 2008– )</t>
  </si>
  <si>
    <t>Hoof and Safety with Nuzzle and Scratch (TV Series 2010– )</t>
  </si>
  <si>
    <t>Hope &amp; Faith (TV Series 2003–2006)</t>
  </si>
  <si>
    <t>Horizon (TV Mini-Series 2015– )</t>
  </si>
  <si>
    <t>Horror Hotel (TV Series 2013– )</t>
  </si>
  <si>
    <t>Hospital Central (TV Series 2000–2012)</t>
  </si>
  <si>
    <t>Hospital IT (TV Series 2017– )</t>
  </si>
  <si>
    <t>Hostages (TV Series 2013–2014)</t>
  </si>
  <si>
    <t>Hot in Cleveland (TV Series 2010–2015)</t>
  </si>
  <si>
    <t>Hot Line (TV Series 1994– )</t>
  </si>
  <si>
    <t>Hot Properties (TV Series 2005)</t>
  </si>
  <si>
    <t>Hot Pursuit (TV Series 1984– )</t>
  </si>
  <si>
    <t>Hot Summer Down Under (TV Series 1998– )</t>
  </si>
  <si>
    <t>Hotbox (TV Series 2009– )</t>
  </si>
  <si>
    <t>Hotel Babylon (TV Series 2006–2009)</t>
  </si>
  <si>
    <t>Hotel Cæsar (TV Series 1998– )</t>
  </si>
  <si>
    <t>Hotel Hell (TV Series 2012– )</t>
  </si>
  <si>
    <t>Hotel Impossible (TV Series 2012– )</t>
  </si>
  <si>
    <t>House (TV Series 2004–2012)</t>
  </si>
  <si>
    <t>House Doctor (TV Series 1998– )</t>
  </si>
  <si>
    <t>House of DMaaj (TV Series 2018– )</t>
  </si>
  <si>
    <t>House of Horrors: Kidnapped (TV Series 2014– )</t>
  </si>
  <si>
    <t>House of Mouse (TV Series 2001–2002)</t>
  </si>
  <si>
    <t>House of Saud: A Family at War (TV Series 2018– )</t>
  </si>
  <si>
    <t>How Do I Look? (TV Series 2004– )</t>
  </si>
  <si>
    <t>How Do They Do It? (TV Series 2006– )</t>
  </si>
  <si>
    <t>How I Met Your Mother (TV Series 2005–2014)</t>
  </si>
  <si>
    <t>How It's Made (TV Series 2001– )</t>
  </si>
  <si>
    <t>How It's Made: American Made (TV Series 2017– )</t>
  </si>
  <si>
    <t>How the Universe Works (TV Series 2010– )</t>
  </si>
  <si>
    <t>How to Lose Weight Well (TV Series 2016– )</t>
  </si>
  <si>
    <t>How to Make It in America (TV Series 2010–2011)</t>
  </si>
  <si>
    <t>HowToBasic (TV Series 2011– )</t>
  </si>
  <si>
    <t>Huff (TV Series 2004–2006)</t>
  </si>
  <si>
    <t>Hull High (TV Series 1990– )</t>
  </si>
  <si>
    <t>Human Giant (TV Series 2007–2008)</t>
  </si>
  <si>
    <t>Human Target (TV Series 2010–2011)</t>
  </si>
  <si>
    <t>Human Weapon (TV Series 2007– )</t>
  </si>
  <si>
    <t>Hunderby (TV Mini-Series 2012– )</t>
  </si>
  <si>
    <t>Hung (TV Series 2009–2011)</t>
  </si>
  <si>
    <t>Hunted (TV Series 2017– )</t>
  </si>
  <si>
    <t>Hunter (TV Series 1984–1991)</t>
  </si>
  <si>
    <t>Hunter Street (TV Series 2017– )</t>
  </si>
  <si>
    <t>Hunting Hitler (TV Series 2015– )</t>
  </si>
  <si>
    <t>Hustle (TV Series 2004–2012)</t>
  </si>
  <si>
    <t>Hyperdimension Neptunia (TV Series 2013– )</t>
  </si>
  <si>
    <t>Hyvien ihmisten kylä (TV Series 1993–1994)</t>
  </si>
  <si>
    <t>I (Almost) Got Away with It (TV Series 2010– )</t>
  </si>
  <si>
    <t>I Am Cait (TV Series 2015– )</t>
  </si>
  <si>
    <t>I Am Jazz (TV Series 2015– )</t>
  </si>
  <si>
    <t>I Am the Night (TV Mini-Series 2019)</t>
  </si>
  <si>
    <t>I Didn't Do It (TV Series 2014–2015)</t>
  </si>
  <si>
    <t>I Didn't Know I Was Pregnant (TV Series 2008– )</t>
  </si>
  <si>
    <t>I Feel Bad (TV Series 2018– )</t>
  </si>
  <si>
    <t>I Hate Everything: the Search for the Worst (TV Series 2014– )</t>
  </si>
  <si>
    <t>I Married a Princess (TV Series 2005)</t>
  </si>
  <si>
    <t>I Married Dora (TV Series 1987–1988)</t>
  </si>
  <si>
    <t>I Remember Nelson (TV Series 1982– )</t>
  </si>
  <si>
    <t>I Ship It (TV Series 2016– )</t>
  </si>
  <si>
    <t>I vse-taki ya lyublyu... (TV Series 2008– )</t>
  </si>
  <si>
    <t>I Wanna Marry 'Harry' (TV Series 2014)</t>
  </si>
  <si>
    <t>I'll Fly Away (TV Series 1991–1993)</t>
  </si>
  <si>
    <t>I'll Get This (TV Series 2018– )</t>
  </si>
  <si>
    <t>I'm a Celebrity, Get Me Out of Here! (TV Series 2002– )</t>
  </si>
  <si>
    <t>I'm Alan Partridge (TV Series 1997–2002)</t>
  </si>
  <si>
    <t>I'm Dying Up Here (TV Series 2017–2018)</t>
  </si>
  <si>
    <t>I'm Having Their Baby (TV Series 2012– )</t>
  </si>
  <si>
    <t>I'm Pregnant and... (TV Series 2009– )</t>
  </si>
  <si>
    <t>I'm Sorry (TV Series 2017– )</t>
  </si>
  <si>
    <t>Ibiza Uncovered (TV Series 1998– )</t>
  </si>
  <si>
    <t>iCarly (TV Series 2007–2012)</t>
  </si>
  <si>
    <t>Ice Cold Gold (TV Series 2013– )</t>
  </si>
  <si>
    <t>Ice Cold Killers (TV Series 2012– )</t>
  </si>
  <si>
    <t>Ice Pilots NWT (TV Series 2009–2014)</t>
  </si>
  <si>
    <t>Ice Road Truckers (TV Series 2007– )</t>
  </si>
  <si>
    <t>Içerde (TV Series 2016–2017)</t>
  </si>
  <si>
    <t>Ich bin ein Star, holt mich hier raus! (TV Series 2004– )</t>
  </si>
  <si>
    <t>Idiotsitter (TV Series 2014– )</t>
  </si>
  <si>
    <t>If Loving You Is Wrong (TV Series 2014– )</t>
  </si>
  <si>
    <t>Ika-5 utos (TV Series 2018– )</t>
  </si>
  <si>
    <t>Ikaro (TV Series 2013– )</t>
  </si>
  <si>
    <t>Ikki tôsen: Dragon Destiny (TV Series 2003– )</t>
  </si>
  <si>
    <t>Iljimae (TV Series 2008– )</t>
  </si>
  <si>
    <t>Imortal (TV Series 2010–2011)</t>
  </si>
  <si>
    <t>Important Things with Demetri Martin (TV Series 2009–2010)</t>
  </si>
  <si>
    <t>Imposters (TV Series 2017– )</t>
  </si>
  <si>
    <t>Impostora (TV Series 2007)</t>
  </si>
  <si>
    <t>Impractical Jokers (TV Series 2011– )</t>
  </si>
  <si>
    <t>Impulse (TV Series 2018– )</t>
  </si>
  <si>
    <t>In Contempt (TV Series 2018– )</t>
  </si>
  <si>
    <t>In Kgantse &amp; Kenny's Paradise (TV Series 2014– )</t>
  </si>
  <si>
    <t>In Living Color (TV Series 1990–1994)</t>
  </si>
  <si>
    <t>In Our Lives (TV Series 1980–1994)</t>
  </si>
  <si>
    <t>In Plain Sight (TV Series 2008–2012)</t>
  </si>
  <si>
    <t>In Search of Perfection (TV Series 2006–2007)</t>
  </si>
  <si>
    <t>In the Big House (TV Series 2012– )</t>
  </si>
  <si>
    <t>In the Cut (TV Series 2015– )</t>
  </si>
  <si>
    <t>In the Flesh (TV Series 2013–2014)</t>
  </si>
  <si>
    <t>In the Long Run (TV Series 2018– )</t>
  </si>
  <si>
    <t>In the Name of Love (TV Series 2008–2009)</t>
  </si>
  <si>
    <t>In The Nick Of Time (TV Series 2005–2007)</t>
  </si>
  <si>
    <t>In Touch with Charles Stanley (TV Series 1990– )</t>
  </si>
  <si>
    <t>Independence Year 4 Kidz (TV Series 2013– )</t>
  </si>
  <si>
    <t>Indian Food Made Easy (TV Series 2007– )</t>
  </si>
  <si>
    <t>Infernal Realities (TV Series 2018– )</t>
  </si>
  <si>
    <t>Infested! (TV Series 2011– )</t>
  </si>
  <si>
    <t>Informer (TV Series 2018– )</t>
  </si>
  <si>
    <t>InHumanoids (TV Series 1986– )</t>
  </si>
  <si>
    <t>Ink Master (TV Series 2012– )</t>
  </si>
  <si>
    <t>Innocent Love (TV Series 2008– )</t>
  </si>
  <si>
    <t>Inocente de ti (TV Series 2004–2005)</t>
  </si>
  <si>
    <t>Insatiable (TV Series 2018– )</t>
  </si>
  <si>
    <t>Inside American Jail (TV Series 2007– )</t>
  </si>
  <si>
    <t>Inside Look: The People v. O.J. SimpsonAmerican Crime Story (TV Series 2016)</t>
  </si>
  <si>
    <t>Inside No. 9 (TV Series 2014– )</t>
  </si>
  <si>
    <t>Inside Windsor Castle (TV Series 2017)</t>
  </si>
  <si>
    <t>Inspector Gadget (TV Series 1983–1986)</t>
  </si>
  <si>
    <t>Inspector George Gently (TV Series 2007–2017)</t>
  </si>
  <si>
    <t>Inspector Lewis (TV Series 2006–2015)</t>
  </si>
  <si>
    <t>Inspector Morse (TV Series 1987–2000)</t>
  </si>
  <si>
    <t>Instant Mom (TV Series 2013–2015)</t>
  </si>
  <si>
    <t>Instruktor (TV Series 2010– )</t>
  </si>
  <si>
    <t>Intelekt-shou LG Evryka! (TV Series 2001–2006)</t>
  </si>
  <si>
    <t>Intelligence (TV Series 2014)</t>
  </si>
  <si>
    <t>Intervention (TV Series 2005– )</t>
  </si>
  <si>
    <t>Into the Dark (TV Series 2018– )</t>
  </si>
  <si>
    <t>Intruders (TV Series 1992– )</t>
  </si>
  <si>
    <t>Inuyasha (TV Series 2000–2004)</t>
  </si>
  <si>
    <t>Invader ZIM (TV Series 2001–2004)</t>
  </si>
  <si>
    <t>Invasion (TV Series 2005–2006)</t>
  </si>
  <si>
    <t>Invasion America (TV Series 1998– )</t>
  </si>
  <si>
    <t>Invisible Heroes (TV Series 2019– )</t>
  </si>
  <si>
    <t>Irgendwie und sowieso (TV Series 1986– )</t>
  </si>
  <si>
    <t>Iron Fist (TV Series 2017–2018)</t>
  </si>
  <si>
    <t>Irrational Heart (TV Series 2011)</t>
  </si>
  <si>
    <t>Isabel (TV Series 2011–2014)</t>
  </si>
  <si>
    <t>Israel Moment (TV Series 2014– )</t>
  </si>
  <si>
    <t>Issues (TV Series 2012– )</t>
  </si>
  <si>
    <t>It Could Be Worse (TV Series 2013– )</t>
  </si>
  <si>
    <t>It Was Alright in the... (TV Series 2014– )</t>
  </si>
  <si>
    <t>It's a Hard Goth Life (TV Series 2016– )</t>
  </si>
  <si>
    <t>It's All Relative (TV Series 2003–2004)</t>
  </si>
  <si>
    <t>It's Always Sunny in Philadelphia (TV Series 2005– )</t>
  </si>
  <si>
    <t>It's Me or the Dog (TV Series 2005–2008)</t>
  </si>
  <si>
    <t>Iznogoud (TV Series 1995– )</t>
  </si>
  <si>
    <t>Ja'mie: Private School Girl (TV Series 2013)</t>
  </si>
  <si>
    <t>Jack &amp; Bobby (TV Series 2004–2005)</t>
  </si>
  <si>
    <t>Jack of All Trades (TV Series 2000)</t>
  </si>
  <si>
    <t>Jack Whitehall: Travels with My Father (TV Series 2017– )</t>
  </si>
  <si>
    <t>Jackass (TV Series 2000–2007)</t>
  </si>
  <si>
    <t>JAG (TV Series 1995–2005)</t>
  </si>
  <si>
    <t>Jakers! The Adventures of Piggley Winks (TV Series 2003–2005)</t>
  </si>
  <si>
    <t>Jamestown (TV Series 2017– )</t>
  </si>
  <si>
    <t>Jamillah and Aladdin (TV Series 2015– )</t>
  </si>
  <si>
    <t>Jan Hanko (TV Series 2017– )</t>
  </si>
  <si>
    <t>Jana Kotysan (TV Series 2017– )</t>
  </si>
  <si>
    <t>Jane (TV Series 1982–1984)</t>
  </si>
  <si>
    <t>Janet King (TV Series 2014– )</t>
  </si>
  <si>
    <t>Jeeves and Wooster (TV Series 1990–1993)</t>
  </si>
  <si>
    <t>JellybeanASMR (TV Series 2014– )</t>
  </si>
  <si>
    <t>Jem (TV Series 1985–1988)</t>
  </si>
  <si>
    <t>Jericho (TV Series 2006–2008)</t>
  </si>
  <si>
    <t>Jersey Shore (TV Series 2009–2012)</t>
  </si>
  <si>
    <t>Jessie (TV Series 2011–2015)</t>
  </si>
  <si>
    <t>Jesus &amp; Josefine (TV Series 2003)</t>
  </si>
  <si>
    <t>Jetstream (TV Series 2008– )</t>
  </si>
  <si>
    <t>Jill &amp; Jessa Counting On (TV Series 2015– )</t>
  </si>
  <si>
    <t>Jimmy Two-Shoes (TV Series 2009–2011)</t>
  </si>
  <si>
    <t>Jitka Novácková (TV Series 2017– )</t>
  </si>
  <si>
    <t>Jmenuju Se Martin (TV Series 2014– )</t>
  </si>
  <si>
    <t>Joan of Arcadia (TV Series 2003–2005)</t>
  </si>
  <si>
    <t>Joaquin Bordado (TV Series 2008– )</t>
  </si>
  <si>
    <t>Joe Millionaire (TV Series 2003)</t>
  </si>
  <si>
    <t>John Safran vs. God (TV Series 2004)</t>
  </si>
  <si>
    <t>Johnny Bravo (TV Series 1997–2004)</t>
  </si>
  <si>
    <t>Johnny Test (TV Series 2005–2014)</t>
  </si>
  <si>
    <t>Jon &amp; Kate Plus 8 (TV Series 2007–2009)</t>
  </si>
  <si>
    <t>Jon Benjamin Has a Van (TV Series 2011)</t>
  </si>
  <si>
    <t>Jonathan Bird's Blue World (TV Series 2008– )</t>
  </si>
  <si>
    <t>Jonathan Creek (TV Series 1997–2016)</t>
  </si>
  <si>
    <t>Jonny Briggs (TV Series 1985–1987)</t>
  </si>
  <si>
    <t>Jordskott (TV Series 2015– )</t>
  </si>
  <si>
    <t>Judas Goat (TV Series 2014– )</t>
  </si>
  <si>
    <t>Judge John Deed (TV Series 2001–2007)</t>
  </si>
  <si>
    <t>Judge Judy (TV Series 1996– )</t>
  </si>
  <si>
    <t>Judge Rinder (TV Series 2014– )</t>
  </si>
  <si>
    <t>Judge Romesh (TV Series 2018– )</t>
  </si>
  <si>
    <t>Judging Amy (TV Series 1999–2005)</t>
  </si>
  <si>
    <t>Juliet Bravo (TV Series 1980–1985)</t>
  </si>
  <si>
    <t>Jumpers for Goalposts (TV Series 2001– )</t>
  </si>
  <si>
    <t>Jungle Junction (TV Series 2009– )</t>
  </si>
  <si>
    <t>Junior Doctors: Blood, Sweat and Tears (TV Series 2017)</t>
  </si>
  <si>
    <t>Junk Food Flip (TV Series 2014– )</t>
  </si>
  <si>
    <t>Just a Minute (TV Series 2012)</t>
  </si>
  <si>
    <t>Just Add Magic (TV Series 2015– )</t>
  </si>
  <si>
    <t>Just Good Friends (TV Series 1983–1986)</t>
  </si>
  <si>
    <t>Just Jordan (TV Series 2007–2008)</t>
  </si>
  <si>
    <t>Just Shoot Me! (TV Series 1997–2003)</t>
  </si>
  <si>
    <t>Just the Ten of Us (TV Series 1987–1990)</t>
  </si>
  <si>
    <t>Justified (TV Series 2010–2015)</t>
  </si>
  <si>
    <t>K Street (TV Series 2003– )</t>
  </si>
  <si>
    <t>K-On! (TV Series 2009–2010)</t>
  </si>
  <si>
    <t>K.C. Undercover (TV Series 2015–2018)</t>
  </si>
  <si>
    <t>Kagaku Sentai Dynaman (TV Series 1983–1984)</t>
  </si>
  <si>
    <t>Kameleon de serie (TV Series 2018– )</t>
  </si>
  <si>
    <t>Kamen Whispers ASMR (TV Series 2015– )</t>
  </si>
  <si>
    <t>KamFit (TV Series 2016– )</t>
  </si>
  <si>
    <t>Kan kwok hiu hung chi Yee hoi ho ching (TV Series 2010– )</t>
  </si>
  <si>
    <t>Kanokon (TV Series 2008– )</t>
  </si>
  <si>
    <t>Karl &amp; Co (TV Series 1998–2001)</t>
  </si>
  <si>
    <t>Karlos Benda (TV Series 2014– )</t>
  </si>
  <si>
    <t>Karmbhoomi (TV Series 2016– )</t>
  </si>
  <si>
    <t>Kasimasi: Girl Meets Girl (TV Series 2006– )</t>
  </si>
  <si>
    <t>Kate &amp; Allie (TV Series 1984–1989)</t>
  </si>
  <si>
    <t>Katherine Mills: Mind Games (TV Series 2014– )</t>
  </si>
  <si>
    <t>Kathy Griffin: My Life on the D-List (TV Series 2005–2010)</t>
  </si>
  <si>
    <t>Katie Price: My Crazy Life (TV Series 2017– )</t>
  </si>
  <si>
    <t>Kavanagh QC (TV Series 1995–2001)</t>
  </si>
  <si>
    <t>Kea (TV Series 2011– )</t>
  </si>
  <si>
    <t>Keep It in the Family (TV Series 2014– )</t>
  </si>
  <si>
    <t>Keeping Faith (TV Series 2017– )</t>
  </si>
  <si>
    <t>Keeping Up Appearances (TV Series 1990–1995)</t>
  </si>
  <si>
    <t>Kenan &amp; Kel (TV Series 1996–2000)</t>
  </si>
  <si>
    <t>Kesslers Expedition (TV Series 2010– )</t>
  </si>
  <si>
    <t>Kevin Can Wait (TV Series 2016–2018)</t>
  </si>
  <si>
    <t>Kevin Hill (TV Series 2004–2005)</t>
  </si>
  <si>
    <t>Kevin Spencer (TV Series 1999–2005)</t>
  </si>
  <si>
    <t>Kick (TV Series 2007)</t>
  </si>
  <si>
    <t>Kickin' It (TV Series 2011–2015)</t>
  </si>
  <si>
    <t>Kicking &amp; Screaming (TV Series 2017– )</t>
  </si>
  <si>
    <t>Kidding (TV Series 2018– )</t>
  </si>
  <si>
    <t>Kidnap and Ransom (TV Series 2011–2012)</t>
  </si>
  <si>
    <t>Kids Unlimited (TV Series 2007–2008)</t>
  </si>
  <si>
    <t>Kidz Care (TV Series 2013– )</t>
  </si>
  <si>
    <t>KikOriki (TV Series 2003–2012)</t>
  </si>
  <si>
    <t>KILL La KILL (TV Series 2013–2014)</t>
  </si>
  <si>
    <t>Kill Me, Heal Me (TV Series 2015– )</t>
  </si>
  <si>
    <t>Killing Eve (TV Series 2018– )</t>
  </si>
  <si>
    <t>Kim Possible (TV Series 2002–2007)</t>
  </si>
  <si>
    <t>Kim Soo Ro (TV Series 2010– )</t>
  </si>
  <si>
    <t>Kim's Convenience (TV Series 2016– )</t>
  </si>
  <si>
    <t>King (TV Series 2003– )</t>
  </si>
  <si>
    <t>King &amp; Maxwell (TV Series 2013– )</t>
  </si>
  <si>
    <t>King of the Nerds (TV Series 2013–2015)</t>
  </si>
  <si>
    <t>Kingdom (TV Series 2019– )</t>
  </si>
  <si>
    <t>Kingdom Hospital (TV Series 2004)</t>
  </si>
  <si>
    <t>Kino's Journey (TV Series 2003– )</t>
  </si>
  <si>
    <t>Kir Royal (TV Series 1986)</t>
  </si>
  <si>
    <t>Kiss of Death (TV Series 2017– )</t>
  </si>
  <si>
    <t>Kitchen Confidential (TV Series 2005–2006)</t>
  </si>
  <si>
    <t>Kitchen Nightmares (TV Series 2007–2014)</t>
  </si>
  <si>
    <t>Kitchen Showdown with Rosemary Shrager (TV Series 2006– )</t>
  </si>
  <si>
    <t>KJV Minute (TV Series 2013– )</t>
  </si>
  <si>
    <t>Klovn (TV Series 2005– )</t>
  </si>
  <si>
    <t>Knight Rider (TV Series 1982–1986)</t>
  </si>
  <si>
    <t>Knightfall (TV Series 2017– )</t>
  </si>
  <si>
    <t>Knightmare (TV Series 1987–1994)</t>
  </si>
  <si>
    <t>Knock Knock Live (TV Series 2015)</t>
  </si>
  <si>
    <t>Knowing Me, Knowing You with Alan Partridge (TV Mini-Series 1994–1995)</t>
  </si>
  <si>
    <t>Koihime musô (TV Series 2008– )</t>
  </si>
  <si>
    <t>Kovy (TV Series 2014– )</t>
  </si>
  <si>
    <t>Kristine (TV Series 2010–2011)</t>
  </si>
  <si>
    <t>Kroll Show (TV Series 2013–2015)</t>
  </si>
  <si>
    <t>Krypto the Superdog (TV Series 2005–2006)</t>
  </si>
  <si>
    <t>Krypton (TV Series 2018–2019)</t>
  </si>
  <si>
    <t>Kyle XY (TV Series 2006–2009)</t>
  </si>
  <si>
    <t>L.A. Heat (TV Series 1996–1999)</t>
  </si>
  <si>
    <t>L.A.'s Finest (TV Series 2019– )</t>
  </si>
  <si>
    <t>La Bruja (TV Series 2011– )</t>
  </si>
  <si>
    <t>La corrida (TV Series 1986–2011)</t>
  </si>
  <si>
    <t>La Familia de al Lado (TV Series 2010–2011)</t>
  </si>
  <si>
    <t>La Femme Nikita (TV Series 1997–2001)</t>
  </si>
  <si>
    <t>LA Ink (TV Series 2007– )</t>
  </si>
  <si>
    <t>La mujer de Judas (TV Series 2012– )</t>
  </si>
  <si>
    <t>La que se avecina (TV Series 2007– )</t>
  </si>
  <si>
    <t>La Recta Provincia (TV Series 2007– )</t>
  </si>
  <si>
    <t>La saga: Negocio de familia (TV Series 2004– )</t>
  </si>
  <si>
    <t>LA to Vegas (TV Series 2018)</t>
  </si>
  <si>
    <t>La vendetta (TV Series 2007– )</t>
  </si>
  <si>
    <t>Ladon Mein Pali (TV Series 2014–2015)</t>
  </si>
  <si>
    <t>Lady Zika (TV Series 2015– )</t>
  </si>
  <si>
    <t>Langt fra Las Vegas (TV Series 2001–2003)</t>
  </si>
  <si>
    <t>Lark Rise to Candleford (TV Series 2008–2011)</t>
  </si>
  <si>
    <t>Las Vega's (TV Series 2013)</t>
  </si>
  <si>
    <t>Laser Fart (TV Series 2004– )</t>
  </si>
  <si>
    <t>Last Chance U (TV Series 2016– )</t>
  </si>
  <si>
    <t>Last Comic Standing (TV Series 2003– )</t>
  </si>
  <si>
    <t>Last Man Standing (TV Series 2011– )</t>
  </si>
  <si>
    <t>Laura Lemurex ASMR (TV Series 2012– )</t>
  </si>
  <si>
    <t>Lazy Game Reviews (TV Series 2008– )</t>
  </si>
  <si>
    <t>Leah Remini: Scientology and the Aftermath (TV Series 2016–2019)</t>
  </si>
  <si>
    <t>Legend of the Seeker (TV Series 2008–2010)</t>
  </si>
  <si>
    <t>Legend Quest (TV Series 2017– )</t>
  </si>
  <si>
    <t>Legends (TV Series 2014–2015)</t>
  </si>
  <si>
    <t>Legends of Gaming Brasil (TV Series 2015–2017)</t>
  </si>
  <si>
    <t>Legion (TV Series 2017–2019)</t>
  </si>
  <si>
    <t>Legion of Super Heroes (TV Series 2006–2008)</t>
  </si>
  <si>
    <t>Leif Nygaard Vlog (TV Series 2017– )</t>
  </si>
  <si>
    <t>Les Dalton (TV Series 2009–2013)</t>
  </si>
  <si>
    <t>Les tropiques de l'amour (TV Series 2003– )</t>
  </si>
  <si>
    <t>Less Than Perfect (TV Series 2002–2006)</t>
  </si>
  <si>
    <t>Let's Dance (TV Series 2006– )</t>
  </si>
  <si>
    <t>Leverage (TV Series 2008–2012)</t>
  </si>
  <si>
    <t>Liberdade 21 (TV Series 2008– )</t>
  </si>
  <si>
    <t>Liberty's Kids: Est. 1776 (TV Series 2002–2003)</t>
  </si>
  <si>
    <t>Lie to Me (TV Series 2009–2011)</t>
  </si>
  <si>
    <t>Life (TV Series 2007–2009)</t>
  </si>
  <si>
    <t>Life After People (TV Series 2009– )</t>
  </si>
  <si>
    <t>Life Below Zero (TV Series 2013– )</t>
  </si>
  <si>
    <t>Life in Pieces (TV Series 2015–2019)</t>
  </si>
  <si>
    <t>Life on Mars (TV Series 2006–2007)</t>
  </si>
  <si>
    <t>Life Sentence (TV Series 2018)</t>
  </si>
  <si>
    <t>Life Unexpected (TV Series 2010–2011)</t>
  </si>
  <si>
    <t>Life's a Zoo (TV Series 2008–2009)</t>
  </si>
  <si>
    <t>Life's Too Short (TV Series 2011–2013)</t>
  </si>
  <si>
    <t>Lifestories: Families in Crisis (TV Series 1992–1996)</t>
  </si>
  <si>
    <t>Light as a Feather (TV Series 2018– )</t>
  </si>
  <si>
    <t>Lighthouse Baptist Church (TV Series 2008– )</t>
  </si>
  <si>
    <t>Like, la leyenda (TV Series 2018– )</t>
  </si>
  <si>
    <t>Lil' Bush: Resident of the United States (TV Series 2007–2008)</t>
  </si>
  <si>
    <t>Linda Macáková (TV Series 2017– )</t>
  </si>
  <si>
    <t>Lindenstraße (TV Series 1985– )</t>
  </si>
  <si>
    <t>Line of Duty (TV Series 2012– )</t>
  </si>
  <si>
    <t>Line of Fire (TV Series 2003–2005)</t>
  </si>
  <si>
    <t>Little Big Shots (TV Series 2016– )</t>
  </si>
  <si>
    <t>Little Britain (TV Series 2003–2006)</t>
  </si>
  <si>
    <t>Little People, Big World (TV Series 2006– )</t>
  </si>
  <si>
    <t>Littlest Pet Shop (TV Series 2012–2016)</t>
  </si>
  <si>
    <t>Live PD: Police Patrol (TV Series 2017– )</t>
  </si>
  <si>
    <t>Liverpool 1 (TV Series 1998–1999)</t>
  </si>
  <si>
    <t>Living Alaska (TV Series 2013– )</t>
  </si>
  <si>
    <t>Living the Dream (TV Series 2017– )</t>
  </si>
  <si>
    <t>Lizi ASMR (TV Series 2018– )</t>
  </si>
  <si>
    <t>Lizzie McGuire (TV Series 2001–2004)</t>
  </si>
  <si>
    <t>Llamas De La Vida (TV Series 2008– )</t>
  </si>
  <si>
    <t>Lobo (TV Series 2000)</t>
  </si>
  <si>
    <t>Locked Up (TV Series 2015– )</t>
  </si>
  <si>
    <t>Locked Up Abroad (TV Series 2007– )</t>
  </si>
  <si>
    <t>Lodge 49 (TV Series 2018– )</t>
  </si>
  <si>
    <t>Loiter Squad (TV Series 2012–2014)</t>
  </si>
  <si>
    <t>London Kills (TV Series 2019– )</t>
  </si>
  <si>
    <t>London's Burning (TV Series 1988–2002)</t>
  </si>
  <si>
    <t>Long Island Medium (TV Series 2011– )</t>
  </si>
  <si>
    <t>Long Lost Family (TV Series 2015– )</t>
  </si>
  <si>
    <t>Longmire (TV Series 2012–2017)</t>
  </si>
  <si>
    <t>Looking (TV Series 2014–2015)</t>
  </si>
  <si>
    <t>Lore (TV Series 2017– )</t>
  </si>
  <si>
    <t>Lorraine's Fast, Fresh &amp; Easy Food (TV Series 2012)</t>
  </si>
  <si>
    <t>Los elegidos (TV Series 2019– )</t>
  </si>
  <si>
    <t>Lost Civilizations (TV Series 1995– )</t>
  </si>
  <si>
    <t>Lost Girl (TV Series 2010–2016)</t>
  </si>
  <si>
    <t>Lost Song (TV Series 2018– )</t>
  </si>
  <si>
    <t>Lost Tapes (TV Series 2008– )</t>
  </si>
  <si>
    <t>Loudermilk (TV Series 2017– )</t>
  </si>
  <si>
    <t>Love at First Kiss (TV Series 2016– )</t>
  </si>
  <si>
    <t>Love Connection (TV Series 2017– )</t>
  </si>
  <si>
    <t>Love Hina (TV Series 2000– )</t>
  </si>
  <si>
    <t>Love in the Wild (TV Series 2011– )</t>
  </si>
  <si>
    <t>Love Island (TV Series 2019– )</t>
  </si>
  <si>
    <t>Love Me If You Dare (TV Series 2015– )</t>
  </si>
  <si>
    <t>Love Monkey (TV Series 2006– )</t>
  </si>
  <si>
    <t>Love on the Spectrum (TV Series 2019– )</t>
  </si>
  <si>
    <t>Love Your Garden (TV Series 2011– )</t>
  </si>
  <si>
    <t>Love, Sidney (TV Series 1981–1983)</t>
  </si>
  <si>
    <t>Love/Hate (TV Series 2010–2014)</t>
  </si>
  <si>
    <t>Low Winter Sun (TV Series 2013)</t>
  </si>
  <si>
    <t>Lucky Dog (TV Series 2013– )</t>
  </si>
  <si>
    <t>Lucy: The Daughter of the Devil (TV Series 2005–2007)</t>
  </si>
  <si>
    <t>LucyPug (TV Series 2015– )</t>
  </si>
  <si>
    <t>Luis Miguel: The Series (TV Series 2018– )</t>
  </si>
  <si>
    <t>Luke Nguyen's Greater Mekong (TV Series 2012– )</t>
  </si>
  <si>
    <t>Lukynn (TV Series 2015– )</t>
  </si>
  <si>
    <t>Lunatics (TV Series 2019– )</t>
  </si>
  <si>
    <t>Lupin (TV Series 2007– )</t>
  </si>
  <si>
    <t>Lync (TV Series 2018– )</t>
  </si>
  <si>
    <t>M jak milosc (TV Series 2000– )</t>
  </si>
  <si>
    <t>M.I.High (TV Series 2007– )</t>
  </si>
  <si>
    <t>Maburaho (TV Series 2003–2004)</t>
  </si>
  <si>
    <t>MacGyver (TV Series 1985–1992)</t>
  </si>
  <si>
    <t>Madam Secretary (TV Series 2014– )</t>
  </si>
  <si>
    <t>Madame De Pompadour: The King's Favourite (TV Movie 2006)</t>
  </si>
  <si>
    <t>Made in Chelsea (TV Series 2011– )</t>
  </si>
  <si>
    <t>Made in Heaven (TV Series 2018– )</t>
  </si>
  <si>
    <t>Madlax (TV Series 2004– )</t>
  </si>
  <si>
    <t>Madness (TV Series 1991– )</t>
  </si>
  <si>
    <t>Magic City (TV Series 2012–2013)</t>
  </si>
  <si>
    <t>Magical Angel Creamy Mami (TV Series 1983–1984)</t>
  </si>
  <si>
    <t>Magkaribal (TV Series 2010)</t>
  </si>
  <si>
    <t>Magnum, P.I. (TV Series 1980–1988)</t>
  </si>
  <si>
    <t>Mahabharatham (TV Series 2013–2016)</t>
  </si>
  <si>
    <t>Mai otome (TV Series 2005– )</t>
  </si>
  <si>
    <t>Mai-HiME (TV Series 2004–2005)</t>
  </si>
  <si>
    <t>Maid Marian and Her Merry Men (TV Series 1989–1994)</t>
  </si>
  <si>
    <t>Maisie Raine (TV Series 1998–1999)</t>
  </si>
  <si>
    <t>Major Crimes (TV Series 2012–2018)</t>
  </si>
  <si>
    <t>Make It or Break It (TV Series 2009–2012)</t>
  </si>
  <si>
    <t>Make It Pop (TV Series 2015–2016)</t>
  </si>
  <si>
    <t>Making a Murderer (TV Series 2015– )</t>
  </si>
  <si>
    <t>Making History (TV Series 2017)</t>
  </si>
  <si>
    <t>Making It (TV Series 2018– )</t>
  </si>
  <si>
    <t>Mako Mermaids (TV Series 2013– )</t>
  </si>
  <si>
    <t>Makyna's Life (TV Series 2015–2016)</t>
  </si>
  <si>
    <t>Malcolm in the Middle (TV Series 2000–2006)</t>
  </si>
  <si>
    <t>Malibu, CA (TV Series 1998–2000)</t>
  </si>
  <si>
    <t>Mama Lifestyle (TV Series 2013–2017)</t>
  </si>
  <si>
    <t>Man Down (TV Series 2013– )</t>
  </si>
  <si>
    <t>Man Seeking Woman (TV Series 2015–2017)</t>
  </si>
  <si>
    <t>Man v. Food (TV Series 2008– )</t>
  </si>
  <si>
    <t>Man with a Plan (TV Series 2016– )</t>
  </si>
  <si>
    <t>Manhunt (TV Series 2018– )</t>
  </si>
  <si>
    <t>Manifest (TV Series 2018– )</t>
  </si>
  <si>
    <t>Manny's Movie Macabre (TV Series 2018– )</t>
  </si>
  <si>
    <t>Maple Town (TV Series 1986–1987)</t>
  </si>
  <si>
    <t>Mara Clara (TV Series 2010–2011)</t>
  </si>
  <si>
    <t>Marcella (TV Series 2016– )</t>
  </si>
  <si>
    <t>MareTV (TV Series 2001– )</t>
  </si>
  <si>
    <t>Maria Watches Over Us (TV Series 2004– )</t>
  </si>
  <si>
    <t>Marianne the First (TV Series 1990– )</t>
  </si>
  <si>
    <t>Marimar (TV Series 2007– )</t>
  </si>
  <si>
    <t>Mark Tyban (TV Series 2017– )</t>
  </si>
  <si>
    <t>Married (TV Series 2014–2015)</t>
  </si>
  <si>
    <t>Married to Medicine (TV Series 2013– )</t>
  </si>
  <si>
    <t>Married... with Children (TV Series 1987–1997)</t>
  </si>
  <si>
    <t>Marry Me (TV Series 2014–2015)</t>
  </si>
  <si>
    <t>Marta a Vera (TV Series 2014– )</t>
  </si>
  <si>
    <t>Martin Donát (TV Series 2012–2016)</t>
  </si>
  <si>
    <t>Marvel Disk Wars: The Avengers (TV Series 2014– )</t>
  </si>
  <si>
    <t>Mary Berry Everyday (TV Series 2017– )</t>
  </si>
  <si>
    <t>Mary Kills People (TV Series 2017– )</t>
  </si>
  <si>
    <t>Mary Lou (TV Series 2009– )</t>
  </si>
  <si>
    <t>Masters of Illusion (TV Series 2014– )</t>
  </si>
  <si>
    <t>Masters of Sex (TV Series 2013–2016)</t>
  </si>
  <si>
    <t>Masters of the Universe vs. the Snake Men (TV Series 2002–2004)</t>
  </si>
  <si>
    <t>Match Game (TV Series 2016– )</t>
  </si>
  <si>
    <t>Matlock (TV Series 1986–1995)</t>
  </si>
  <si>
    <t>Matous Kacanos (TV Series 2012– )</t>
  </si>
  <si>
    <t>Max Headroom (TV Series 1987–1988)</t>
  </si>
  <si>
    <t>Maxim Hrabanec (TV Series 2013– )</t>
  </si>
  <si>
    <t>McLeod's Daughters (TV Series 2001–2009)</t>
  </si>
  <si>
    <t>McMafia (TV Series 2018– )</t>
  </si>
  <si>
    <t>Me &amp; My Monsters (TV Series 2010– )</t>
  </si>
  <si>
    <t>Me Too (TV Series 2006– )</t>
  </si>
  <si>
    <t>Meadowlands (TV Series 2007)</t>
  </si>
  <si>
    <t>Meanwhile... (TV Series 2012– )</t>
  </si>
  <si>
    <t>Mechakko Dotakon (TV Series 1981)</t>
  </si>
  <si>
    <t>Medal of Honor (TV Series 2018– )</t>
  </si>
  <si>
    <t>Medici (TV Series 2016– )</t>
  </si>
  <si>
    <t>Meego (TV Series 1997– )</t>
  </si>
  <si>
    <t>Mega Babies (TV Series 1999–2000)</t>
  </si>
  <si>
    <t>Mega Man (TV Series 1994–1995)</t>
  </si>
  <si>
    <t>Megas XLR (TV Series 2004–2005)</t>
  </si>
  <si>
    <t>Megazone 23 III (TV Series 1989– )</t>
  </si>
  <si>
    <t>Mei-chan's Butler (TV Series 2009– )</t>
  </si>
  <si>
    <t>Melissa &amp; Joey (TV Series 2010–2015)</t>
  </si>
  <si>
    <t>Memories of the Alhambra (TV Series 2018– )</t>
  </si>
  <si>
    <t>Memphis Beat (TV Series 2010– )</t>
  </si>
  <si>
    <t>Men Behaving Badly (TV Series 1996–1997)</t>
  </si>
  <si>
    <t>Mercy (TV Series 2009–2010)</t>
  </si>
  <si>
    <t>Mercy Street (TV Series 2016–2017)</t>
  </si>
  <si>
    <t>Meri Zaat Zarrae Benishan (TV Series 2009– )</t>
  </si>
  <si>
    <t>Merlin (TV Series 2008–2012)</t>
  </si>
  <si>
    <t>Metal Evolution (TV Series 2011–2014)</t>
  </si>
  <si>
    <t>Meteor Garden (TV Series 2018– )</t>
  </si>
  <si>
    <t>Metrosexuality (TV Series 1999–2001)</t>
  </si>
  <si>
    <t>Mga mata ni Anghelita (TV Series 2007– )</t>
  </si>
  <si>
    <t>Miami Guns (TV Series 2000– )</t>
  </si>
  <si>
    <t>Miami Ink (TV Series 2005–2008)</t>
  </si>
  <si>
    <t>Micawber (TV Series 2001– )</t>
  </si>
  <si>
    <t>Michael &amp; Michael Have Issues (TV Series 2009– )</t>
  </si>
  <si>
    <t>Midnight Sun (TV Series 2016– )</t>
  </si>
  <si>
    <t>Midsomer Murders (TV Series 1997– )</t>
  </si>
  <si>
    <t>Mighty Morphin Power Rangers (TV Series 1993–1999)</t>
  </si>
  <si>
    <t>Miimu iro iro yume no tabi (TV Series 1983–1985)</t>
  </si>
  <si>
    <t>Mike Tyson Mysteries (TV Series 2014– )</t>
  </si>
  <si>
    <t>Mile High (TV Series 2003–2005)</t>
  </si>
  <si>
    <t>Miles from Tomorrowland (TV Series 2015– )</t>
  </si>
  <si>
    <t>Millennium (TV Series 1996–1999)</t>
  </si>
  <si>
    <t>Million Dollar Listing Los Angeles (TV Series 2006– )</t>
  </si>
  <si>
    <t>Milly, Molly (TV Series 2008– )</t>
  </si>
  <si>
    <t>Mind Field (TV Series 2017– )</t>
  </si>
  <si>
    <t>Mind of Mencia (TV Series 2005– )</t>
  </si>
  <si>
    <t>Mira lo que has hecho (TV Series 2018–2019)</t>
  </si>
  <si>
    <t>Miraculous: Tales of Ladybug &amp; Cat Noir (TV Series 2015– )</t>
  </si>
  <si>
    <t>Miranda (TV Series 2009–2015)</t>
  </si>
  <si>
    <t>Miranda Sings (TV Series 2008– )</t>
  </si>
  <si>
    <t>Mirror, Mirror (TV Series 1995– )</t>
  </si>
  <si>
    <t>Mirzapur (TV Series 2018– )</t>
  </si>
  <si>
    <t>Misija majora Atertona (TV Series 1986– )</t>
  </si>
  <si>
    <t>Miss Fisher's Murder Mysteries (TV Series 2012– )</t>
  </si>
  <si>
    <t>Missing (TV Series 2009–2010)</t>
  </si>
  <si>
    <t>Missing (TV Series 2010)</t>
  </si>
  <si>
    <t>Missing (TV Series 2012)</t>
  </si>
  <si>
    <t>Mission Selfie (TV Series 2016– )</t>
  </si>
  <si>
    <t>Mister Tachyon (TV Series 2018– )</t>
  </si>
  <si>
    <t>Mistresses (TV Series 2008–2010)</t>
  </si>
  <si>
    <t>Mistresses (TV Series 2013–2016)</t>
  </si>
  <si>
    <t>Mob Wives (TV Series 2011–2016)</t>
  </si>
  <si>
    <t>Mobbed (TV Series 2011– )</t>
  </si>
  <si>
    <t>Mobile Fighter G Gundam (TV Series 1994– )</t>
  </si>
  <si>
    <t>Mobile Suit Zeta Gundam (TV Series 1985–1986)</t>
  </si>
  <si>
    <t>Modeling with Ishah Wright Produced in Full HD (TV Series 2011– )</t>
  </si>
  <si>
    <t>Modern Family (TV Series 2009– )</t>
  </si>
  <si>
    <t>Mom &amp; Me (and Everyone Online) (TV Series 2016–2017)</t>
  </si>
  <si>
    <t>Mona the Vampire (TV Series 1999–2003)</t>
  </si>
  <si>
    <t>Monarch of the Glen (TV Series 2000–2005)</t>
  </si>
  <si>
    <t>Money Heist (TV Series 2017– )</t>
  </si>
  <si>
    <t>Mongrels (TV Series 2010–2011)</t>
  </si>
  <si>
    <t>Monk (TV Series 2002–2009)</t>
  </si>
  <si>
    <t>Monstar (TV Series 2013– )</t>
  </si>
  <si>
    <t>Monster (TV Series 2004–2010)</t>
  </si>
  <si>
    <t>Monster Musume: Everyday Life with Monster Girls (TV Series 2015– )</t>
  </si>
  <si>
    <t>Monsuno (TV Series 2011– )</t>
  </si>
  <si>
    <t>Moon Dreamers (TV Series 1986– )</t>
  </si>
  <si>
    <t>Moone Boy (TV Series 2012–2015)</t>
  </si>
  <si>
    <t>Moonshiners (TV Series 2011– )</t>
  </si>
  <si>
    <t>Moral Orel (TV Series 2005–2009)</t>
  </si>
  <si>
    <t>Morangos com Açúcar (TV Series 2003– )</t>
  </si>
  <si>
    <t>More Than a River (TV Series 2004)</t>
  </si>
  <si>
    <t>More Zoella (TV Series 2012– )</t>
  </si>
  <si>
    <t>Moshi koukou yakyuu no joshi manêjâ ga Dorakkâ no 'Manejimento' wo yondara (TV Series 2011– )</t>
  </si>
  <si>
    <t>Most Evil (TV Series 2006–2015)</t>
  </si>
  <si>
    <t>Most Haunted (TV Series 2002– )</t>
  </si>
  <si>
    <t>Mot i brøstet (TV Series 1993–1997)</t>
  </si>
  <si>
    <t>Motherland (TV Series 2016– )</t>
  </si>
  <si>
    <t>Motive (TV Series 2013–2016)</t>
  </si>
  <si>
    <t>Moya Prechistenka (TV Series 2006– )</t>
  </si>
  <si>
    <t>Mr &amp; Mrs Murder (TV Series 2013)</t>
  </si>
  <si>
    <t>Mr Selfridge (TV Series 2013–2016)</t>
  </si>
  <si>
    <t>Mr. Bean (TV Series 1990–1995)</t>
  </si>
  <si>
    <t>Mr. Mercedes (TV Series 2017– )</t>
  </si>
  <si>
    <t>Mr. Pickles (TV Series 2013– )</t>
  </si>
  <si>
    <t>Mr. Robot (TV Series 2015– )</t>
  </si>
  <si>
    <t>Mr. Show with Bob and David (TV Series 1995–1998)</t>
  </si>
  <si>
    <t>Mr. Sloane (TV Series 2014– )</t>
  </si>
  <si>
    <t>Mr. Sunshine (TV Series 2011–2012)</t>
  </si>
  <si>
    <t>Mrs. Brown's Boys (TV Series 2011– )</t>
  </si>
  <si>
    <t>Mrs. Fletcher (TV Series 2019– )</t>
  </si>
  <si>
    <t>MrTomcatCZ (TV Series 2012– )</t>
  </si>
  <si>
    <t>Ms. Monologue (TV Series 2013– )</t>
  </si>
  <si>
    <t>Mt. Emmanuel Missionary Baptist Church (TV Series 2011– )</t>
  </si>
  <si>
    <t>MTV Floribama Shore (TV Series 2017– )</t>
  </si>
  <si>
    <t>Mujeres de nadie (TV Series 2007– )</t>
  </si>
  <si>
    <t>Mula sa puso (TV Series 1997–1999)</t>
  </si>
  <si>
    <t>Mulawin (TV Series 2004– )</t>
  </si>
  <si>
    <t>Mummies Alive! (TV Series 1997–1998)</t>
  </si>
  <si>
    <t>Mundo de fieras (TV Series 2006–2007)</t>
  </si>
  <si>
    <t>Munting heredera (TV Series 2011– )</t>
  </si>
  <si>
    <t>Murder Call (TV Series 1997–1999)</t>
  </si>
  <si>
    <t>Murder, She Wrote (TV Series 1984–1996)</t>
  </si>
  <si>
    <t>Murdoch Mysteries (TV Series 2008– )</t>
  </si>
  <si>
    <t>Musée Eden (TV Series 2010– )</t>
  </si>
  <si>
    <t>Mutant X (TV Series 2001–2004)</t>
  </si>
  <si>
    <t>My 600-lb Life (TV Series 2012– )</t>
  </si>
  <si>
    <t>My Big Fat Obnoxious Fiance (TV Series 2004– )</t>
  </si>
  <si>
    <t>My Brilliant Friend (TV Series 2018– )</t>
  </si>
  <si>
    <t>My Cat from Hell (TV Series 2011–2018)</t>
  </si>
  <si>
    <t>My Crazy Ex (TV Series 2014– )</t>
  </si>
  <si>
    <t>My Diet Is Better Than Yours (TV Series 2016– )</t>
  </si>
  <si>
    <t>My Family (TV Series 2000–2011)</t>
  </si>
  <si>
    <t>My Girlfriend Is a Gumiho (TV Series 2010– )</t>
  </si>
  <si>
    <t>My Guardian Characters (TV Series 2007–2008)</t>
  </si>
  <si>
    <t>My Gym Partner's a Monkey (TV Series 2005–2008)</t>
  </si>
  <si>
    <t>My Hero Academia (TV Series 2016– )</t>
  </si>
  <si>
    <t>My Lovely Sam-Soon (TV Series 2005– )</t>
  </si>
  <si>
    <t>My Name Is Earl (TV Series 2005–2009)</t>
  </si>
  <si>
    <t>My Parents Are Aliens (TV Series 1999–2006)</t>
  </si>
  <si>
    <t>My Secret Identity (TV Series 1988–1991)</t>
  </si>
  <si>
    <t>My So-Called Life (TV Series 1994–1995)</t>
  </si>
  <si>
    <t>My Strange Addiction (TV Series 2010– )</t>
  </si>
  <si>
    <t>My Super Sweet 16 (TV Series 2005– )</t>
  </si>
  <si>
    <t>My Two Dads (TV Series 1987–1990)</t>
  </si>
  <si>
    <t>My Virgin Kitchen (TV Series 2010– )</t>
  </si>
  <si>
    <t>My Wife and Kids (TV Series 2001–2005)</t>
  </si>
  <si>
    <t>Mystery Science Theater 3000 (TV Series 1988–1999)</t>
  </si>
  <si>
    <t>Mystery!: Cadfael (TV Series 1994–1996)</t>
  </si>
  <si>
    <t>Mystic Knights of Tir Na Nog (TV Series 1998– )</t>
  </si>
  <si>
    <t>MythBusters (TV Series 2003– )</t>
  </si>
  <si>
    <t>MythQuest (TV Series 2001– )</t>
  </si>
  <si>
    <t>Naagin (TV Series 2017–2019)</t>
  </si>
  <si>
    <t>Nadia: The Secret of Blue Water (TV Series 1990– )</t>
  </si>
  <si>
    <t>Nadiya's British Food Adventure (TV Series 2017)</t>
  </si>
  <si>
    <t>Nadrazí (TV Series 2017– )</t>
  </si>
  <si>
    <t>Nailed It! (TV Series 2018– )</t>
  </si>
  <si>
    <t>Najica: Blitz Tactics (TV Series 2001– )</t>
  </si>
  <si>
    <t>Naked and Afraid (TV Series 2013– )</t>
  </si>
  <si>
    <t>Naked and Marooned with Ed Stafford (TV Series 2013– )</t>
  </si>
  <si>
    <t>Naked Attraction (TV Series 2016– )</t>
  </si>
  <si>
    <t>Namoos (TV Series 2006– )</t>
  </si>
  <si>
    <t>Nasaan ka, Elisa? (TV Series 2011–2012)</t>
  </si>
  <si>
    <t>Nashville (TV Series 2012–2018)</t>
  </si>
  <si>
    <t>Nasi (TV Series 2016– )</t>
  </si>
  <si>
    <t>Nate Is Late (TV Series 2018)</t>
  </si>
  <si>
    <t>Natsume's Book of Friends (TV Series 2008– )</t>
  </si>
  <si>
    <t>Natyla (TV Series 2014– )</t>
  </si>
  <si>
    <t>NCIS (TV Series 2003– )</t>
  </si>
  <si>
    <t>Ne Vremya (TV Series 1999–2004)</t>
  </si>
  <si>
    <t>Necessary Roughness (TV Series 2011–2013)</t>
  </si>
  <si>
    <t>Neighbours (TV Series 1985– )</t>
  </si>
  <si>
    <t>Nejhater (TV Series 2012–2015)</t>
  </si>
  <si>
    <t>Neon Genesis Evangelion (TV Series 1995–1996)</t>
  </si>
  <si>
    <t>Neon Joe, Werewolf Hunter (TV Series 2015– )</t>
  </si>
  <si>
    <t>New Amsterdam (TV Series 2018– )</t>
  </si>
  <si>
    <t>New Blood (TV Series 2016– )</t>
  </si>
  <si>
    <t>New Fist of the North Star (TV Series 2003– )</t>
  </si>
  <si>
    <t>New Hope Apostolic Church (TV Series 2014– )</t>
  </si>
  <si>
    <t>New Looney Tunes (TV Series 2015–2019)</t>
  </si>
  <si>
    <t>NewsRadio (TV Series 1995–1999)</t>
  </si>
  <si>
    <t>Newzoids (TV Series 2015– )</t>
  </si>
  <si>
    <t>Nexo Knights (TV Series 2015– )</t>
  </si>
  <si>
    <t>Nickelodeon Presents: Inside-Out Boy (TV Series 1989–1993)</t>
  </si>
  <si>
    <t>Nigella Bites (TV Series 2000– )</t>
  </si>
  <si>
    <t>Night club (TV Series 2001–2002)</t>
  </si>
  <si>
    <t>Night Court (TV Series 1984–1992)</t>
  </si>
  <si>
    <t>Night Shift Nurses (TV Series 2000– )</t>
  </si>
  <si>
    <t>Nightflyers (TV Series 2018– )</t>
  </si>
  <si>
    <t>Nightmare Next Door (TV Series 2011– )</t>
  </si>
  <si>
    <t>Nightwalker: Midnight Detective (TV Series 1998– )</t>
  </si>
  <si>
    <t>Ninja Scroll: The Series (TV Series 2003– )</t>
  </si>
  <si>
    <t>Nirvana in Fire (TV Series 2015– )</t>
  </si>
  <si>
    <t>Nitro Rad (TV Series 2013– )</t>
  </si>
  <si>
    <t>No Angels (TV Series 2004–2006)</t>
  </si>
  <si>
    <t>No Evil (TV Series 2012– )</t>
  </si>
  <si>
    <t>No Offence (TV Series 2015– )</t>
  </si>
  <si>
    <t>No Place Like Home (TV Series 1983–1988)</t>
  </si>
  <si>
    <t>Noah's Arc (TV Series 2005–2006)</t>
  </si>
  <si>
    <t>Noah's Island (TV Series 1997–1999)</t>
  </si>
  <si>
    <t>Nobody's Looking (TV Series 2019– )</t>
  </si>
  <si>
    <t>Noir (TV Series 2001– )</t>
  </si>
  <si>
    <t>Non Non Biyori (TV Series 2013– )</t>
  </si>
  <si>
    <t>Northern Exposure (TV Series 1990–1995)</t>
  </si>
  <si>
    <t>Notes on a Scene (TV Series 2017– )</t>
  </si>
  <si>
    <t>Now and Then, Here and There (TV Series 1999–2000)</t>
  </si>
  <si>
    <t>Nowhere to Hide (TV Series 2014– )</t>
  </si>
  <si>
    <t>NTSF:SD:SUV (TV Series 2011–2013)</t>
  </si>
  <si>
    <t>Nu (TV Series 2018– )</t>
  </si>
  <si>
    <t>Numb3rs (TV Series 2005–2010)</t>
  </si>
  <si>
    <t>Nurse Angel Ririka SOS (TV Series 1995– )</t>
  </si>
  <si>
    <t>Nurse Jackie (TV Series 2009–2015)</t>
  </si>
  <si>
    <t>Occupation: Adventurer (TV Series 2014– )</t>
  </si>
  <si>
    <t>Ocean Ave. (TV Series 2002–2003)</t>
  </si>
  <si>
    <t>October Road (TV Series 2007–2008)</t>
  </si>
  <si>
    <t>Odd Job Jack (TV Series 2003–2007)</t>
  </si>
  <si>
    <t>Odiens (TV Series 1988–1989)</t>
  </si>
  <si>
    <t>Odlazak ratnika, povratak marsala (TV Series 1986– )</t>
  </si>
  <si>
    <t>Odyssey 5 (TV Series 2002–2004)</t>
  </si>
  <si>
    <t>Ohara (TV Series 1987–1988)</t>
  </si>
  <si>
    <t>Ohnivý kure (TV Series 2016– )</t>
  </si>
  <si>
    <t>Oi aparadektoi (TV Series 1991–1993)</t>
  </si>
  <si>
    <t>OK K.O.! Let's Be Heroes (TV Series 2017–2019)</t>
  </si>
  <si>
    <t>Old Paths Baptist Church MN (TV Series 2012– )</t>
  </si>
  <si>
    <t>Olhos nos Olhos (TV Series 2008–2009)</t>
  </si>
  <si>
    <t>Oly's Fun (TV Series 2014– )</t>
  </si>
  <si>
    <t>Omer et le fils de l'étoile (TV Series 1992–1993)</t>
  </si>
  <si>
    <t>On Becoming a God in Central Florida (TV Series 2019– )</t>
  </si>
  <si>
    <t>On Death Row (TV Series 2012– )</t>
  </si>
  <si>
    <t>On je zena! (TV Series 2005– )</t>
  </si>
  <si>
    <t>On Killing (TV Series 2015–2016)</t>
  </si>
  <si>
    <t>On My Block (TV Series 2018– )</t>
  </si>
  <si>
    <t>Once Upon a Time in Cabramatta (TV Series 2012)</t>
  </si>
  <si>
    <t>Once Upon a Time in Wonderland (TV Series 2013–2014)</t>
  </si>
  <si>
    <t>One Foot in the Grave (TV Series 1990–2001)</t>
  </si>
  <si>
    <t>One Tree Hill (TV Series 2003–2012)</t>
  </si>
  <si>
    <t>One Week Friends (TV Series 2014– )</t>
  </si>
  <si>
    <t>Only Fools and Horses.... (TV Series 1981–2003)</t>
  </si>
  <si>
    <t>Opal Fever (TV Series 2005)</t>
  </si>
  <si>
    <t>Open Air Outreach (TV Series 2009– )</t>
  </si>
  <si>
    <t>Optimus Gang (TV Series 2013– )</t>
  </si>
  <si>
    <t>Origin (TV Series 2018)</t>
  </si>
  <si>
    <t>Orphan Black (TV Series 2013–2017)</t>
  </si>
  <si>
    <t>Orson &amp; Olivia (TV Series 1995– )</t>
  </si>
  <si>
    <t>Oscar's Orchestra (TV Series 1995–1996)</t>
  </si>
  <si>
    <t>Other art (TV Series 2019– )</t>
  </si>
  <si>
    <t>Otkroveniya (TV Series 2012)</t>
  </si>
  <si>
    <t>Our House (TV Series 1986–1988)</t>
  </si>
  <si>
    <t>Ouran High School Host Club (TV Series 2006)</t>
  </si>
  <si>
    <t>Out of This World (TV Series 1987–1991)</t>
  </si>
  <si>
    <t>Outdaughtered (TV Series 2016– )</t>
  </si>
  <si>
    <t>Outlaw Star (TV Series 1998– )</t>
  </si>
  <si>
    <t>Outnumbered (TV Series 2007–2014)</t>
  </si>
  <si>
    <t>Outrageous Fortune (TV Series 2005– )</t>
  </si>
  <si>
    <t>Oz (TV Series 1997–2003)</t>
  </si>
  <si>
    <t>Pablo Escobar: El Patrón del Mal (TV Series 2012)</t>
  </si>
  <si>
    <t>Pacific Palisades (TV Series 1997)</t>
  </si>
  <si>
    <t>Packed to the Rafters (TV Series 2008–2013)</t>
  </si>
  <si>
    <t>Pan Am (TV Series 2011–2012)</t>
  </si>
  <si>
    <t>Pandemic (TV Movie 2007)</t>
  </si>
  <si>
    <t>Pandora (TV Series 2019– )</t>
  </si>
  <si>
    <t>Panty &amp; Stocking with Garterbelt (TV Series 2010)</t>
  </si>
  <si>
    <t>Paradise (TV Series 1988–1990)</t>
  </si>
  <si>
    <t>Paradise Falls (TV Series 2001– )</t>
  </si>
  <si>
    <t>Paranormal Witness (TV Series 2011– )</t>
  </si>
  <si>
    <t>Parásitos (TV Series 2011–2012)</t>
  </si>
  <si>
    <t>Partners (TV Series 2012–2013)</t>
  </si>
  <si>
    <t>Party of Five (TV Series 1994–2000)</t>
  </si>
  <si>
    <t>Passione (TV Series 2010– )</t>
  </si>
  <si>
    <t>Past Life (TV Series 2010)</t>
  </si>
  <si>
    <t>Pé Na Porta (TV Series 2007– )</t>
  </si>
  <si>
    <t>Peaky Blinders (TV Series 2013– )</t>
  </si>
  <si>
    <t>Pee-wee's Playhouse (TV Series 1986–1991)</t>
  </si>
  <si>
    <t>Pelagea ASMR (TV Series 2015– )</t>
  </si>
  <si>
    <t>Pelswick (TV Series 2000–2002)</t>
  </si>
  <si>
    <t>PEN15 (TV Series 2019– )</t>
  </si>
  <si>
    <t>Penn &amp; Teller: Bullshit! (TV Series 2003–2010)</t>
  </si>
  <si>
    <t>Penny Dreadful (TV Series 2014–2016)</t>
  </si>
  <si>
    <t>People Just Do Nothing (TV Series 2014– )</t>
  </si>
  <si>
    <t>People Magazine Investigates (TV Series 2016– )</t>
  </si>
  <si>
    <t>People of Earth (TV Series 2016–2017)</t>
  </si>
  <si>
    <t>Peppa Pig (TV Series 2004– )</t>
  </si>
  <si>
    <t>Pepper Chocolate (TV Series 2003–2004)</t>
  </si>
  <si>
    <t>Perfect World (TV Series 2019– )</t>
  </si>
  <si>
    <t>Petscop (TV Series 2017–2019)</t>
  </si>
  <si>
    <t>Phantom: Requiem for the Phantom (TV Series 2009– )</t>
  </si>
  <si>
    <t>Phil of the Future (TV Series 2004–2006)</t>
  </si>
  <si>
    <t>Philip Marlowe, Private Eye (TV Series 1983–1986)</t>
  </si>
  <si>
    <t>Phineas and Ferb (TV Series 2007–2015)</t>
  </si>
  <si>
    <t>Pick Me! (TV Series 2015– )</t>
  </si>
  <si>
    <t>Pierre and Isa (TV Series 1991–1992)</t>
  </si>
  <si>
    <t>Pinheads (TV Series 2014– )</t>
  </si>
  <si>
    <t>Pinky and the Brain (TV Series 1995–1998)</t>
  </si>
  <si>
    <t>Pinulot ka lang sa lupa (TV Series 2017– )</t>
  </si>
  <si>
    <t>Pirlimpimpim (TV Series 2001–2007)</t>
  </si>
  <si>
    <t>Planetes (TV Series 2003–2004)</t>
  </si>
  <si>
    <t>Play by Play (TV Series 2017– )</t>
  </si>
  <si>
    <t>Playboy Cyber Girls (TV Series 2001– )</t>
  </si>
  <si>
    <t>Playing the Field (TV Series 1998–2002)</t>
  </si>
  <si>
    <t>Pleasant Green Baptist Church of Omaha Nebraska (TV Series 1999– )</t>
  </si>
  <si>
    <t>Please Like Me (TV Series 2013–2016)</t>
  </si>
  <si>
    <t>Please Save My Earth (TV Series 1993–1994)</t>
  </si>
  <si>
    <t>Please Teacher! (TV Series 2002– )</t>
  </si>
  <si>
    <t>Please Twins! (TV Series 2003– )</t>
  </si>
  <si>
    <t>Plebania (TV Series 2000– )</t>
  </si>
  <si>
    <t>Plebs (TV Series 2013– )</t>
  </si>
  <si>
    <t>Plus belle la vie (TV Series 2004– )</t>
  </si>
  <si>
    <t>Pochtoviy chetverg (TV Series 2015– )</t>
  </si>
  <si>
    <t>Point Blank (TV Series 2002– )</t>
  </si>
  <si>
    <t>Point Pleasant (TV Series 2005– )</t>
  </si>
  <si>
    <t>Poldark (TV Series 2015– )</t>
  </si>
  <si>
    <t>Police Rescue (TV Series 1989–1996)</t>
  </si>
  <si>
    <t>Police Squad! (TV Series 1982)</t>
  </si>
  <si>
    <t>Police Videos (TV Series 1998–2012)</t>
  </si>
  <si>
    <t>Popcultured (TV Series 2005– )</t>
  </si>
  <si>
    <t>Popples (TV Series 2015–2016)</t>
  </si>
  <si>
    <t>Popular (TV Series 1999–2001)</t>
  </si>
  <si>
    <t>Portlandia (TV Series 2011–2018)</t>
  </si>
  <si>
    <t>Poslednji cin (TV Series 1981– )</t>
  </si>
  <si>
    <t>Post-Trib Moments (TV Series 2012– )</t>
  </si>
  <si>
    <t>Power Lunch (TV Series 2017– )</t>
  </si>
  <si>
    <t>Powerless (TV Series 2017)</t>
  </si>
  <si>
    <t>PP Studio's Communal Universes (TV Series 2017– )</t>
  </si>
  <si>
    <t>PragueMan (TV Series 2016– )</t>
  </si>
  <si>
    <t>Pravidlo sesti (TV Series 2016– )</t>
  </si>
  <si>
    <t>Pretend Time (TV Series 2010– )</t>
  </si>
  <si>
    <t>Pretty the Series (TV Series 2010– )</t>
  </si>
  <si>
    <t>Prettykittymiaos (TV Series 2015– )</t>
  </si>
  <si>
    <t>Prey (TV Series 1998)</t>
  </si>
  <si>
    <t>Prickly Heat (TV Series 1998–2001)</t>
  </si>
  <si>
    <t>Primetime Glick (TV Series 2001–2003)</t>
  </si>
  <si>
    <t>Princess Tutu (TV Series 2002–2003)</t>
  </si>
  <si>
    <t>Prison Break (TV Series 2005–2017)</t>
  </si>
  <si>
    <t>Private Schulz (TV Series 1981– )</t>
  </si>
  <si>
    <t>Prodigal Son (TV Series 2019– )</t>
  </si>
  <si>
    <t>Profiler (TV Series 1996–2000)</t>
  </si>
  <si>
    <t>Project Runway (TV Series 2004– )</t>
  </si>
  <si>
    <t>Project Runway Canada (TV Series 2007– )</t>
  </si>
  <si>
    <t>Proven Innocent (TV Series 2019)</t>
  </si>
  <si>
    <t>Providence (TV Series 1999–2002)</t>
  </si>
  <si>
    <t>Psych (TV Series 2006–2014)</t>
  </si>
  <si>
    <t>Psychic Detective Yakumo (TV Series 2010– )</t>
  </si>
  <si>
    <t>Psychic Kids: Children of the Paranormal (TV Series 2008– )</t>
  </si>
  <si>
    <t>Psycho-Pass (TV Series 2012– )</t>
  </si>
  <si>
    <t>Psychopat Bejr (TV Series 2016– )</t>
  </si>
  <si>
    <t>Pugwall (TV Series 1989–1991)</t>
  </si>
  <si>
    <t>Pulp Horror (TV Series 2017– )</t>
  </si>
  <si>
    <t>Punched Up (TV Series 2006– )</t>
  </si>
  <si>
    <t>Punky Brewster (TV Series 1984–1988)</t>
  </si>
  <si>
    <t>Pupa (TV Series 2014– )</t>
  </si>
  <si>
    <t>Pushing Daisies (TV Series 2007–2009)</t>
  </si>
  <si>
    <t>Put on Francella (TV Series 2001–2002)</t>
  </si>
  <si>
    <t>Qeios (TV Series 2014– )</t>
  </si>
  <si>
    <t>QSN with Helene Ellford (TV Series 2015– )</t>
  </si>
  <si>
    <t>Quack Pack (TV Series 1996–1997)</t>
  </si>
  <si>
    <t>Quantico (TV Series 2015–2018)</t>
  </si>
  <si>
    <t>Quantum Leap (TV Series 1989–1993)</t>
  </si>
  <si>
    <t>Quarry (TV Series 2016– )</t>
  </si>
  <si>
    <t>Queen of Swords (TV Series 2000–2001)</t>
  </si>
  <si>
    <t>Queen's English (TV Series 2018– )</t>
  </si>
  <si>
    <t>Queer as Folk (TV Series 2000–2005)</t>
  </si>
  <si>
    <t>Queer Eye (TV Series 2003–2007)</t>
  </si>
  <si>
    <t>Quicksand (TV Mini-Series 2019– )</t>
  </si>
  <si>
    <t>Rab C. Nesbitt (TV Series 1988–2014)</t>
  </si>
  <si>
    <t>Race: The Power of an Illusion (TV Series 2003– )</t>
  </si>
  <si>
    <t>Racing Wives (TV Series 2019– )</t>
  </si>
  <si>
    <t>Raging Planet (TV Series 1997– )</t>
  </si>
  <si>
    <t>Rainbow Brite (TV Series 1984–1986)</t>
  </si>
  <si>
    <t>Rake (TV Series 2010–2018)</t>
  </si>
  <si>
    <t>Random Acts of Flyness (TV Series 2018– )</t>
  </si>
  <si>
    <t>Randy ASMR (TV Series 2017– )</t>
  </si>
  <si>
    <t>Ranjenik (TV Series 1988– )</t>
  </si>
  <si>
    <t>Ranma 1⁄2 (TV Series 1989)</t>
  </si>
  <si>
    <t>Ranma 1⁄2: Nettô-hen (TV Series 1989–1992)</t>
  </si>
  <si>
    <t>Ransom (TV Series 2017–2019)</t>
  </si>
  <si>
    <t>Rapunzel ASMR (TV Series 2015– )</t>
  </si>
  <si>
    <t>Raven's Home (TV Series 2017– )</t>
  </si>
  <si>
    <t>Ravenwolf Towers (TV Series 2016– )</t>
  </si>
  <si>
    <t>Rayes Korso (TV Series 2019– )</t>
  </si>
  <si>
    <t>Re\Visioned: Tomb Raider Animated Series (TV Series 2007)</t>
  </si>
  <si>
    <t>Ready for Love (TV Series 2013– )</t>
  </si>
  <si>
    <t>Real Detective (TV Series 2016– )</t>
  </si>
  <si>
    <t>Real Love (TV Series 2003– )</t>
  </si>
  <si>
    <t>Real Sex (TV Series 1990– )</t>
  </si>
  <si>
    <t>Really Random Rants (TV Series 2015– )</t>
  </si>
  <si>
    <t>Reaper (TV Series 2007–2009)</t>
  </si>
  <si>
    <t>Reba (TV Series 2001–2007)</t>
  </si>
  <si>
    <t>Rebelde (TV Series 2004–2006)</t>
  </si>
  <si>
    <t>ReBoot (TV Series 1994–2001)</t>
  </si>
  <si>
    <t>Recess (TV Series 1997–2001)</t>
  </si>
  <si>
    <t>Reckless (TV Series 2014)</t>
  </si>
  <si>
    <t>Rectify (TV Series 2013–2016)</t>
  </si>
  <si>
    <t>Red Dwarf (TV Series 1988– )</t>
  </si>
  <si>
    <t>Rederiet (TV Series 1992–2002)</t>
  </si>
  <si>
    <t>Redwall (TV Series 1999– )</t>
  </si>
  <si>
    <t>Reef Break (TV Series 2019– )</t>
  </si>
  <si>
    <t>Regal Academy (TV Series 2016– )</t>
  </si>
  <si>
    <t>ReGenesis (TV Series 2004–2008)</t>
  </si>
  <si>
    <t>Regular Show (TV Series 2009–2017)</t>
  </si>
  <si>
    <t>Reign (TV Series 2013–2017)</t>
  </si>
  <si>
    <t>Reign: The Conqueror (TV Series 1997– )</t>
  </si>
  <si>
    <t>Rel (TV Series 2018– )</t>
  </si>
  <si>
    <t>Related (TV Series 2005–2006)</t>
  </si>
  <si>
    <t>Remember: War of the Son (TV Series 2015– )</t>
  </si>
  <si>
    <t>Remodeled (TV Series 2012– )</t>
  </si>
  <si>
    <t>Remontti (TV Series 2003– )</t>
  </si>
  <si>
    <t>Renegade (TV Series 1992–1997)</t>
  </si>
  <si>
    <t>Renford Rejects (TV Series 1998–2001)</t>
  </si>
  <si>
    <t>Reno 911! (TV Series 2003–2009)</t>
  </si>
  <si>
    <t>Rent-a-Goalie (TV Series 2006–2008)</t>
  </si>
  <si>
    <t>Reputasyon (TV Series 2011–2012)</t>
  </si>
  <si>
    <t>Rescue 911 (TV Series 1989–1996)</t>
  </si>
  <si>
    <t>Rescue Me (TV Series 2004–2011)</t>
  </si>
  <si>
    <t>Restoration Australia (TV Series 2015–2018)</t>
  </si>
  <si>
    <t>Retrato de familia (TV Series 1995–1996)</t>
  </si>
  <si>
    <t>Revelation Decoded (TV Series 2007– )</t>
  </si>
  <si>
    <t>Revenge (TV Series 2011–2015)</t>
  </si>
  <si>
    <t>Revenge of the Sock (TV Series 2011– )</t>
  </si>
  <si>
    <t>Reverie (TV Series 2018– )</t>
  </si>
  <si>
    <t>Revolution (TV Mini-Series 2019)</t>
  </si>
  <si>
    <t>Revolutionary Girl Utena (TV Series 1997)</t>
  </si>
  <si>
    <t>Richie Rich (TV Series 2015)</t>
  </si>
  <si>
    <t>Ridiculousness (TV Series 2011– )</t>
  </si>
  <si>
    <t>Ringer (TV Series 2011–2012)</t>
  </si>
  <si>
    <t>Rising Star (TV Series 2014)</t>
  </si>
  <si>
    <t>Rita Rocks (TV Series 2008–2009)</t>
  </si>
  <si>
    <t>River Monsters (TV Series 2009–2017)</t>
  </si>
  <si>
    <t>Riviera (TV Series 2017– )</t>
  </si>
  <si>
    <t>Robo Story (TV Series 1985– )</t>
  </si>
  <si>
    <t>Robokop (TV Series 2004– )</t>
  </si>
  <si>
    <t>Rock Suomi (TV Series 2010– )</t>
  </si>
  <si>
    <t>Rock the Cradle (TV Series 2008– )</t>
  </si>
  <si>
    <t>Rock the Park (TV Series 2014– )</t>
  </si>
  <si>
    <t>Rocket Power (TV Series 1999–2004)</t>
  </si>
  <si>
    <t>Rocko's Modern Life (TV Series 1993–1996)</t>
  </si>
  <si>
    <t>Rolling Love (TV Series 2008– )</t>
  </si>
  <si>
    <t>Roman Empire (TV Series 2016– )</t>
  </si>
  <si>
    <t>Ronin Warriors (TV Series 1988–1995)</t>
  </si>
  <si>
    <t>Ronny Chieng: International Student (TV Mini-Series 2017– )</t>
  </si>
  <si>
    <t>Rookie Agent Rouge (TV Series 2016)</t>
  </si>
  <si>
    <t>Room 104 (TV Series 2017– )</t>
  </si>
  <si>
    <t>Rosa salvaje (TV Series 1987– )</t>
  </si>
  <si>
    <t>Rosario + Vampire (TV Series 2008)</t>
  </si>
  <si>
    <t>Roswell (TV Series 1999–2002)</t>
  </si>
  <si>
    <t>Rotten (TV Series 2018)</t>
  </si>
  <si>
    <t>Rotterdammers van Formaat (TV Series 2009–2011)</t>
  </si>
  <si>
    <t>Royal Canadian Air Farce (TV Series 1993– )</t>
  </si>
  <si>
    <t>Royal Pains (TV Series 2009–2016)</t>
  </si>
  <si>
    <t>Rubicon (TV Series 2010– )</t>
  </si>
  <si>
    <t>Rude Awakening (TV Series 1998–2001)</t>
  </si>
  <si>
    <t>Rugrats (TV Series 1990–2006)</t>
  </si>
  <si>
    <t>Rumbling Hearts (TV Series 2003–2004)</t>
  </si>
  <si>
    <t>Running the Shop (TV Series 2015– )</t>
  </si>
  <si>
    <t>Rurouni Kenshin: Wandering Samurai (TV Series 1996–1999)</t>
  </si>
  <si>
    <t>Russell Coight's All Aussie Adventures (TV Series 2001–2018)</t>
  </si>
  <si>
    <t>Russian Doll (TV Series 2019– )</t>
  </si>
  <si>
    <t>Ryan Hansen Solves Crimes on Television (TV Series 2017– )</t>
  </si>
  <si>
    <t>S-style Show II (TV Series 2017–2020)</t>
  </si>
  <si>
    <t>S.T.R.O.N.G. (TV Series 2016– )</t>
  </si>
  <si>
    <t>Saber Rider and the Star Sheriffs (TV Series 1987–1988)</t>
  </si>
  <si>
    <t>Sacred Games (TV Series 2018– )</t>
  </si>
  <si>
    <t>Safe House (TV Series 2015– )</t>
  </si>
  <si>
    <t>Safety Geeks: SVI (TV Series 2009– )</t>
  </si>
  <si>
    <t>Sailor Moon (TV Series 1992–1997)</t>
  </si>
  <si>
    <t>Sailor Moon (TV Series 1995–2000)</t>
  </si>
  <si>
    <t>Saint Seiya (TV Series 1986–1989)</t>
  </si>
  <si>
    <t>Salvage Hunters (TV Series 2011– )</t>
  </si>
  <si>
    <t>Salvation (TV Series 2017–2018)</t>
  </si>
  <si>
    <t>Sam &amp; Cat (TV Series 2013–2014)</t>
  </si>
  <si>
    <t>Samantha Who? (TV Series 2007–2009)</t>
  </si>
  <si>
    <t>Samson en Gert (TV Series 1990– )</t>
  </si>
  <si>
    <t>Samurai Champloo (TV Series 2004–2005)</t>
  </si>
  <si>
    <t>Samurai Jack (TV Series 2001–2017)</t>
  </si>
  <si>
    <t>Sanctuary (TV Series 2008–2011)</t>
  </si>
  <si>
    <t>Santo Bugito (TV Series 1995)</t>
  </si>
  <si>
    <t>Sarabhai vs Sarabhai (TV Series 2004–2017)</t>
  </si>
  <si>
    <t>Savage (TV Series 2006–2007)</t>
  </si>
  <si>
    <t>Save Me (TV Series 2018– )</t>
  </si>
  <si>
    <t>Saved by the Bell (TV Series 1989–1992)</t>
  </si>
  <si>
    <t>Saving Hope (TV Series 2012– )</t>
  </si>
  <si>
    <t>Say What (TV Series 2007–2008)</t>
  </si>
  <si>
    <t>Say Yes to the Dress (TV Series 2007– )</t>
  </si>
  <si>
    <t>Scam City (TV Series 2012– )</t>
  </si>
  <si>
    <t>Scariest Places on Earth (TV Series 2000– )</t>
  </si>
  <si>
    <t>Scarlet Heart (TV Series 2011– )</t>
  </si>
  <si>
    <t>Scarred (TV Series 2007– )</t>
  </si>
  <si>
    <t>Scene of the Crime with Tony Harris (TV Series 2017– )</t>
  </si>
  <si>
    <t>Scholar Who Walks the Night (TV Series 2015– )</t>
  </si>
  <si>
    <t>School Days (TV Series 2007)</t>
  </si>
  <si>
    <t>School-Live! (TV Series 2015– )</t>
  </si>
  <si>
    <t>Scottish Murmurs ASMR (TV Series 2016– )</t>
  </si>
  <si>
    <t>Screenwipe (TV Series 2006–2009)</t>
  </si>
  <si>
    <t>Scrubs (TV Series 2001–2010)</t>
  </si>
  <si>
    <t>SCTV Channel (TV Series 1983–1984)</t>
  </si>
  <si>
    <t>SCTV Network (TV Series 1981–1983)</t>
  </si>
  <si>
    <t>SEAL Team (TV Series 2017– )</t>
  </si>
  <si>
    <t>Sealab 2021 (TV Series 2000–2005)</t>
  </si>
  <si>
    <t>SeaQuest 2032 (TV Series 1993–1996)</t>
  </si>
  <si>
    <t>Search Party (TV Series 2016– )</t>
  </si>
  <si>
    <t>Seattle Creation Conference (TV Series 2004– )</t>
  </si>
  <si>
    <t>Second City's Next Comedy Legend (TV Series 2007– )</t>
  </si>
  <si>
    <t>Secret Garden (TV Series 2010–2011)</t>
  </si>
  <si>
    <t>Secret History (TV Series 1991– )</t>
  </si>
  <si>
    <t>Secretos en el Jardín (TV Series 2013–2014)</t>
  </si>
  <si>
    <t>Secrets &amp; Lies (TV Series 2014– )</t>
  </si>
  <si>
    <t>Secrets and Lies (TV Series 2015–2016)</t>
  </si>
  <si>
    <t>Secrets of the Dead (TV Series 2000– )</t>
  </si>
  <si>
    <t>Seed (TV Series 2013–2014)</t>
  </si>
  <si>
    <t>Seeyou at night (TV Series 1990–1991)</t>
  </si>
  <si>
    <t>Seitokai yakuindomo (TV Series 2010– )</t>
  </si>
  <si>
    <t>Selling Sunset (TV Series 2019– )</t>
  </si>
  <si>
    <t>Sentenced to Suburbia (TV Series 2015– )</t>
  </si>
  <si>
    <t>Servant (TV Series 2019– )</t>
  </si>
  <si>
    <t>Sex Education (TV Series 2019– )</t>
  </si>
  <si>
    <t>Sex, Lies &amp; Murder (TV Series 2018– )</t>
  </si>
  <si>
    <t>Sex/Life (TV Series 1994–1998)</t>
  </si>
  <si>
    <t>SexTV (TV Series 1998–2008)</t>
  </si>
  <si>
    <t>Shadow Star Narutaru (TV Series 2003– )</t>
  </si>
  <si>
    <t>Shahs of Sunset (TV Series 2009– )</t>
  </si>
  <si>
    <t>Shake It Up (TV Series 2010–2013)</t>
  </si>
  <si>
    <t>Shakespeare &amp; Hathaway: Private Investigators (TV Mini-Series 2018– )</t>
  </si>
  <si>
    <t>Shane Dawson TV (TV Series 2008– )</t>
  </si>
  <si>
    <t>Shark (TV Series 2006–2008)</t>
  </si>
  <si>
    <t>Shark Tank (TV Series 2009– )</t>
  </si>
  <si>
    <t>Shattered City: The Halifax Explosion (TV Series 2003– )</t>
  </si>
  <si>
    <t>She-Ra: Princess of Power (TV Series 1985–1987)</t>
  </si>
  <si>
    <t>She-Wolf of London (TV Series 1990–1991)</t>
  </si>
  <si>
    <t>She, the Ultimate Weapon (TV Series 2002– )</t>
  </si>
  <si>
    <t>Sheriff Callie's Wild West (TV Series 2014– )</t>
  </si>
  <si>
    <t>Sherman Oaks (TV Series 1995–1997)</t>
  </si>
  <si>
    <t>Shetland (TV Series 2013– )</t>
  </si>
  <si>
    <t>Shigurui: Death Frenzy (TV Series 2007– )</t>
  </si>
  <si>
    <t>Shiki (TV Series 2010– )</t>
  </si>
  <si>
    <t>Shoebox Zoo (TV Series 2004– )</t>
  </si>
  <si>
    <t>Shopaholic Nicol (TV Series 2013– )</t>
  </si>
  <si>
    <t>Shot in the Dark (TV Series 2017– )</t>
  </si>
  <si>
    <t>Shots Fired (TV Series 2017)</t>
  </si>
  <si>
    <t>Shut Eye (TV Series 2016–2017)</t>
  </si>
  <si>
    <t>Shut Up Flower Boy Band (TV Series 2012– )</t>
  </si>
  <si>
    <t>Sidekick (TV Series 2010–2018)</t>
  </si>
  <si>
    <t>Siesta Key (TV Series 2017– )</t>
  </si>
  <si>
    <t>Silent Möbius (TV Series 1998– )</t>
  </si>
  <si>
    <t>Silver Fang (TV Series 1986– )</t>
  </si>
  <si>
    <t>Simi a Jirka (TV Series 2015– )</t>
  </si>
  <si>
    <t>Simoun (TV Series 2006– )</t>
  </si>
  <si>
    <t>Simply Nigella (TV Series 2015– )</t>
  </si>
  <si>
    <t>Sing Your Face Off (TV Series 2014– )</t>
  </si>
  <si>
    <t>Single in the Hamptons (TV Series 2002– )</t>
  </si>
  <si>
    <t>Single Parents (TV Series 2018– )</t>
  </si>
  <si>
    <t>Siren (TV Series 2018– )</t>
  </si>
  <si>
    <t>Sirens (TV Series 2014–2015)</t>
  </si>
  <si>
    <t>Sister Wives (TV Series 2010– )</t>
  </si>
  <si>
    <t>Six (TV Series 2017–2018)</t>
  </si>
  <si>
    <t>Six Flying Dragons (TV Series 2015– )</t>
  </si>
  <si>
    <t>Sjätte dagen (TV Series 1999–2001)</t>
  </si>
  <si>
    <t>Skam (TV Series 2015–2017)</t>
  </si>
  <si>
    <t>Skeleton Warriors (TV Series 1994– )</t>
  </si>
  <si>
    <t>SketchersonsTV (TV Series 2010–2011)</t>
  </si>
  <si>
    <t>Skint (TV Series 2013– )</t>
  </si>
  <si>
    <t>Sky Dancers (TV Series 1996– )</t>
  </si>
  <si>
    <t>Slacker Cats (TV Series 2007– )</t>
  </si>
  <si>
    <t>Sleeper Cell (TV Series 2005–2006)</t>
  </si>
  <si>
    <t>Sleepwalkers (TV Series 1997–1998)</t>
  </si>
  <si>
    <t>Slings and Arrows (TV Series 2003–2006)</t>
  </si>
  <si>
    <t>Sloggers (TV Series 1994– )</t>
  </si>
  <si>
    <t>Slozna braca (TV Series 1995– )</t>
  </si>
  <si>
    <t>Small Town Security (TV Series 2012– )</t>
  </si>
  <si>
    <t>Sneaky Pete (TV Series 2015–2019)</t>
  </si>
  <si>
    <t>Snobs (TV Series 2003–2004)</t>
  </si>
  <si>
    <t>Snowfall (TV Series 2017– )</t>
  </si>
  <si>
    <t>Snupsters Sidetracked (TV Series 2015– )</t>
  </si>
  <si>
    <t>So You Think You Can Dance (TV Series 2005– )</t>
  </si>
  <si>
    <t>Sofia the First (TV Series 2013–2018)</t>
  </si>
  <si>
    <t>Soft Anna PL (TV Series 2013– )</t>
  </si>
  <si>
    <t>Some Girls (TV Series 2012– )</t>
  </si>
  <si>
    <t>Somebody Feed Phil (TV Series 2018– )</t>
  </si>
  <si>
    <t>Somewhere Between (TV Series 2017)</t>
  </si>
  <si>
    <t>Son of the Beach (TV Series 2000–2002)</t>
  </si>
  <si>
    <t>Son'ka (TV Series 2015– )</t>
  </si>
  <si>
    <t>Song of Wend (TV Series 2013– )</t>
  </si>
  <si>
    <t>Songland (TV Series 2019– )</t>
  </si>
  <si>
    <t>Sonic Boom (TV Series 2014–2017)</t>
  </si>
  <si>
    <t>Sonic Underground (TV Series 1999–2000)</t>
  </si>
  <si>
    <t>Sonic X (TV Series 2003–2006)</t>
  </si>
  <si>
    <t>Sonny Soufflé chok show (TV Series 1986–1987)</t>
  </si>
  <si>
    <t>Sons of Anarchy (TV Series 2008–2014)</t>
  </si>
  <si>
    <t>Sons of Thunder (TV Series 1999– )</t>
  </si>
  <si>
    <t>SophieMichelle ASMR (TV Series 2017– )</t>
  </si>
  <si>
    <t>Sordid Lives: The Series (TV Series 2008– )</t>
  </si>
  <si>
    <t>Sorority Girls (TV Series 2011– )</t>
  </si>
  <si>
    <t>Soul Mate (TV Series 2005– )</t>
  </si>
  <si>
    <t>Soulmate (TV Series 2006– )</t>
  </si>
  <si>
    <t>Sound! Euphonium (TV Series 2015– )</t>
  </si>
  <si>
    <t>South of Nowhere (TV Series 2005–2008)</t>
  </si>
  <si>
    <t>Southern Charm (TV Series 2013– )</t>
  </si>
  <si>
    <t>Southland (TV Series 2009–2013)</t>
  </si>
  <si>
    <t>Southwest: The Series (TV Series 2013– )</t>
  </si>
  <si>
    <t>Space Cobra (TV Series 1982–1983)</t>
  </si>
  <si>
    <t>Space: Above and Beyond (TV Series 1995–1996)</t>
  </si>
  <si>
    <t>Spaced (TV Series 1999–2001)</t>
  </si>
  <si>
    <t>Spanac (TV Mini-Series 1982– )</t>
  </si>
  <si>
    <t>Special Collector's Edition (TV Series 2010–2015)</t>
  </si>
  <si>
    <t>Special Unit 2 (TV Series 2001–2002)</t>
  </si>
  <si>
    <t>Speechless (TV Series 2016–2019)</t>
  </si>
  <si>
    <t>SphinxGeheimnisse der Geschichte (TV Series 1994– )</t>
  </si>
  <si>
    <t>Spice and Wolf (TV Series 2008–2009)</t>
  </si>
  <si>
    <t>Spicy City (TV Series 1997)</t>
  </si>
  <si>
    <t>Spider-Man (TV Series 2003)</t>
  </si>
  <si>
    <t>Spirit Riding Free (TV Series 2017– )</t>
  </si>
  <si>
    <t>Spirited (TV Series 2010– )</t>
  </si>
  <si>
    <t>Splash (TV Series 2013– )</t>
  </si>
  <si>
    <t>Splitting Up Together (TV Series 2018–2019)</t>
  </si>
  <si>
    <t>SpongeBob SquarePants (TV Series 1999– )</t>
  </si>
  <si>
    <t>Spooks (TV Series 2002–2011)</t>
  </si>
  <si>
    <t>Spotless (TV Series 2015– )</t>
  </si>
  <si>
    <t>Squinters (TV Series 2018– )</t>
  </si>
  <si>
    <t>Squirrel Boy (TV Series 2006–2007)</t>
  </si>
  <si>
    <t>Stan Against Evil (TV Series 2016–2018)</t>
  </si>
  <si>
    <t>Standoff (TV Series 2006–2007)</t>
  </si>
  <si>
    <t>Star (TV Series 2016–2019)</t>
  </si>
  <si>
    <t>Star vs. the Forces of Evil (TV Series 2015–2019)</t>
  </si>
  <si>
    <t>Starla and the Jewel Riders (TV Series 1995– )</t>
  </si>
  <si>
    <t>Starri ASMR (TV Series 2015– )</t>
  </si>
  <si>
    <t>StartUp (TV Series 2016– )</t>
  </si>
  <si>
    <t>State of the Union (TV Series 2019– )</t>
  </si>
  <si>
    <t>Static Shock (TV Series 2000–2004)</t>
  </si>
  <si>
    <t>STC: The Falkenhorst Chronicles (TV Series 2013– )</t>
  </si>
  <si>
    <t>Stedfast Baptist Church (TV Series 2014– )</t>
  </si>
  <si>
    <t>Steins;Gate (TV Series 2011–2015)</t>
  </si>
  <si>
    <t>Stejk (TV Series 2012– )</t>
  </si>
  <si>
    <t>Stella (TV Series 2005)</t>
  </si>
  <si>
    <t>Stella and Sam (TV Series 2011– )</t>
  </si>
  <si>
    <t>Stella Blómkvist (TV Series 2017– )</t>
  </si>
  <si>
    <t>Stellar Firma (TV Series 2019– )</t>
  </si>
  <si>
    <t>Stellenbosch (TV Series 2007– )</t>
  </si>
  <si>
    <t>Step by Step (TV Series 1991–1998)</t>
  </si>
  <si>
    <t>Steven Seagal: Lawman (TV Series 2009– )</t>
  </si>
  <si>
    <t>Steven Universe (TV Series 2013– )</t>
  </si>
  <si>
    <t>Stevie and Zoya (TV Series 1987–1989)</t>
  </si>
  <si>
    <t>Still Open All Hours (TV Series 2013– )</t>
  </si>
  <si>
    <t>Still Standing (TV Series 2002–2006)</t>
  </si>
  <si>
    <t>Stokes Twins (TV Series 2017– )</t>
  </si>
  <si>
    <t>Storage Hunters (TV Series 2011– )</t>
  </si>
  <si>
    <t>Storage Wars (TV Series 2010– )</t>
  </si>
  <si>
    <t>Storm Chasers (TV Series 2007– )</t>
  </si>
  <si>
    <t>Strange Angel (TV Series 2018– )</t>
  </si>
  <si>
    <t>Strange Love (TV Series 2005– )</t>
  </si>
  <si>
    <t>Strange World (TV Series 1999–2002)</t>
  </si>
  <si>
    <t>Strangers (TV Series 1996– )</t>
  </si>
  <si>
    <t>Strangers with Candy (TV Series 1999–2000)</t>
  </si>
  <si>
    <t>Strawberry Night Saga (TV Series 2019– )</t>
  </si>
  <si>
    <t>Street Hawk (TV Series 1985)</t>
  </si>
  <si>
    <t>Stretch Armstrong &amp; the Flex Fighters (TV Series 2017– )</t>
  </si>
  <si>
    <t>Strictly Confidential (TV Series 2006– )</t>
  </si>
  <si>
    <t>Strike Back (TV Series 2010– )</t>
  </si>
  <si>
    <t>Stripperella (TV Series 2003–2004)</t>
  </si>
  <si>
    <t>Stroker and Hoop (TV Series 2004–2005)</t>
  </si>
  <si>
    <t>Student Abroad (TV Series 2005–2006)</t>
  </si>
  <si>
    <t>Stupidface (TV Series 2007– )</t>
  </si>
  <si>
    <t>Submission (TV Series 2016– )</t>
  </si>
  <si>
    <t>Succession (TV Series 2018– )</t>
  </si>
  <si>
    <t>Sugar Rush (TV Series 2005–2006)</t>
  </si>
  <si>
    <t>Suits (TV Series 2011– )</t>
  </si>
  <si>
    <t>Summer Camp Island (TV Series 2018– )</t>
  </si>
  <si>
    <t>Summer House (TV Series 2017– )</t>
  </si>
  <si>
    <t>Sungkyunkwan Scandal (TV Series 2010– )</t>
  </si>
  <si>
    <t>Sunset Beach (TV Series 1997–1999)</t>
  </si>
  <si>
    <t>Super Dave (TV Series 1987–1999)</t>
  </si>
  <si>
    <t>Super Dimensional Fortress Macross (TV Series 1982–1995)</t>
  </si>
  <si>
    <t>Super Girl (TV Series 2011– )</t>
  </si>
  <si>
    <t>Super Mario World (TV Series 1991)</t>
  </si>
  <si>
    <t>Supergirl (TV Series 2015– )</t>
  </si>
  <si>
    <t>Superior Donuts (TV Series 2017–2018)</t>
  </si>
  <si>
    <t>Superjail! (TV Series 2007–2014)</t>
  </si>
  <si>
    <t>Supermarket Sweep (TV Series 2019– )</t>
  </si>
  <si>
    <t>Supermax (TV Series 2016– )</t>
  </si>
  <si>
    <t>Supernanny (TV Series 2005–2012)</t>
  </si>
  <si>
    <t>Supernatural (TV Series 2005– )</t>
  </si>
  <si>
    <t>SuperTed (TV Series 1983–1986)</t>
  </si>
  <si>
    <t>Supreme Court Oral Arguments (TV Series 2000– )</t>
  </si>
  <si>
    <t>Survival of the Fittest (TV Series 2018– )</t>
  </si>
  <si>
    <t>Survivor's Remorse (TV Series 2014– )</t>
  </si>
  <si>
    <t>Survivorman (TV Series 2004– )</t>
  </si>
  <si>
    <t>Sushant Pradhan (TV Series 2014– )</t>
  </si>
  <si>
    <t>Svédská trojka (TV Series 2013– )</t>
  </si>
  <si>
    <t>Svengoolie (TV Series 1995– )</t>
  </si>
  <si>
    <t>Svet pod Hlavou (TV Series 2017– )</t>
  </si>
  <si>
    <t>Svet podle Katky (TV Series 2016– )</t>
  </si>
  <si>
    <t>Swamp Murders (TV Series 2013– )</t>
  </si>
  <si>
    <t>Swamp People (TV Series 2010– )</t>
  </si>
  <si>
    <t>Swedish Dicks (TV Series 2016– )</t>
  </si>
  <si>
    <t>Sweet Blue Flowers (TV Series 2009)</t>
  </si>
  <si>
    <t>Sweetbitter (TV Series 2018– )</t>
  </si>
  <si>
    <t>Sweethearts (TV Series 2002–2004)</t>
  </si>
  <si>
    <t>Sweetiemarket (TV Series 2016– )</t>
  </si>
  <si>
    <t>Swingtown (TV Series 2008)</t>
  </si>
  <si>
    <t>Switched at Birth (TV Series 2011–2017)</t>
  </si>
  <si>
    <t>Sword Art Online (TV Series 2012– )</t>
  </si>
  <si>
    <t>Sym-Bionic Titan (TV Series 2010–2011)</t>
  </si>
  <si>
    <t>T.U.F.F. Puppy (TV Series 2010–2015)</t>
  </si>
  <si>
    <t>Taboo (TV Series 2017– )</t>
  </si>
  <si>
    <t>Taken (TV Series 2017–2018)</t>
  </si>
  <si>
    <t>Takkay Ki Ayegi Baraat (TV Series 2011)</t>
  </si>
  <si>
    <t>Tales by Light (TV Series 2015– )</t>
  </si>
  <si>
    <t>Tales from the Cryptkeeper (TV Series 1993–1999)</t>
  </si>
  <si>
    <t>Tales from the Neverending Story (TV Series 2001– )</t>
  </si>
  <si>
    <t>Tales of the Gold Monkey (TV Series 1982–1983)</t>
  </si>
  <si>
    <t>TaleSpin (TV Series 1990–1991)</t>
  </si>
  <si>
    <t>Talk to Me (TV Series 2007– )</t>
  </si>
  <si>
    <t>Talking Tom and Friends (TV Series 2014– )</t>
  </si>
  <si>
    <t>Taylor ASMR (TV Series 2016– )</t>
  </si>
  <si>
    <t>Teachers (TV Series 2001–2004)</t>
  </si>
  <si>
    <t>Team Umizoomi (TV Series 2010–2015)</t>
  </si>
  <si>
    <t>Technic Players (TV Series 2013– )</t>
  </si>
  <si>
    <t>Teen Mom (TV Series 2009– )</t>
  </si>
  <si>
    <t>Teen Mom 2 (TV Series 2011– )</t>
  </si>
  <si>
    <t>Tell Me a Story (TV Series 2018– )</t>
  </si>
  <si>
    <t>Tell Me You Love Me (TV Series 2007)</t>
  </si>
  <si>
    <t>Temný kraj (TV Series 2017– )</t>
  </si>
  <si>
    <t>Temptation Island (TV Series 2001–2003)</t>
  </si>
  <si>
    <t>Tenchi Muyô! (TV Series 1992– )</t>
  </si>
  <si>
    <t>Tengen toppa gurren lagann (TV Series 2007–2008)</t>
  </si>
  <si>
    <t>Tenko (TV Series 1981–1984)</t>
  </si>
  <si>
    <t>Tequila and Bonetti (TV Series 1992– )</t>
  </si>
  <si>
    <t>Teri (TV Series 2017– )</t>
  </si>
  <si>
    <t>Teri Blitzen (TV Series 2013– )</t>
  </si>
  <si>
    <t>Terra Nova (TV Series 2011)</t>
  </si>
  <si>
    <t>Terriers (TV Series 2010)</t>
  </si>
  <si>
    <t>Terry Crews Saves Christmas (TV Series 2016)</t>
  </si>
  <si>
    <t>Texhnolyze (TV Series 2003– )</t>
  </si>
  <si>
    <t>That '70s Show (TV Series 1998–2006)</t>
  </si>
  <si>
    <t>That's My Bush! (TV Series 2001)</t>
  </si>
  <si>
    <t>That's So Raven (TV Series 2003–2007)</t>
  </si>
  <si>
    <t>That's Warner Bros.! (TV Series 1995– )</t>
  </si>
  <si>
    <t>The 1980s: The Deadliest Decade (TV Series 2016–2017)</t>
  </si>
  <si>
    <t>The 1st Shop of Coffee Prince (TV Series 2007– )</t>
  </si>
  <si>
    <t>The 4400 (TV Series 2004–2007)</t>
  </si>
  <si>
    <t>The 5th Quadrant (TV Series 2002– )</t>
  </si>
  <si>
    <t>The 7D (TV Series 2014–2016)</t>
  </si>
  <si>
    <t>The A Word (TV Series 2016– )</t>
  </si>
  <si>
    <t>The A-List: Dallas (TV Series 2011– )</t>
  </si>
  <si>
    <t>The A-List: New York (TV Series 2010–2011)</t>
  </si>
  <si>
    <t>The A-Team (TV Series 1983–1987)</t>
  </si>
  <si>
    <t>The Act (TV Series 2019– )</t>
  </si>
  <si>
    <t>The Adventures of Brisco County, Jr. (TV Series 1993–1994)</t>
  </si>
  <si>
    <t>The Adventures of Pete &amp; Pete (TV Series 1992–1996)</t>
  </si>
  <si>
    <t>The Adventures of Young Hillary (TV Series 2015– )</t>
  </si>
  <si>
    <t>The Advocates (TV Mini-Series 1991– )</t>
  </si>
  <si>
    <t>The Affair (TV Series 2014– )</t>
  </si>
  <si>
    <t>The Alienist (TV Series 2018)</t>
  </si>
  <si>
    <t>The Allen and Craig Show (TV Series 2008–2010)</t>
  </si>
  <si>
    <t>The Amazing Race (TV Series 2001– )</t>
  </si>
  <si>
    <t>The Amazing World of Gumball (TV Series 2011–2019)</t>
  </si>
  <si>
    <t>The American Baking Competition (TV Series 2013– )</t>
  </si>
  <si>
    <t>The Americans (TV Series 2013–2018)</t>
  </si>
  <si>
    <t>The Angered Beast Reviewer (TV Series 2013– )</t>
  </si>
  <si>
    <t>The Angry Video Game Nerd (TV Series 2004– )</t>
  </si>
  <si>
    <t>The Animals of Farthing Wood (TV Series 1993–1995)</t>
  </si>
  <si>
    <t>The Anna Nicole Show (TV Series 2002–2004)</t>
  </si>
  <si>
    <t>The Arrangement (TV Series 2017–2018)</t>
  </si>
  <si>
    <t>The Atheism Tapes (TV Series 2004– )</t>
  </si>
  <si>
    <t>The Awesomes (TV Series 2013–2015)</t>
  </si>
  <si>
    <t>The Bachelor (TV Series 2002– )</t>
  </si>
  <si>
    <t>The Ben Stiller Show (TV Series 1992–1995)</t>
  </si>
  <si>
    <t>The Bible (TV Series 2018– )</t>
  </si>
  <si>
    <t>The Big O (TV Series 1999–2003)</t>
  </si>
  <si>
    <t>The Biggest Loser (TV Series 2004– )</t>
  </si>
  <si>
    <t>The Bill (TV Series 1984–2010)</t>
  </si>
  <si>
    <t>The Bionic Vet (TV Series 2010– )</t>
  </si>
  <si>
    <t>The Birthday Boys (TV Series 2013– )</t>
  </si>
  <si>
    <t>The Bisexual (TV Series 2018– )</t>
  </si>
  <si>
    <t>The Biskitts (TV Series 1983– )</t>
  </si>
  <si>
    <t>The Black Adder (TV Series 1982–1983)</t>
  </si>
  <si>
    <t>The Black Donnellys (TV Series 2007– )</t>
  </si>
  <si>
    <t>The Black Forest Clinic (TV Series 1985–1989)</t>
  </si>
  <si>
    <t>The Bletchley Circle (TV Series 2012–2014)</t>
  </si>
  <si>
    <t>The Blubburbs (TV Series 2018– )</t>
  </si>
  <si>
    <t>The Boat (TV Series 2011–2013)</t>
  </si>
  <si>
    <t>The Bobroom (TV Series 2004– )</t>
  </si>
  <si>
    <t>The Bold and the Beautiful (TV Series 1987– )</t>
  </si>
  <si>
    <t>The Bold Type (TV Series 2017– )</t>
  </si>
  <si>
    <t>The Book of Revelation (TV Series 2013– )</t>
  </si>
  <si>
    <t>The Book of the Three Hans (TV Series 2006–2007)</t>
  </si>
  <si>
    <t>The Boondocks (TV Series 2005–2014)</t>
  </si>
  <si>
    <t>The Border (TV Series 2014– )</t>
  </si>
  <si>
    <t>The Borgias (TV Series 2011–2013)</t>
  </si>
  <si>
    <t>The Brak Show (TV Series 2000–2007)</t>
  </si>
  <si>
    <t>The Bridge (TV Series 2010– )</t>
  </si>
  <si>
    <t>The Bridge (TV Series 2013–2014)</t>
  </si>
  <si>
    <t>The Briefcase (TV Series 2015– )</t>
  </si>
  <si>
    <t>The Brokenwood Mysteries (TV Series 2014– )</t>
  </si>
  <si>
    <t>The Bronx Zoo (TV Series 1987–1988)</t>
  </si>
  <si>
    <t>The Business (TV Series 2013–2018)</t>
  </si>
  <si>
    <t>The Call Girl (TV Series 2017)</t>
  </si>
  <si>
    <t>The Campbells (TV Series 1986–1990)</t>
  </si>
  <si>
    <t>The Catalina (TV Series 2012– )</t>
  </si>
  <si>
    <t>The Catlins (TV Series 1982–1985)</t>
  </si>
  <si>
    <t>The Chalet (TV Series 2017– )</t>
  </si>
  <si>
    <t>The Challenge (TV Series 1998– )</t>
  </si>
  <si>
    <t>The Chef Show (TV Series 2019– )</t>
  </si>
  <si>
    <t>The Choice (TV Series 2012– )</t>
  </si>
  <si>
    <t>The Cinema Snob (TV Series 2007– )</t>
  </si>
  <si>
    <t>The Class (TV Series 2006–2007)</t>
  </si>
  <si>
    <t>The Cleveland Show (TV Series 2009–2013)</t>
  </si>
  <si>
    <t>The Clone (TV Series 2001–2002)</t>
  </si>
  <si>
    <t>The Closer (TV Series 2005–2012)</t>
  </si>
  <si>
    <t>The Code (TV Series 2018– )</t>
  </si>
  <si>
    <t>The Colbys (TV Series 1985–1987)</t>
  </si>
  <si>
    <t>The Collection (TV Series 2016– )</t>
  </si>
  <si>
    <t>The Comeback (TV Series 2005–2014)</t>
  </si>
  <si>
    <t>The Comix Scrutinizer (TV Series 2012– )</t>
  </si>
  <si>
    <t>The Confession Tapes (TV Series 2017– )</t>
  </si>
  <si>
    <t>The Cosby Show (TV Series 1984–1992)</t>
  </si>
  <si>
    <t>The Country Diary of an Edwardian Lady (TV Series 1984– )</t>
  </si>
  <si>
    <t>The Crimson Field (TV Series 2014)</t>
  </si>
  <si>
    <t>The Critic (TV Series 1994–2001)</t>
  </si>
  <si>
    <t>The Crossing (TV Series 2018)</t>
  </si>
  <si>
    <t>The Crown of the Kings (TV Series 2018– )</t>
  </si>
  <si>
    <t>The Crystal Maze (TV Series 1990–2018)</t>
  </si>
  <si>
    <t>The Curse of Oak Island (TV Series 2014– )</t>
  </si>
  <si>
    <t>The Day My Butt Went Psycho! (TV Series 2013–2015)</t>
  </si>
  <si>
    <t>The Days (TV Series 2004– )</t>
  </si>
  <si>
    <t>The Disappearance of Madeleine McCann (TV Series 2019– )</t>
  </si>
  <si>
    <t>The Disguiser (TV Series 2015– )</t>
  </si>
  <si>
    <t>The Dream Team (TV Series 1999– )</t>
  </si>
  <si>
    <t>The Dreamstone (TV Series 1990–1995)</t>
  </si>
  <si>
    <t>The Drew Carey Show (TV Series 1995–2004)</t>
  </si>
  <si>
    <t>The Electric Company (TV Series 2006– )</t>
  </si>
  <si>
    <t>The Emperor of Taste (TV Series 2008–2009)</t>
  </si>
  <si>
    <t>The End of the F***ing World (TV Series 2017– )</t>
  </si>
  <si>
    <t>The Enemy Within (TV Series 2018– )</t>
  </si>
  <si>
    <t>The Equalizer (TV Series 1985–1989)</t>
  </si>
  <si>
    <t>The Event (TV Series 2010–2011)</t>
  </si>
  <si>
    <t>The Ex List (TV Series 2008–2009)</t>
  </si>
  <si>
    <t>The Fairly OddParents (TV Series 2001–2017)</t>
  </si>
  <si>
    <t>The Fall (TV Series 2013–2016)</t>
  </si>
  <si>
    <t>The Family (TV Series 2019– )</t>
  </si>
  <si>
    <t>The Favorite (TV Series 2008–2009)</t>
  </si>
  <si>
    <t>The Finder (TV Series 2012)</t>
  </si>
  <si>
    <t>The Firm (TV Series 2012)</t>
  </si>
  <si>
    <t>The First 48 (TV Series 2004– )</t>
  </si>
  <si>
    <t>The Fix (TV Series 2018– )</t>
  </si>
  <si>
    <t>The Fixer (TV Series 2008–2009)</t>
  </si>
  <si>
    <t>The Flying Doctors (TV Series 1986–1992)</t>
  </si>
  <si>
    <t>The Following (TV Series 2013–2015)</t>
  </si>
  <si>
    <t>The Forgotten (TV Series 2009–2010)</t>
  </si>
  <si>
    <t>The Forsyte Saga (TV Mini-Series 2002– )</t>
  </si>
  <si>
    <t>The Fresh Prince of Bel-Air (TV Series 1990–1996)</t>
  </si>
  <si>
    <t>The Game (TV Series 2006–2015)</t>
  </si>
  <si>
    <t>The Gates (TV Series 2010)</t>
  </si>
  <si>
    <t>The Gavin Crawford Show (TV Series 2000–2003)</t>
  </si>
  <si>
    <t>The Gay Riviera (TV Series 2001– )</t>
  </si>
  <si>
    <t>The Gentle Touch (TV Series 1980–1984)</t>
  </si>
  <si>
    <t>The Get Along Gang (TV Series 1984–1986)</t>
  </si>
  <si>
    <t>The Ghost Inside My Child (TV Series 2013– )</t>
  </si>
  <si>
    <t>The Girlfriend Experience (TV Series 2016– )</t>
  </si>
  <si>
    <t>The Girls Next Door (TV Series 2005– )</t>
  </si>
  <si>
    <t>The Glades (TV Series 2010–2013)</t>
  </si>
  <si>
    <t>The Godfather of Harlem (TV Series 2019– )</t>
  </si>
  <si>
    <t>The Goldbergs (TV Series 2013– )</t>
  </si>
  <si>
    <t>The Golden Girls (TV Series 1985–1992)</t>
  </si>
  <si>
    <t>The Golden Palace (TV Series 1992–1993)</t>
  </si>
  <si>
    <t>The Good Daughter (TV Series 2012)</t>
  </si>
  <si>
    <t>The Good Doctor (TV Series 2017– )</t>
  </si>
  <si>
    <t>The Good Fight (TV Series 2017– )</t>
  </si>
  <si>
    <t>The Good Karma Hospital (TV Series 2017– )</t>
  </si>
  <si>
    <t>The Good Wife (TV Series 2009–2016)</t>
  </si>
  <si>
    <t>The Grand (TV Series 1997–1998)</t>
  </si>
  <si>
    <t>The Great British Baking Show (TV Series 2010– )</t>
  </si>
  <si>
    <t>The Great Christmas Light Fight (TV Series 2013– )</t>
  </si>
  <si>
    <t>The Great Depression (TV Series 1993– )</t>
  </si>
  <si>
    <t>The Great Holiday Baking Show (TV Series 2015– )</t>
  </si>
  <si>
    <t>The Great Jang-Geum (TV Series 2003–2004)</t>
  </si>
  <si>
    <t>The Great Seer (TV Series 2012–2013)</t>
  </si>
  <si>
    <t>The Grim Adventures of Billy &amp; Mandy (TV Series 2001–2007)</t>
  </si>
  <si>
    <t>The Guardian (TV Series 2001–2004)</t>
  </si>
  <si>
    <t>The Guards (TV Series 2010– )</t>
  </si>
  <si>
    <t>The Guest Book (TV Series 2017– )</t>
  </si>
  <si>
    <t>The Ha!ifax Comedy Fest (TV Series 2002– )</t>
  </si>
  <si>
    <t>The Hackman (TV Series 2016–2017)</t>
  </si>
  <si>
    <t>The Halcyon (TV Series 2017– )</t>
  </si>
  <si>
    <t>The Head (TV Series 1994–1996)</t>
  </si>
  <si>
    <t>The Hills (TV Series 2006–2010)</t>
  </si>
  <si>
    <t>The History of Comedy (TV Series 2017– )</t>
  </si>
  <si>
    <t>The Holodeck (TV Series 2013–2014)</t>
  </si>
  <si>
    <t>The Horror Zone (TV Series 2017)</t>
  </si>
  <si>
    <t>The Hour (TV Series 2011–2012)</t>
  </si>
  <si>
    <t>The Human Condition (TV Series 2013– )</t>
  </si>
  <si>
    <t>The InBetween (TV Series 2019– )</t>
  </si>
  <si>
    <t>The Inbetweeners (TV Series 2008–2010)</t>
  </si>
  <si>
    <t>The Increasingly Poor Decisions of Todd Margaret (TV Series 2009–2016)</t>
  </si>
  <si>
    <t>The Incredible Dr. Pol (TV Series 2011– )</t>
  </si>
  <si>
    <t>The Inspectors (TV Series 2015– )</t>
  </si>
  <si>
    <t>The Investigator (TV Series 2009–2012)</t>
  </si>
  <si>
    <t>The Investigator: A British Crime Story (TV Series 2016– )</t>
  </si>
  <si>
    <t>The IT Crowd (TV Series 2006–2013)</t>
  </si>
  <si>
    <t>The Janice Dickinson Modeling Agency (TV Series 2006–2008)</t>
  </si>
  <si>
    <t>The Jim Gaffigan Show (TV Series 2015–2016)</t>
  </si>
  <si>
    <t>The Jon Dore Television Show (TV Series 2007–2009)</t>
  </si>
  <si>
    <t>The Joy of Painting (TV Series 1983–1994)</t>
  </si>
  <si>
    <t>The Julekalender (TV Series 1994– )</t>
  </si>
  <si>
    <t>The Jump (TV Series 1998– )</t>
  </si>
  <si>
    <t>The Jump (TV Series 2014– )</t>
  </si>
  <si>
    <t>The Jury Speaks (TV Series 2017– )</t>
  </si>
  <si>
    <t>The Keith Lemon Sketch Show (TV Series 2015–2016)</t>
  </si>
  <si>
    <t>The Kids Are Alright (TV Series 2018– )</t>
  </si>
  <si>
    <t>The Kids in the Hall (TV Series 1988–1994)</t>
  </si>
  <si>
    <t>The Killing (TV Series 2007–2012)</t>
  </si>
  <si>
    <t>The Killing of JonBenet: The Truth Uncovered (TV Series 2016– )</t>
  </si>
  <si>
    <t>The Killing Season (TV Series 2016– )</t>
  </si>
  <si>
    <t>The King 2 Hearts (TV Series 2012– )</t>
  </si>
  <si>
    <t>The King of Queens (TV Series 1998–2007)</t>
  </si>
  <si>
    <t>The Kingdom of the Winds (TV Series 2008–2009)</t>
  </si>
  <si>
    <t>The L Word (TV Series 2004–2009)</t>
  </si>
  <si>
    <t>The Lair (TV Series 2007– )</t>
  </si>
  <si>
    <t>The Larry Sanders Show (TV Series 1992–1998)</t>
  </si>
  <si>
    <t>The Last Kingdom (TV Series 2015– )</t>
  </si>
  <si>
    <t>The Last Man on Earth (TV Series 2015–2018)</t>
  </si>
  <si>
    <t>The Last Ship (TV Series 2014–2018)</t>
  </si>
  <si>
    <t>The Layover (TV Series 2011–2013)</t>
  </si>
  <si>
    <t>The Lazarus Man (TV Series 1996– )</t>
  </si>
  <si>
    <t>The League of Gentlemen (TV Series 1999–2017)</t>
  </si>
  <si>
    <t>The League of S.T.E.A.M. (TV Series 2010– )</t>
  </si>
  <si>
    <t>The Leftovers (TV Series 2014–2017)</t>
  </si>
  <si>
    <t>The Legend of Korra (TV Series 2012–2014)</t>
  </si>
  <si>
    <t>The Lens (TV Series 2014– )</t>
  </si>
  <si>
    <t>The Level (TV Series 2016– )</t>
  </si>
  <si>
    <t>The Librarians (TV Series 2007–2010)</t>
  </si>
  <si>
    <t>The Life &amp; Times of Tim (TV Series 2008–2012)</t>
  </si>
  <si>
    <t>The Life of Rock with Brian Pern (TV Series 2014– )</t>
  </si>
  <si>
    <t>The Line (TV Series 2009– )</t>
  </si>
  <si>
    <t>The Little Couple (TV Series 2009– )</t>
  </si>
  <si>
    <t>The Little Flying Bears (TV Series 1990– )</t>
  </si>
  <si>
    <t>The Little House (TV Series 2010– )</t>
  </si>
  <si>
    <t>The Little Mermaid (TV Series 1992–1994)</t>
  </si>
  <si>
    <t>The Looney Tunes Show (TV Series 2011–2014)</t>
  </si>
  <si>
    <t>The Lost Village (TV Series 2016– )</t>
  </si>
  <si>
    <t>The Loud House (TV Series 2016– )</t>
  </si>
  <si>
    <t>The Magic School Bus (TV Series 1994–1997)</t>
  </si>
  <si>
    <t>The Magnus Archives (TV Series 2016– )</t>
  </si>
  <si>
    <t>The Making of the Mob (TV Series 2015– )</t>
  </si>
  <si>
    <t>The Marvelous Mrs. Maisel (TV Series 2017– )</t>
  </si>
  <si>
    <t>The Mask (TV Series 1995–1997)</t>
  </si>
  <si>
    <t>The masked avenger: Lagardère (TV Movie 2003)</t>
  </si>
  <si>
    <t>The Masked Singer (TV Series 2019– )</t>
  </si>
  <si>
    <t>The Master (TV Series 1984)</t>
  </si>
  <si>
    <t>The Mentalist (TV Series 2008–2015)</t>
  </si>
  <si>
    <t>The Messengers (TV Series 2015)</t>
  </si>
  <si>
    <t>The Michael J. Fox Show (TV Series 2013–2014)</t>
  </si>
  <si>
    <t>The Mick (TV Series 2017–2018)</t>
  </si>
  <si>
    <t>The Middleman (TV Series 2008)</t>
  </si>
  <si>
    <t>The Mighty Boosh (TV Series 2003–2007)</t>
  </si>
  <si>
    <t>The Millers (TV Series 2013–2015)</t>
  </si>
  <si>
    <t>The Mind of a Chef (TV Series 2012– )</t>
  </si>
  <si>
    <t>The Mindy Project (TV Series 2012–2017)</t>
  </si>
  <si>
    <t>The Missing (TV Series 2014– )</t>
  </si>
  <si>
    <t>The Mist (TV Series 2017)</t>
  </si>
  <si>
    <t>The Moaning of Life (TV Series 2013– )</t>
  </si>
  <si>
    <t>The Moment of Truth (TV Series 2008– )</t>
  </si>
  <si>
    <t>The Money $hot (TV Series 2000–2001)</t>
  </si>
  <si>
    <t>The Moon That Embraces the Sun (TV Series 2012– )</t>
  </si>
  <si>
    <t>The Morgana Show (TV Series 2010– )</t>
  </si>
  <si>
    <t>The Mutants: Ways of the Heart (TV Series 2008– )</t>
  </si>
  <si>
    <t>The Naked Chef (TV Series 1999– )</t>
  </si>
  <si>
    <t>The Name of the Rose (TV Series 2019– )</t>
  </si>
  <si>
    <t>The Nanny (TV Series 1993–1999)</t>
  </si>
  <si>
    <t>The Neddeaus of Duqesne Island (TV Series 2017)</t>
  </si>
  <si>
    <t>The Neighborhood (TV Series 2018– )</t>
  </si>
  <si>
    <t>The NES Pursuit (TV Series 2018– )</t>
  </si>
  <si>
    <t>The New Legends of Monkey (TV Series 2018– )</t>
  </si>
  <si>
    <t>The Newsroom (TV Series 2012–2014)</t>
  </si>
  <si>
    <t>The Nineties (TV Series 2017)</t>
  </si>
  <si>
    <t>The OA (TV Series 2016–2019)</t>
  </si>
  <si>
    <t>The Oblongs (TV Series 2001–2002)</t>
  </si>
  <si>
    <t>The Octopus (TV Mini-Series 1984)</t>
  </si>
  <si>
    <t>The Office (TV Series 2001–2003)</t>
  </si>
  <si>
    <t>The One (TV Series 2011– )</t>
  </si>
  <si>
    <t>The Other Side of Paradise (TV Series 2017–2018)</t>
  </si>
  <si>
    <t>The Other Sport (TV Series 2013– )</t>
  </si>
  <si>
    <t>The Other Two (TV Series 2018– )</t>
  </si>
  <si>
    <t>The Others (TV Series 2000– )</t>
  </si>
  <si>
    <t>The Outer Limits (TV Series 1995–2002)</t>
  </si>
  <si>
    <t>The Passage (TV Series 2019)</t>
  </si>
  <si>
    <t>The Peep Jeep (TV Series 2011– )</t>
  </si>
  <si>
    <t>The Ping-Pong Club (TV Series 1995– )</t>
  </si>
  <si>
    <t>The Pitts (TV Series 2003)</t>
  </si>
  <si>
    <t>The PJs (TV Series 1999–2001)</t>
  </si>
  <si>
    <t>The Player (TV Series 2015)</t>
  </si>
  <si>
    <t>The Pretender (TV Series 1996–2000)</t>
  </si>
  <si>
    <t>The Princess' Man (TV Series 2011– )</t>
  </si>
  <si>
    <t>The Proposal (TV Series 2018– )</t>
  </si>
  <si>
    <t>The Proud Family (TV Series 2001–2005)</t>
  </si>
  <si>
    <t>The Puzzle Place (TV Series 1994–1998)</t>
  </si>
  <si>
    <t>The Quest (TV Series 2014– )</t>
  </si>
  <si>
    <t>The Raggy Dolls (TV Series 1986–1994)</t>
  </si>
  <si>
    <t>The Rain (TV Series 2018– )</t>
  </si>
  <si>
    <t>The Real Hustle (TV Series 2006–2012)</t>
  </si>
  <si>
    <t>The Real L Word (TV Series 2010–2012)</t>
  </si>
  <si>
    <t>The Real Story with Maria Elena Salinas (TV Series 2017–2018)</t>
  </si>
  <si>
    <t>The Red Green Show (TV Series 1991–2006)</t>
  </si>
  <si>
    <t>The Ren &amp; Stimpy Show (TV Series 1991–1996)</t>
  </si>
  <si>
    <t>The Resolve (TV Series 2010– )</t>
  </si>
  <si>
    <t>The Riches (TV Series 2007–2008)</t>
  </si>
  <si>
    <t>The Rick Mercer Report (TV Series 2004– )</t>
  </si>
  <si>
    <t>The Righteous Gemstones (TV Series 2019– )</t>
  </si>
  <si>
    <t>The Ron James Show (TV Series 2009– )</t>
  </si>
  <si>
    <t>The Rookie (TV Series 2018– )</t>
  </si>
  <si>
    <t>The Royle Family (TV Series 1998–2012)</t>
  </si>
  <si>
    <t>The Same Sky (TV Series 2017– )</t>
  </si>
  <si>
    <t>The Sarah Silverman Program. (TV Series 2007–2010)</t>
  </si>
  <si>
    <t>The Savage Dragon (TV Series 1995– )</t>
  </si>
  <si>
    <t>The Scoop (TV Series 2017– )</t>
  </si>
  <si>
    <t>The Seán Cullen Show (TV Series 2003– )</t>
  </si>
  <si>
    <t>The Secret Adventures of Jules Verne (TV Series 2000– )</t>
  </si>
  <si>
    <t>The Secret Circle (TV Series 2011–2012)</t>
  </si>
  <si>
    <t>The Secret Life of the American Teenager (TV Series 2008–2013)</t>
  </si>
  <si>
    <t>The Secret World of Alex Mack (TV Series 1994–1998)</t>
  </si>
  <si>
    <t>The Showbiz Show with David Spade (TV Series 2005– )</t>
  </si>
  <si>
    <t>The Silver Chair (TV Series 1990– )</t>
  </si>
  <si>
    <t>The Simple Life (TV Series 2003–2007)</t>
  </si>
  <si>
    <t>The Sin Reapers (TV Series 2015– )</t>
  </si>
  <si>
    <t>The Sinner (TV Series 2017– )</t>
  </si>
  <si>
    <t>The Sixties (TV Series 2014)</t>
  </si>
  <si>
    <t>The Society (TV Series 2019– )</t>
  </si>
  <si>
    <t>The Son (TV Series 2017–2019)</t>
  </si>
  <si>
    <t>The Sopranos (TV Series 1999–2007)</t>
  </si>
  <si>
    <t>The Staircase (TV Series 2004–2018)</t>
  </si>
  <si>
    <t>The Standups (TV Series 2017– )</t>
  </si>
  <si>
    <t>The Startup Hour (TV Series 2015– )</t>
  </si>
  <si>
    <t>The State (TV Series 1993–2009)</t>
  </si>
  <si>
    <t>The Strain (TV Series 2014–2017)</t>
  </si>
  <si>
    <t>The Studio (TV Series 2014– )</t>
  </si>
  <si>
    <t>The Suite Life of Zack &amp; Cody (TV Series 2005–2008)</t>
  </si>
  <si>
    <t>The Super Hero Squad Show (TV Series 2009–2011)</t>
  </si>
  <si>
    <t>The Super Powers Team: Galactic Guardians (TV Series 1985– )</t>
  </si>
  <si>
    <t>The Supervet (TV Series 2014– )</t>
  </si>
  <si>
    <t>The Sylvester &amp; Tweety Mysteries (TV Series 1995–2001)</t>
  </si>
  <si>
    <t>The Syndicate (TV Series 2012– )</t>
  </si>
  <si>
    <t>The Task (TV Series 2016– )</t>
  </si>
  <si>
    <t>The Terror (TV Series 2018– )</t>
  </si>
  <si>
    <t>The Time in Between (TV Series 2013–2014)</t>
  </si>
  <si>
    <t>The Tomorrow People (TV Series 2013–2014)</t>
  </si>
  <si>
    <t>The Torkelsons (TV Series 1991–1992)</t>
  </si>
  <si>
    <t>The Tower of DRUAGA:the Aegis of URUK (TV Series 2008– )</t>
  </si>
  <si>
    <t>The Toy Box (TV Series 2017– )</t>
  </si>
  <si>
    <t>The Toys That Made Us (TV Series 2017– )</t>
  </si>
  <si>
    <t>The Trap Door (TV Series 1984– )</t>
  </si>
  <si>
    <t>The Tribe (TV Series 1999–2003)</t>
  </si>
  <si>
    <t>The Tripods (TV Series 1984–1985)</t>
  </si>
  <si>
    <t>The Trixie &amp; Katya Show (TV Series 2017– )</t>
  </si>
  <si>
    <t>The Tube: Going Underground (TV Series 2016)</t>
  </si>
  <si>
    <t>The Two Lives of Estela Carrillo (TV Series 2017– )</t>
  </si>
  <si>
    <t>The UCB Show (TV Series 2016– )</t>
  </si>
  <si>
    <t>The Ultimate Fighter (TV Series 2005– )</t>
  </si>
  <si>
    <t>The Unicorn (TV Series 2019– )</t>
  </si>
  <si>
    <t>The Universe (TV Series 2007– )</t>
  </si>
  <si>
    <t>The Uptown Comedy Club (TV Series 1992–1994)</t>
  </si>
  <si>
    <t>The Venture Bros. (TV Series 2003– )</t>
  </si>
  <si>
    <t>The Vicar of Dibley (TV Series 1994–2015)</t>
  </si>
  <si>
    <t>The Vice (TV Series 1999–2003)</t>
  </si>
  <si>
    <t>The Villa (TV Series 1999–2003)</t>
  </si>
  <si>
    <t>The Village (TV Series 2013– )</t>
  </si>
  <si>
    <t>The Visitors (TV Series 1983– )</t>
  </si>
  <si>
    <t>The Voice (TV Series 2011– )</t>
  </si>
  <si>
    <t>The War at Home (TV Series 2005–2007)</t>
  </si>
  <si>
    <t>The Water Whispers (TV Series 2012– )</t>
  </si>
  <si>
    <t>The White Slave (TV Series 2016– )</t>
  </si>
  <si>
    <t>The Whitest Kids U'Know (TV Series 2007–2011)</t>
  </si>
  <si>
    <t>The Widow (TV Series 2019)</t>
  </si>
  <si>
    <t>The Wine Trails of Australia (TV Series 2005)</t>
  </si>
  <si>
    <t>The Winjin' Pom (TV Series 1991– )</t>
  </si>
  <si>
    <t>The Winner Is (TV Series 2012– )</t>
  </si>
  <si>
    <t>The Wonder Years (TV Series 1988–1993)</t>
  </si>
  <si>
    <t>The World Wars (TV Series 2014– )</t>
  </si>
  <si>
    <t>The Worst Witch (TV Series 1998–2001)</t>
  </si>
  <si>
    <t>The Wretched (TV Series 2018)</t>
  </si>
  <si>
    <t>The X-Files (TV Series 1993–2018)</t>
  </si>
  <si>
    <t>The Young Ones (TV Series 1982–1984)</t>
  </si>
  <si>
    <t>The Young Riders (TV Series 1989–1992)</t>
  </si>
  <si>
    <t>Theatre Fantastique (TV Series 2014– )</t>
  </si>
  <si>
    <t>Third Watch (TV Series 1999–2005)</t>
  </si>
  <si>
    <t>This Country (TV Series 2017– )</t>
  </si>
  <si>
    <t>This Is Us (TV Series 2016– )</t>
  </si>
  <si>
    <t>This Life (TV Series 1996–1997)</t>
  </si>
  <si>
    <t>This Movie Sucks! (TV Series 2010– )</t>
  </si>
  <si>
    <t>Those Who Can't (TV Series 2016– )</t>
  </si>
  <si>
    <t>Those Who Hunt Elves (TV Series 1996– )</t>
  </si>
  <si>
    <t>Through the Wormhole (TV Series 2010–2017)</t>
  </si>
  <si>
    <t>Thundarr the Barbarian (TV Series 1980–1981)</t>
  </si>
  <si>
    <t>Thundercats (TV Series 1985–1989)</t>
  </si>
  <si>
    <t>Thunderstone (TV Series 1999–2000)</t>
  </si>
  <si>
    <t>Tidelands (TV Series 2018– )</t>
  </si>
  <si>
    <t>Til Death (TV Series 2006–2010)</t>
  </si>
  <si>
    <t>Tim and Eric Awesome Show, Great Job! (TV Series 2007–2017)</t>
  </si>
  <si>
    <t>Tim and Eric Nite Live (TV Series 2007– )</t>
  </si>
  <si>
    <t>Time Gentlemen Please (TV Series 2000–2002)</t>
  </si>
  <si>
    <t>Time Team (TV Series 1994–2014)</t>
  </si>
  <si>
    <t>Time to Eat with Nadiya (TV Series 2019– )</t>
  </si>
  <si>
    <t>Timeless Love (TV Series 2010– )</t>
  </si>
  <si>
    <t>Tin Star (TV Series 2017– )</t>
  </si>
  <si>
    <t>Tiny Toon Adventures (TV Series 1990–1995)</t>
  </si>
  <si>
    <t>Titans (TV Series 2000–2001)</t>
  </si>
  <si>
    <t>Titus (TV Series 2000–2002)</t>
  </si>
  <si>
    <t>To Heart (TV Series 1999– )</t>
  </si>
  <si>
    <t>Today Is Maria's Day (TV Series 2005)</t>
  </si>
  <si>
    <t>Todd and the Book of Pure Evil (TV Series 2010– )</t>
  </si>
  <si>
    <t>Tôka gettan (TV Series 2007– )</t>
  </si>
  <si>
    <t>Tokio Private Police (TV Series 1997– )</t>
  </si>
  <si>
    <t>Toledo (TV Series 2012)</t>
  </si>
  <si>
    <t>Tom Daley (TV Series 2010– )</t>
  </si>
  <si>
    <t>Tomás Mike Pernica (TV Series 2015– )</t>
  </si>
  <si>
    <t>Toopy &amp; Binoo (TV Series 2005– )</t>
  </si>
  <si>
    <t>Top Chef (TV Series 2006– )</t>
  </si>
  <si>
    <t>Top Gear (TV Series 2002– )</t>
  </si>
  <si>
    <t>Torchwood (TV Series 2006–2011)</t>
  </si>
  <si>
    <t>Tosh.0 (TV Series 2009– )</t>
  </si>
  <si>
    <t>Toshi densetsu shirizu (TV Series 2016– )</t>
  </si>
  <si>
    <t>Total Bellas (TV Series 2016– )</t>
  </si>
  <si>
    <t>Total Divas (TV Series 2013– )</t>
  </si>
  <si>
    <t>Total Onslaught (TV Series 2004– )</t>
  </si>
  <si>
    <t>Total Wipeout (TV Series 2009–2012)</t>
  </si>
  <si>
    <t>Totally Spies! (TV Series 2001–2014)</t>
  </si>
  <si>
    <t>Townsend Television (TV Series 1993– )</t>
  </si>
  <si>
    <t>Tracey Ullman's Show (TV Series 2016– )</t>
  </si>
  <si>
    <t>Trail of Lies (TV Series 2013–2014)</t>
  </si>
  <si>
    <t>Trailer Park Boys (TV Series 2001–2018)</t>
  </si>
  <si>
    <t>Travel Man: 48 Hours in... (TV Series 2015– )</t>
  </si>
  <si>
    <t>Travels By Narrowboat (TV Series 2018– )</t>
  </si>
  <si>
    <t>Treme (TV Series 2010–2013)</t>
  </si>
  <si>
    <t>Tresh-obzor (TV Series 2012– )</t>
  </si>
  <si>
    <t>Trigun (TV Series 1998)</t>
  </si>
  <si>
    <t>Trinity (TV Series 2009)</t>
  </si>
  <si>
    <t>Tripping the Rift (TV Series 2004–2007)</t>
  </si>
  <si>
    <t>Tropes vs. Women in Video Games (TV Series 2013– )</t>
  </si>
  <si>
    <t>Trpaslík (TV Series 2017– )</t>
  </si>
  <si>
    <t>Tru Calling (TV Series 2003–2005)</t>
  </si>
  <si>
    <t>True Jackson, VP (TV Series 2008–2011)</t>
  </si>
  <si>
    <t>True Justice (TV Series 2010–2012)</t>
  </si>
  <si>
    <t>True Women (TV Movie 1997)</t>
  </si>
  <si>
    <t>Trust (TV Series 2018– )</t>
  </si>
  <si>
    <t>Truthhorse (TV Series 2004–2005)</t>
  </si>
  <si>
    <t>TURN: Washington's Spies (TV Series 2014–2017)</t>
  </si>
  <si>
    <t>TV Funhouse (TV Series 2000–2001)</t>
  </si>
  <si>
    <t>Twin Peaks (TV Series 1990–1991)</t>
  </si>
  <si>
    <t>Twin Turbos (TV Series 2018)</t>
  </si>
  <si>
    <t>Twisted (TV Series 2013–2014)</t>
  </si>
  <si>
    <t>Two Doors Down (TV Series 2016– )</t>
  </si>
  <si>
    <t>Two Guys, a Girl and a Pizza Place (TV Series 1998–2001)</t>
  </si>
  <si>
    <t>Two Sentence Horror Stories (TV Series 2017– )</t>
  </si>
  <si>
    <t>Tyranny (TV Series 2008– )</t>
  </si>
  <si>
    <t>UCB Comedy Originals (TV Series 2007– )</t>
  </si>
  <si>
    <t>Uga Uga (TV Series 2000–2001)</t>
  </si>
  <si>
    <t>Ugly Americans (TV Series 2010–2012)</t>
  </si>
  <si>
    <t>Ultimate Cake Off (TV Series 2009– )</t>
  </si>
  <si>
    <t>Ultraviolet (TV Series 2017– )</t>
  </si>
  <si>
    <t>Ultraviolet: Code 044 (TV Series 2008– )</t>
  </si>
  <si>
    <t>Ulysses 31 (TV Series 1981–1982)</t>
  </si>
  <si>
    <t>Um Menino Muito Maluquinho (TV Series 2006– )</t>
  </si>
  <si>
    <t>Unan1mous (TV Series 2006– )</t>
  </si>
  <si>
    <t>Undeclared (TV Series 2001–2003)</t>
  </si>
  <si>
    <t>Under the Dome (TV Series 2013–2015)</t>
  </si>
  <si>
    <t>Undercover Boss (TV Series 2010– )</t>
  </si>
  <si>
    <t>Undergrads (TV Series 2001)</t>
  </si>
  <si>
    <t>Underground (TV Series 2016– )</t>
  </si>
  <si>
    <t>Undressed (TV Series 1999–2002)</t>
  </si>
  <si>
    <t>Union Church of La Harpe, Illinois (TV Series 2012– )</t>
  </si>
  <si>
    <t>Unnatural History (TV Series 2010– )</t>
  </si>
  <si>
    <t>Unsolved Mysteries (TV Series 1987–2010)</t>
  </si>
  <si>
    <t>Unusual Suspects (TV Series 2010– )</t>
  </si>
  <si>
    <t>Upright Citizens Brigade (TV Series 1998–2000)</t>
  </si>
  <si>
    <t>Uranium: Twisting the Dragon's Tail (TV Series 2015)</t>
  </si>
  <si>
    <t>Urban Gothic (TV Series 2000– )</t>
  </si>
  <si>
    <t>Utopia (TV Series 2014)</t>
  </si>
  <si>
    <t>UUelcome (TV Series 2008– )</t>
  </si>
  <si>
    <t>Valley Metro Church (TV Series 2011– )</t>
  </si>
  <si>
    <t>Valor (TV Series 2017–2018)</t>
  </si>
  <si>
    <t>Vampire Knight (TV Series 2008– )</t>
  </si>
  <si>
    <t>Vampires (TV Mini-Series 2017)</t>
  </si>
  <si>
    <t>Vanderpump Rules (TV Series 2013– )</t>
  </si>
  <si>
    <t>Vasiliy Stalin (TV Series 2013)</t>
  </si>
  <si>
    <t>Vegas (TV Series 2012–2013)</t>
  </si>
  <si>
    <t>Velvet Collection (TV Series 2017– )</t>
  </si>
  <si>
    <t>Venus Versus Virus (TV Series 2007– )</t>
  </si>
  <si>
    <t>Vera (TV Series 2011– )</t>
  </si>
  <si>
    <t>Verbotene Liebe (TV Series 1995– )</t>
  </si>
  <si>
    <t>Vergüenza (TV Series 2017– )</t>
  </si>
  <si>
    <t>Verity Baptist Church (TV Series 2013– )</t>
  </si>
  <si>
    <t>Veronica Mars (TV Series 2004–2019)</t>
  </si>
  <si>
    <t>Veronika Spurná (TV Series 2015– )</t>
  </si>
  <si>
    <t>Versailles (TV Series 2015–2018)</t>
  </si>
  <si>
    <t>Vicious (TV Series 2013–2016)</t>
  </si>
  <si>
    <t>Victor &amp; Valentino (TV Series 2019– )</t>
  </si>
  <si>
    <t>Victoria (TV Series 2016– )</t>
  </si>
  <si>
    <t>Victoria &amp; Albert (TV Movie 2001)</t>
  </si>
  <si>
    <t>Victoria Wood (TV Series 1989)</t>
  </si>
  <si>
    <t>Victorious (TV Series 2010–2013)</t>
  </si>
  <si>
    <t>Vida (TV Series 2018– )</t>
  </si>
  <si>
    <t>Video Girl Ai (TV Series 1992– )</t>
  </si>
  <si>
    <t>Vinari (TV Series 2014– )</t>
  </si>
  <si>
    <t>Violetta (TV Series 2012– )</t>
  </si>
  <si>
    <t>Visionaries: Knights of the Magical Light (TV Series 1987)</t>
  </si>
  <si>
    <t>Vital Signs (TV Series 2006– )</t>
  </si>
  <si>
    <t>Viva Variety (TV Series 1997–1999)</t>
  </si>
  <si>
    <t>Vixen (TV Series 2015–2016)</t>
  </si>
  <si>
    <t>Voltron: Legendary Defender (TV Series 2016–2018)</t>
  </si>
  <si>
    <t>Voltron: The Third Dimension (TV Series 1998–2000)</t>
  </si>
  <si>
    <t>Voyage of the Unicorn (TV Movie 2001)</t>
  </si>
  <si>
    <t>Vsechny moje lásky (TV Series 2015– )</t>
  </si>
  <si>
    <t>Vysehrad (TV Series 2016– )</t>
  </si>
  <si>
    <t>W.I.T.C.H. (TV Series 2004–2006)</t>
  </si>
  <si>
    <t>Wacky Races (TV Series 2017– )</t>
  </si>
  <si>
    <t>Wainy Days (TV Series 2007– )</t>
  </si>
  <si>
    <t>Waiting for God (TV Series 1990–1994)</t>
  </si>
  <si>
    <t>Wake, Rattle &amp; Roll (TV Series 1990–1992)</t>
  </si>
  <si>
    <t>Waking the Dead (TV Series 2000–2011)</t>
  </si>
  <si>
    <t>Walang hanggan (TV Series 2012)</t>
  </si>
  <si>
    <t>Walking the Amazon (TV Series 2011– )</t>
  </si>
  <si>
    <t>Wallander (TV Series 2005–2013)</t>
  </si>
  <si>
    <t>Wallander (TV Series 2008–2016)</t>
  </si>
  <si>
    <t>Wan pîsu (TV Series 1999– )</t>
  </si>
  <si>
    <t>Wander Over Yonder (TV Series 2013–2016)</t>
  </si>
  <si>
    <t>Wangzi bian qingwa (TV Series 2005– )</t>
  </si>
  <si>
    <t>Wanna Be the Strongest in the World (TV Series 2013– )</t>
  </si>
  <si>
    <t>Wanted (TV Series 1996–1997)</t>
  </si>
  <si>
    <t>Warship (TV Series 2001– )</t>
  </si>
  <si>
    <t>Wat nu weer!? (TV Series 1995– )</t>
  </si>
  <si>
    <t>WataMote: No Matter How I Look at It, It's You Guys' Fault I'm Not Popular! (TV Series 2013)</t>
  </si>
  <si>
    <t>Water Rats (TV Series 1996–2001)</t>
  </si>
  <si>
    <t>Wayne and Shuster in Black and White (TV Series 1996– )</t>
  </si>
  <si>
    <t>Ways of the Heart (TV Series 2007–2008)</t>
  </si>
  <si>
    <t>We Bare Bears (TV Series 2014– )</t>
  </si>
  <si>
    <t>Weather Report Girl (TV Series 1994– )</t>
  </si>
  <si>
    <t>Webdreams (TV Series 2005– )</t>
  </si>
  <si>
    <t>Wentworth (TV Series 2013– )</t>
  </si>
  <si>
    <t>Westenwind (TV Series 1999–2003)</t>
  </si>
  <si>
    <t>Whale Wars (TV Series 2008– )</t>
  </si>
  <si>
    <t>What About Brian (TV Series 2006–2007)</t>
  </si>
  <si>
    <t>What Happens in Kavos (TV Series 2013– )</t>
  </si>
  <si>
    <t>Wheeler Dealers (TV Series 2003– )</t>
  </si>
  <si>
    <t>When Heroes Fly (TV Series 2018– )</t>
  </si>
  <si>
    <t>When They Cry (TV Series 2006– )</t>
  </si>
  <si>
    <t>Whispering Jane ASMR (TV Series 2016– )</t>
  </si>
  <si>
    <t>White Collar (TV Series 2009–2014)</t>
  </si>
  <si>
    <t>White Gold (TV Series 2017– )</t>
  </si>
  <si>
    <t>Whitechapel (TV Series 2009–2013)</t>
  </si>
  <si>
    <t>WhiteMike193 (TV Series 2010–2015)</t>
  </si>
  <si>
    <t>Who Do You Think You Are? (TV Series 2010– )</t>
  </si>
  <si>
    <t>Who Is America? (TV Series 2018– )</t>
  </si>
  <si>
    <t>Who Is Shinobi RedEye? (TV Series 2016)</t>
  </si>
  <si>
    <t>Who's Still Standing? (TV Series 2011–2012)</t>
  </si>
  <si>
    <t>Who's the Boss? (TV Series 1984–1992)</t>
  </si>
  <si>
    <t>Whoops Apocalypse (TV Series 1982– )</t>
  </si>
  <si>
    <t>Whose Line Is It Anyway? (TV Series 1998–2007)</t>
  </si>
  <si>
    <t>Wild 'N Out (TV Series 2005– )</t>
  </si>
  <si>
    <t>Wild Heart (TV Series 2009– )</t>
  </si>
  <si>
    <t>Wild Things with Dominic Monaghan (TV Series 2012– )</t>
  </si>
  <si>
    <t>Wildfire (TV Series 1986– )</t>
  </si>
  <si>
    <t>Wildflower (TV Series 2017– )</t>
  </si>
  <si>
    <t>Wilfred (TV Series 2011–2014)</t>
  </si>
  <si>
    <t>Will (TV Series 2017)</t>
  </si>
  <si>
    <t>Will &amp; Grace (TV Series 1998– )</t>
  </si>
  <si>
    <t>William and Mary (TV Series 2003– )</t>
  </si>
  <si>
    <t>Wind Blows in Chang Lin (Nirvana in Fire II) (TV Series 2017–2018)</t>
  </si>
  <si>
    <t>Wing Commander Academy (TV Series 1996)</t>
  </si>
  <si>
    <t>Winx Club (TV Series 2004– )</t>
  </si>
  <si>
    <t>Wipeout (TV Series 2008–2014)</t>
  </si>
  <si>
    <t>Wisdom of the Crowd (TV Series 2017–2018)</t>
  </si>
  <si>
    <t>Wishbone (TV Series 1995–1998)</t>
  </si>
  <si>
    <t>Witch Hunter Robin (TV Series 2002–2003)</t>
  </si>
  <si>
    <t>Witchblade (TV Series 2001–2002)</t>
  </si>
  <si>
    <t>Without a Trace (TV Series 2002–2009)</t>
  </si>
  <si>
    <t>Witless Protection Program (TV Series 2016– )</t>
  </si>
  <si>
    <t>Witnesses (TV Series 2014– )</t>
  </si>
  <si>
    <t>Wives with Knives (TV Series 2012– )</t>
  </si>
  <si>
    <t>Wizards of Waverly Place (TV Series 2007–2012)</t>
  </si>
  <si>
    <t>Wolf's Rain (TV Series 2003–2004)</t>
  </si>
  <si>
    <t>Wolkenfrei ASMR (TV Series 2019– )</t>
  </si>
  <si>
    <t>Women Artists of Australia (TV Series 1981– )</t>
  </si>
  <si>
    <t>Women in Love (TV Series 2003– )</t>
  </si>
  <si>
    <t>Wonder Showzen (TV Series 2005–2006)</t>
  </si>
  <si>
    <t>Wonderfalls (TV Series 2004)</t>
  </si>
  <si>
    <t>Wonderkids (TV Series 2001– )</t>
  </si>
  <si>
    <t>Wonderland (TV Series 2013–2015)</t>
  </si>
  <si>
    <t>Word of Truth Baptist Church (TV Series 2013– )</t>
  </si>
  <si>
    <t>Work of Art: The Next Great Artist (TV Series 2010– )</t>
  </si>
  <si>
    <t>Workin' Moms (TV Series 2017– )</t>
  </si>
  <si>
    <t>WPC 56 (TV Series 2013– )</t>
  </si>
  <si>
    <t>Wrecked (TV Series 2016–2018)</t>
  </si>
  <si>
    <t>Wycliffe (TV Series 1994– )</t>
  </si>
  <si>
    <t>X (TV Series 2001–2002)</t>
  </si>
  <si>
    <t>X Avion: The Weird Day (TV Series 2004–2010)</t>
  </si>
  <si>
    <t>X Company (TV Series 2015–2017)</t>
  </si>
  <si>
    <t>Xica da Silva (TV Series 1996– )</t>
  </si>
  <si>
    <t>XIII: The Series (TV Series 2011– )</t>
  </si>
  <si>
    <t>Xyber 9: New Dawn (TV Series 1999– )</t>
  </si>
  <si>
    <t>Yallahrup Færgeby (TV Series 2007)</t>
  </si>
  <si>
    <t>Yanusunokagami (TV Series 1985–1986)</t>
  </si>
  <si>
    <t>Years of Living Dangerously (TV Series 2014– )</t>
  </si>
  <si>
    <t>Yeh Meri Family (TV Series 2018– )</t>
  </si>
  <si>
    <t>Yes Minister (TV Series 1980–1984)</t>
  </si>
  <si>
    <t>Yin Yang Yo! (TV Series 2006–2009)</t>
  </si>
  <si>
    <t>Yo soy Bea (TV Series 2006– )</t>
  </si>
  <si>
    <t>Yo Yogi! (TV Series 1991–1992)</t>
  </si>
  <si>
    <t>Yogi's Treasure Hunt (TV Series 1985–1988)</t>
  </si>
  <si>
    <t>Yokohama kaidashi kikô (TV Series 1998– )</t>
  </si>
  <si>
    <t>YooHoo and Friends (TV Series 2011– )</t>
  </si>
  <si>
    <t>You Are Beautiful (TV Series 2009– )</t>
  </si>
  <si>
    <t>You Got Trumped: The First 100 Days (TV Series 2016– )</t>
  </si>
  <si>
    <t>You Me Her (TV Series 2016– )</t>
  </si>
  <si>
    <t>You Rang, M'Lord? (TV Series 1988–1993)</t>
  </si>
  <si>
    <t>You the Jury (TV Series 2017)</t>
  </si>
  <si>
    <t>You Wrote It, You Watch It (TV Series 1992– )</t>
  </si>
  <si>
    <t>You're the Worst (TV Series 2014–2019)</t>
  </si>
  <si>
    <t>You're Under Arrest! (TV Mini-Series 1996–2008)</t>
  </si>
  <si>
    <t>Young &amp; Hungry (TV Series 2014– )</t>
  </si>
  <si>
    <t>Young &amp; Reckless (TV Series 2016– )</t>
  </si>
  <si>
    <t>Young Americans (TV Series 2000)</t>
  </si>
  <si>
    <t>Young Hearts (TV Series 1995– )</t>
  </si>
  <si>
    <t>Young Justice (TV Series 2010– )</t>
  </si>
  <si>
    <t>Your Pretty Face Is Going to Hell (TV Series 2013– )</t>
  </si>
  <si>
    <t>Yu Yu Hakusho: Ghost Files (TV Series 1992–1995)</t>
  </si>
  <si>
    <t>Yuri!!! On Ice (TV Series 2016– )</t>
  </si>
  <si>
    <t>Z Nation (TV Series 2014–2018)</t>
  </si>
  <si>
    <t>Zakon buterbroda (TV Series 2015– )</t>
  </si>
  <si>
    <t>ZaumAndare a parare (TV Series 2011– )</t>
  </si>
  <si>
    <t>Zig and Sharko (TV Series 2010– )</t>
  </si>
  <si>
    <t>Zindagi Gulzar Hai (TV Series 2012–2013)</t>
  </si>
  <si>
    <t>Zoella (TV Series 2009– )</t>
  </si>
  <si>
    <t>Zoey 101 (TV Series 2005–2008)</t>
  </si>
  <si>
    <t>Zofka a spol (TV Series 1986– )</t>
  </si>
  <si>
    <t>Zoo (TV Series 2015–2017)</t>
  </si>
  <si>
    <t>Zyliara ASMR (TV Series 2018– )</t>
  </si>
  <si>
    <t>ZZZap! (TV Series 1993–2001)</t>
  </si>
  <si>
    <t>Title</t>
  </si>
  <si>
    <t>Is Match</t>
  </si>
  <si>
    <t>Is Num</t>
  </si>
  <si>
    <t>If Num</t>
  </si>
  <si>
    <t>Total</t>
  </si>
  <si>
    <t>¡Q'Viva!: The Chosen</t>
  </si>
  <si>
    <t>Evil</t>
  </si>
  <si>
    <t>10 Puppies and Us</t>
  </si>
  <si>
    <t>The Haves and the Have Nots</t>
  </si>
  <si>
    <t>100 Code</t>
  </si>
  <si>
    <t>House of Payne</t>
  </si>
  <si>
    <t>100 years of automobile</t>
  </si>
  <si>
    <t>Rosewood</t>
  </si>
  <si>
    <t>1000 Ways to Die</t>
  </si>
  <si>
    <t>The Cleveland Show</t>
  </si>
  <si>
    <t>12 Monkeys</t>
  </si>
  <si>
    <t>Doc McStuffins</t>
  </si>
  <si>
    <t>13 Reasons Why</t>
  </si>
  <si>
    <t>Superior Donuts</t>
  </si>
  <si>
    <t>15 Storeys High</t>
  </si>
  <si>
    <t>Real Husbands of Hollywood</t>
  </si>
  <si>
    <t>16 and Pregnant</t>
  </si>
  <si>
    <t>On Our Own</t>
  </si>
  <si>
    <t>1600 Penn</t>
  </si>
  <si>
    <t>For Better or Worse</t>
  </si>
  <si>
    <t>18 Wheels of Justice</t>
  </si>
  <si>
    <t>Love Thy Neighbor</t>
  </si>
  <si>
    <t>19 Kids and Counting</t>
  </si>
  <si>
    <t>Barbershop</t>
  </si>
  <si>
    <t>19-2</t>
  </si>
  <si>
    <t>Sanford</t>
  </si>
  <si>
    <t>Kojak</t>
  </si>
  <si>
    <t>Sanford Arms</t>
  </si>
  <si>
    <t>2 Broke Girls</t>
  </si>
  <si>
    <t>Chewing Gum</t>
  </si>
  <si>
    <t>20tantos</t>
  </si>
  <si>
    <t>Vagrant Queen</t>
  </si>
  <si>
    <t>21 Jump Street</t>
  </si>
  <si>
    <t>Prime</t>
  </si>
  <si>
    <t>Yakari</t>
  </si>
  <si>
    <t>24 Hour Restaurant Battle</t>
  </si>
  <si>
    <t>The Rez</t>
  </si>
  <si>
    <t>24 Hrs to Hell and Back</t>
  </si>
  <si>
    <t>24 to Life</t>
  </si>
  <si>
    <t>24: Legacy</t>
  </si>
  <si>
    <t>2point4 Children</t>
  </si>
  <si>
    <t>3:00 A.M.</t>
  </si>
  <si>
    <t>30 for 30</t>
  </si>
  <si>
    <t>30 Rock</t>
  </si>
  <si>
    <t>32 Brinkburn Street</t>
  </si>
  <si>
    <t>35 Diwrnod</t>
  </si>
  <si>
    <t>3Below: Tales of Arcadia</t>
  </si>
  <si>
    <t>3rd Rock from the Sun</t>
  </si>
  <si>
    <t>48 Hours</t>
  </si>
  <si>
    <t>56 Up</t>
  </si>
  <si>
    <t>5th Ward</t>
  </si>
  <si>
    <t>60 Days In</t>
  </si>
  <si>
    <t>7 Little Johnstons</t>
  </si>
  <si>
    <t>7 Lives Xposed</t>
  </si>
  <si>
    <t>7th Heaven</t>
  </si>
  <si>
    <t>8 Out of 10 Cats Does Countdown</t>
  </si>
  <si>
    <t>8 Simple Rules</t>
  </si>
  <si>
    <t>800 Words</t>
  </si>
  <si>
    <t>90 Day Fiancé</t>
  </si>
  <si>
    <t>90 Day Fiancé: The Other Way</t>
  </si>
  <si>
    <t>A Bit of a Do</t>
  </si>
  <si>
    <t>A Bit of Fry and Laurie</t>
  </si>
  <si>
    <t>A Chance to Love</t>
  </si>
  <si>
    <t>A Country Practice</t>
  </si>
  <si>
    <t>A Crime to Remember</t>
  </si>
  <si>
    <t>A Cup of Style</t>
  </si>
  <si>
    <t>A Discovery of Witches</t>
  </si>
  <si>
    <t>A Fine Romance</t>
  </si>
  <si>
    <t>A Game About Love</t>
  </si>
  <si>
    <t>A Gypsy Life for Me</t>
  </si>
  <si>
    <t>A Haunting</t>
  </si>
  <si>
    <t>A League of Their Own US Road Trip</t>
  </si>
  <si>
    <t>A Million Little Things</t>
  </si>
  <si>
    <t>A Nero Wolfe Mystery</t>
  </si>
  <si>
    <t>A Pup Named Scooby-Doo</t>
  </si>
  <si>
    <t>A Series of Unfortunate Events</t>
  </si>
  <si>
    <t>A Skirt Through History</t>
  </si>
  <si>
    <t>A Touch of Cloth</t>
  </si>
  <si>
    <t>A Touch of Frost</t>
  </si>
  <si>
    <t>A Wedding and a Murder</t>
  </si>
  <si>
    <t>A Wicked Offer</t>
  </si>
  <si>
    <t>A Young Doctor's Notebook &amp; Other Stories</t>
  </si>
  <si>
    <t>A.D. The Bible Continues</t>
  </si>
  <si>
    <t>A.N.T. Farm</t>
  </si>
  <si>
    <t>A.P. Bio</t>
  </si>
  <si>
    <t>Aahat</t>
  </si>
  <si>
    <t>Aap ki Kaneez</t>
  </si>
  <si>
    <t>Aaron Stone</t>
  </si>
  <si>
    <t>Abby's</t>
  </si>
  <si>
    <t>About Him</t>
  </si>
  <si>
    <t>Above Suspicion</t>
  </si>
  <si>
    <t>Absentia</t>
  </si>
  <si>
    <t>Absolute Boyfriend</t>
  </si>
  <si>
    <t>Absolutely Fabulous</t>
  </si>
  <si>
    <t>Acceptable TV</t>
  </si>
  <si>
    <t>According to Jim</t>
  </si>
  <si>
    <t>Ace of Cakes</t>
  </si>
  <si>
    <t>Ackley Bridge</t>
  </si>
  <si>
    <t>Acorralada</t>
  </si>
  <si>
    <t>Action League Now!!</t>
  </si>
  <si>
    <t>Adam Mach</t>
  </si>
  <si>
    <t>Adam Ruins Everything</t>
  </si>
  <si>
    <t>Adventure Time</t>
  </si>
  <si>
    <t>Adventures from the Book of Virtues</t>
  </si>
  <si>
    <t>Adventures in Wonderland</t>
  </si>
  <si>
    <t>Adventures of JAB</t>
  </si>
  <si>
    <t>Æon Flux</t>
  </si>
  <si>
    <t>Africa's Deadly Kingdoms</t>
  </si>
  <si>
    <t>Agatha Christie's Marple</t>
  </si>
  <si>
    <t>Agatha Raisin</t>
  </si>
  <si>
    <t>Agent Carter</t>
  </si>
  <si>
    <t>Agent X</t>
  </si>
  <si>
    <t>Agents of S.H.I.E.L.D.</t>
  </si>
  <si>
    <t>Ah! My Goddess</t>
  </si>
  <si>
    <t>Air Emergency</t>
  </si>
  <si>
    <t>Airplane Repo</t>
  </si>
  <si>
    <t>Airwolf</t>
  </si>
  <si>
    <t>Aladdin</t>
  </si>
  <si>
    <t>Alakdana</t>
  </si>
  <si>
    <t>Alarm für Cobra 11Die Autobahnpolizei</t>
  </si>
  <si>
    <t>Ales Lamka Fitness</t>
  </si>
  <si>
    <t>Alex, Inc.</t>
  </si>
  <si>
    <t>Alexa &amp; Katie</t>
  </si>
  <si>
    <t>ALF</t>
  </si>
  <si>
    <t>Alfred J. Kwak</t>
  </si>
  <si>
    <t>Ali May ASMR</t>
  </si>
  <si>
    <t>Alias</t>
  </si>
  <si>
    <t>Alien Nation</t>
  </si>
  <si>
    <t>Aliens in the Family</t>
  </si>
  <si>
    <t>Alisea and the Dream Prince</t>
  </si>
  <si>
    <t>All American</t>
  </si>
  <si>
    <t>All Def Comedy</t>
  </si>
  <si>
    <t>All Grown Up!</t>
  </si>
  <si>
    <t>All Saints</t>
  </si>
  <si>
    <t>All Souls</t>
  </si>
  <si>
    <t>Allen Gregory</t>
  </si>
  <si>
    <t>Alleyn Mysteries</t>
  </si>
  <si>
    <t>Allo 'Allo</t>
  </si>
  <si>
    <t>Ally McBeal</t>
  </si>
  <si>
    <t>Almost Home</t>
  </si>
  <si>
    <t>Alone</t>
  </si>
  <si>
    <t>Alone Together</t>
  </si>
  <si>
    <t>Altered Carbon</t>
  </si>
  <si>
    <t>Always and Everyone</t>
  </si>
  <si>
    <t>Amada Anime Series: Super Mario</t>
  </si>
  <si>
    <t>America</t>
  </si>
  <si>
    <t>America's Book of Secrets</t>
  </si>
  <si>
    <t>America's Funniest Home Videos</t>
  </si>
  <si>
    <t>America's Most Wanted: America Fights Back</t>
  </si>
  <si>
    <t>America's Next Top Model</t>
  </si>
  <si>
    <t>American Chainsaw</t>
  </si>
  <si>
    <t>American Crime Story</t>
  </si>
  <si>
    <t>American Dad!</t>
  </si>
  <si>
    <t>American Dragon: Jake Long</t>
  </si>
  <si>
    <t>American Dream Builders</t>
  </si>
  <si>
    <t>American Dreams</t>
  </si>
  <si>
    <t>American Gods</t>
  </si>
  <si>
    <t>American Gothic</t>
  </si>
  <si>
    <t>American Horror Story</t>
  </si>
  <si>
    <t>American Idol</t>
  </si>
  <si>
    <t>American Murder Song</t>
  </si>
  <si>
    <t>American Odyssey</t>
  </si>
  <si>
    <t>American Pickers</t>
  </si>
  <si>
    <t>American Pie</t>
  </si>
  <si>
    <t>American Playboy: The Hugh Hefner Story</t>
  </si>
  <si>
    <t>American Woman</t>
  </si>
  <si>
    <t>Amie and Kamil's Fitness Journey</t>
  </si>
  <si>
    <t>Amor de 4</t>
  </si>
  <si>
    <t>Amor sin maquillaje</t>
  </si>
  <si>
    <t>Amphibia</t>
  </si>
  <si>
    <t>An Idiot Abroad</t>
  </si>
  <si>
    <t>Ancient Aliens</t>
  </si>
  <si>
    <t>Andi Mack</t>
  </si>
  <si>
    <t>Andrew Marr's History of the World</t>
  </si>
  <si>
    <t>Andromeda</t>
  </si>
  <si>
    <t>Andy Shows</t>
  </si>
  <si>
    <t>Ang babaeng hinugot sa aking tadyang</t>
  </si>
  <si>
    <t>Angel</t>
  </si>
  <si>
    <t>Angelic Layer</t>
  </si>
  <si>
    <t>Anger Management</t>
  </si>
  <si>
    <t>Angie Tribeca</t>
  </si>
  <si>
    <t>Animal Armageddon</t>
  </si>
  <si>
    <t>Animal Kingdom</t>
  </si>
  <si>
    <t>Animaniacs</t>
  </si>
  <si>
    <t>Anime Abandon</t>
  </si>
  <si>
    <t>Anime-Gataris</t>
  </si>
  <si>
    <t>Anna</t>
  </si>
  <si>
    <t>Anna Sulc</t>
  </si>
  <si>
    <t>Annie Camel</t>
  </si>
  <si>
    <t>Annie Ki Ayegi Baraat</t>
  </si>
  <si>
    <t>Anohana: The Flower We Saw That Day</t>
  </si>
  <si>
    <t>Another</t>
  </si>
  <si>
    <t>Another Period</t>
  </si>
  <si>
    <t>Anthony Bourdain: Parts Unknown</t>
  </si>
  <si>
    <t>Any Day Now</t>
  </si>
  <si>
    <t>Anyone But Me</t>
  </si>
  <si>
    <t>Aqua Teen Hunger Force</t>
  </si>
  <si>
    <t>Aquarius</t>
  </si>
  <si>
    <t>Aquí no hay quien viva</t>
  </si>
  <si>
    <t>Arab Labor</t>
  </si>
  <si>
    <t>Arang and the Magistrate</t>
  </si>
  <si>
    <t>Archer</t>
  </si>
  <si>
    <t>Archie's Weird Mysteries</t>
  </si>
  <si>
    <t>Are You Afraid of the Dark?</t>
  </si>
  <si>
    <t>Are You the One?</t>
  </si>
  <si>
    <t>Area 88</t>
  </si>
  <si>
    <t>Argai: The Prophecy</t>
  </si>
  <si>
    <t>Århundredets vidner</t>
  </si>
  <si>
    <t>Army Wives</t>
  </si>
  <si>
    <t>Around the World with Willy Fog</t>
  </si>
  <si>
    <t>Arrested Development</t>
  </si>
  <si>
    <t>Arrow</t>
  </si>
  <si>
    <t>Art of the Western World</t>
  </si>
  <si>
    <t>Artists at Work</t>
  </si>
  <si>
    <t>As Ilhas Desconhecidas</t>
  </si>
  <si>
    <t>As Time Goes By</t>
  </si>
  <si>
    <t>Ash vs Evil Dead</t>
  </si>
  <si>
    <t>Ashes to Ashes</t>
  </si>
  <si>
    <t>Así son ellas</t>
  </si>
  <si>
    <t>Asian Treasures</t>
  </si>
  <si>
    <t>ASMR Darling</t>
  </si>
  <si>
    <t>ASMR Melina</t>
  </si>
  <si>
    <t>ASMR Patronus</t>
  </si>
  <si>
    <t>Asmrbebexo</t>
  </si>
  <si>
    <t>Atashinchi no danshi</t>
  </si>
  <si>
    <t>ATL Homicide</t>
  </si>
  <si>
    <t>Atlantis</t>
  </si>
  <si>
    <t>Atom TV</t>
  </si>
  <si>
    <t>Attack on Titan</t>
  </si>
  <si>
    <t>Atypical</t>
  </si>
  <si>
    <t>Auf Wiedersehen, Pet</t>
  </si>
  <si>
    <t>Austin &amp; Ally</t>
  </si>
  <si>
    <t>Austintatious</t>
  </si>
  <si>
    <t>Australia's Next Top Model</t>
  </si>
  <si>
    <t>Australian Icon Towns</t>
  </si>
  <si>
    <t>Ava-Conda ASMR</t>
  </si>
  <si>
    <t>Avatar: The Last Airbender</t>
  </si>
  <si>
    <t>Avengers: United They Stand</t>
  </si>
  <si>
    <t>Average Joe</t>
  </si>
  <si>
    <t>Avoiding Armageddon</t>
  </si>
  <si>
    <t>Avonlea</t>
  </si>
  <si>
    <t>Awkward.</t>
  </si>
  <si>
    <t>Ax Men</t>
  </si>
  <si>
    <t>Ayza Atgawez</t>
  </si>
  <si>
    <t>Azumanga Daioh</t>
  </si>
  <si>
    <t>Babangon ako't dudurugin kita</t>
  </si>
  <si>
    <t>Babar</t>
  </si>
  <si>
    <t>Baby Daddy</t>
  </si>
  <si>
    <t>Baby Looney Tunes</t>
  </si>
  <si>
    <t>Babylon 5</t>
  </si>
  <si>
    <t>Babylon Berlin</t>
  </si>
  <si>
    <t>Baccano!</t>
  </si>
  <si>
    <t>Bachelor in Paradise</t>
  </si>
  <si>
    <t>Bachelor Pad</t>
  </si>
  <si>
    <t>Back</t>
  </si>
  <si>
    <t>Back from the Dead</t>
  </si>
  <si>
    <t>Back of the Y Masterpiece Television</t>
  </si>
  <si>
    <t>Back Roads</t>
  </si>
  <si>
    <t>Back to the Future</t>
  </si>
  <si>
    <t>Back to the Peaceful Sea</t>
  </si>
  <si>
    <t>Bad Blood</t>
  </si>
  <si>
    <t>Bad Girls</t>
  </si>
  <si>
    <t>Bad Move</t>
  </si>
  <si>
    <t>Bailey Kipper's P.O.V.</t>
  </si>
  <si>
    <t>Bakekang</t>
  </si>
  <si>
    <t>Baki the Grappler</t>
  </si>
  <si>
    <t>Balika Vadhu</t>
  </si>
  <si>
    <t>Balkan ekspres</t>
  </si>
  <si>
    <t>Ballers</t>
  </si>
  <si>
    <t>Ballmastrz 9009</t>
  </si>
  <si>
    <t>Balls of Steel Australia</t>
  </si>
  <si>
    <t>Bambinot</t>
  </si>
  <si>
    <t>Bananas in Pyjamas</t>
  </si>
  <si>
    <t>Bang</t>
  </si>
  <si>
    <t>Banned in the UK</t>
  </si>
  <si>
    <t>Banshee</t>
  </si>
  <si>
    <t>Baptist Spanish Language Course</t>
  </si>
  <si>
    <t>Bar Rescue</t>
  </si>
  <si>
    <t>Barbarians</t>
  </si>
  <si>
    <t>Barbarians Rising</t>
  </si>
  <si>
    <t>Bare Knuckle Fight Club</t>
  </si>
  <si>
    <t>Barefoot Contessa</t>
  </si>
  <si>
    <t>Bargain Hunt</t>
  </si>
  <si>
    <t>Baroness Von Sketch Show</t>
  </si>
  <si>
    <t>Barry</t>
  </si>
  <si>
    <t>Basilisk: The Kouga Ninja Scrolls</t>
  </si>
  <si>
    <t>Basketball Wives</t>
  </si>
  <si>
    <t>Bates Motel</t>
  </si>
  <si>
    <t>Batman Beyond</t>
  </si>
  <si>
    <t>Batman: The Animated Series</t>
  </si>
  <si>
    <t>Batman: The Brave and the Bold</t>
  </si>
  <si>
    <t>Battle Creek</t>
  </si>
  <si>
    <t>Battle History of the Air Force</t>
  </si>
  <si>
    <t>Battle History of the U. S. Coast Guard</t>
  </si>
  <si>
    <t>Battlestar Galactica</t>
  </si>
  <si>
    <t>Batwoman</t>
  </si>
  <si>
    <t>Baywatch</t>
  </si>
  <si>
    <t>Baywatch Nights</t>
  </si>
  <si>
    <t>BBQ Pitmasters</t>
  </si>
  <si>
    <t>Be Cool, Scooby-Doo!</t>
  </si>
  <si>
    <t>Bear Behaving Badly</t>
  </si>
  <si>
    <t>Bear Grylls: Mission Survive</t>
  </si>
  <si>
    <t>Bear's Mission With...</t>
  </si>
  <si>
    <t>Beast Machines: Transformers</t>
  </si>
  <si>
    <t>Beast Wars: Transformers</t>
  </si>
  <si>
    <t>BeastMaster</t>
  </si>
  <si>
    <t>Beat</t>
  </si>
  <si>
    <t>Beautiful People</t>
  </si>
  <si>
    <t>Beauty and the Geek</t>
  </si>
  <si>
    <t>Beauty Queen Murders</t>
  </si>
  <si>
    <t>Beavis and Butt-Head</t>
  </si>
  <si>
    <t>Becca's Bunch</t>
  </si>
  <si>
    <t>Beck</t>
  </si>
  <si>
    <t>Beck: Mongolian Chop Squad</t>
  </si>
  <si>
    <t>Becker</t>
  </si>
  <si>
    <t>Bedtime</t>
  </si>
  <si>
    <t>BeetleBorgs</t>
  </si>
  <si>
    <t>Beetlejuice</t>
  </si>
  <si>
    <t>Before We Die</t>
  </si>
  <si>
    <t>Before We Ruled the Earth</t>
  </si>
  <si>
    <t>Behind Closed Doors</t>
  </si>
  <si>
    <t>Behind the Music</t>
  </si>
  <si>
    <t>Being Human</t>
  </si>
  <si>
    <t>Being Mary Jane</t>
  </si>
  <si>
    <t>Believe</t>
  </si>
  <si>
    <t>Belíssima</t>
  </si>
  <si>
    <t>Belle and Sebastian</t>
  </si>
  <si>
    <t>Bellevue</t>
  </si>
  <si>
    <t>Below Deck</t>
  </si>
  <si>
    <t>Below the Surface</t>
  </si>
  <si>
    <t>Ben &amp; Holly's Little Kingdom</t>
  </si>
  <si>
    <t>Ben 10</t>
  </si>
  <si>
    <t>Ben 10: Alien Force</t>
  </si>
  <si>
    <t>Ben and Kate</t>
  </si>
  <si>
    <t>Ben Slamka</t>
  </si>
  <si>
    <t>Beneath the Lies</t>
  </si>
  <si>
    <t>Berlin Station</t>
  </si>
  <si>
    <t>Berserk</t>
  </si>
  <si>
    <t>Bert</t>
  </si>
  <si>
    <t>Best Walks with a View with Julia Bradbury</t>
  </si>
  <si>
    <t>Bethel Church Live Webcast</t>
  </si>
  <si>
    <t>Betrayal</t>
  </si>
  <si>
    <t>Better Call Saul</t>
  </si>
  <si>
    <t>Better Things</t>
  </si>
  <si>
    <t>Bettkantengeschichten</t>
  </si>
  <si>
    <t>Betty White's Off Their Rockers</t>
  </si>
  <si>
    <t>Between the Lines</t>
  </si>
  <si>
    <t>Beverly Hills Nannies</t>
  </si>
  <si>
    <t>Beverly Hills, 90210</t>
  </si>
  <si>
    <t>Beware the Batman</t>
  </si>
  <si>
    <t>Beyblade Burst</t>
  </si>
  <si>
    <t>Beyond Reality</t>
  </si>
  <si>
    <t>Beyond the Tank</t>
  </si>
  <si>
    <t>Beyond Wrestling Beyond Uncharted Territory</t>
  </si>
  <si>
    <t>Bharosa Pyar Tera</t>
  </si>
  <si>
    <t>Bible Black</t>
  </si>
  <si>
    <t>Bible Truth Church</t>
  </si>
  <si>
    <t>Big Barn Farm</t>
  </si>
  <si>
    <t>Big Brother</t>
  </si>
  <si>
    <t>Big City Comedy</t>
  </si>
  <si>
    <t>Big City Greens</t>
  </si>
  <si>
    <t>Big Fish</t>
  </si>
  <si>
    <t>Big Hero 6: The Series</t>
  </si>
  <si>
    <t>Big Little Lies</t>
  </si>
  <si>
    <t>Big Love</t>
  </si>
  <si>
    <t>Big Mouth</t>
  </si>
  <si>
    <t>Big Star's Bigger Star</t>
  </si>
  <si>
    <t>Big Train</t>
  </si>
  <si>
    <t>Bill &amp; Ted's Excellent Adventures</t>
  </si>
  <si>
    <t>Bill Nye, the Science Guy</t>
  </si>
  <si>
    <t>Billions</t>
  </si>
  <si>
    <t>Billy Dilley's Super-Duper Subterranean Summer</t>
  </si>
  <si>
    <t>Bionic Six</t>
  </si>
  <si>
    <t>Birds of Prey</t>
  </si>
  <si>
    <t>Bitten</t>
  </si>
  <si>
    <t>Bizaardvark</t>
  </si>
  <si>
    <t>Bizarre</t>
  </si>
  <si>
    <t>Bizarre Foods with Andrew Zimmern</t>
  </si>
  <si>
    <t>Black</t>
  </si>
  <si>
    <t>Black Adder the Third</t>
  </si>
  <si>
    <t>Black and White Love</t>
  </si>
  <si>
    <t>Black Books</t>
  </si>
  <si>
    <t>Black Butler</t>
  </si>
  <si>
    <t>Black Ink Crew</t>
  </si>
  <si>
    <t>Black Jesus</t>
  </si>
  <si>
    <t>Black Lagoon</t>
  </si>
  <si>
    <t>Black Lightning</t>
  </si>
  <si>
    <t>Black Mirror</t>
  </si>
  <si>
    <t>Black Monday</t>
  </si>
  <si>
    <t>Black Sails</t>
  </si>
  <si>
    <t>Black Scorpion</t>
  </si>
  <si>
    <t>Black Spot</t>
  </si>
  <si>
    <t>Black Tie Nights</t>
  </si>
  <si>
    <t>Black-Adder II</t>
  </si>
  <si>
    <t>Black-ish</t>
  </si>
  <si>
    <t>Blackadder Goes Forth</t>
  </si>
  <si>
    <t>Blacked</t>
  </si>
  <si>
    <t>Blackstar</t>
  </si>
  <si>
    <t>Blade: The Series</t>
  </si>
  <si>
    <t>Blaster's Universe</t>
  </si>
  <si>
    <t>Blaze and the Monster Machines</t>
  </si>
  <si>
    <t>Blind Date</t>
  </si>
  <si>
    <t>Blindspot</t>
  </si>
  <si>
    <t>Bliss</t>
  </si>
  <si>
    <t>Blood &amp; Oil</t>
  </si>
  <si>
    <t>Blood &amp; Treasure</t>
  </si>
  <si>
    <t>Blood and Honor: Youth Under Hitler</t>
  </si>
  <si>
    <t>Blood Drive</t>
  </si>
  <si>
    <t>Blood-C</t>
  </si>
  <si>
    <t>Blood+</t>
  </si>
  <si>
    <t>Bloodivores</t>
  </si>
  <si>
    <t>Bloodline</t>
  </si>
  <si>
    <t>Bloomers</t>
  </si>
  <si>
    <t>Blossom</t>
  </si>
  <si>
    <t>Bludgeoning Angel Dokuro-chan</t>
  </si>
  <si>
    <t>Blue Bloods</t>
  </si>
  <si>
    <t>Blue Drop: Tenshi tachi no gikyoku</t>
  </si>
  <si>
    <t>Blue Gender</t>
  </si>
  <si>
    <t>Blue Wilderness</t>
  </si>
  <si>
    <t>Blue's Clues</t>
  </si>
  <si>
    <t>Bluestone 42</t>
  </si>
  <si>
    <t>Bluewhisper</t>
  </si>
  <si>
    <t>Boardwalk Empire</t>
  </si>
  <si>
    <t>Bob &amp; Doug</t>
  </si>
  <si>
    <t>Bob &amp; Rose</t>
  </si>
  <si>
    <t>Bob the Builder</t>
  </si>
  <si>
    <t>Bob's Burgers</t>
  </si>
  <si>
    <t>Body Cam</t>
  </si>
  <si>
    <t>Body of Evidence</t>
  </si>
  <si>
    <t>Body of Proof</t>
  </si>
  <si>
    <t>Bodyguard</t>
  </si>
  <si>
    <t>Bodyshock.tv</t>
  </si>
  <si>
    <t>BoJack Horseman</t>
  </si>
  <si>
    <t>Boku wa Mari no naka</t>
  </si>
  <si>
    <t>Bomb Girls</t>
  </si>
  <si>
    <t>Bondi Vet</t>
  </si>
  <si>
    <t>Bonding</t>
  </si>
  <si>
    <t>Bones</t>
  </si>
  <si>
    <t>Boomtown</t>
  </si>
  <si>
    <t>Boon</t>
  </si>
  <si>
    <t>Borderline</t>
  </si>
  <si>
    <t>Bordertown</t>
  </si>
  <si>
    <t>Bored to Death</t>
  </si>
  <si>
    <t>Borgia</t>
  </si>
  <si>
    <t>Bosch</t>
  </si>
  <si>
    <t>Boss</t>
  </si>
  <si>
    <t>Boston Legal</t>
  </si>
  <si>
    <t>Boston Med</t>
  </si>
  <si>
    <t>Boston Public</t>
  </si>
  <si>
    <t>Botched</t>
  </si>
  <si>
    <t>Bottom</t>
  </si>
  <si>
    <t>Bounty Hunters</t>
  </si>
  <si>
    <t>Boy Meets Girl</t>
  </si>
  <si>
    <t>Boy Meets World</t>
  </si>
  <si>
    <t>Brain Games</t>
  </si>
  <si>
    <t>BrainDead</t>
  </si>
  <si>
    <t>Brainiac: Science Abuse</t>
  </si>
  <si>
    <t>Bramwell</t>
  </si>
  <si>
    <t>BraveStarr</t>
  </si>
  <si>
    <t>Brazil Avenue</t>
  </si>
  <si>
    <t>Bread</t>
  </si>
  <si>
    <t>Break'n Reality</t>
  </si>
  <si>
    <t>Breaking Amish</t>
  </si>
  <si>
    <t>Breaking Amish: LA</t>
  </si>
  <si>
    <t>Breaking Bad</t>
  </si>
  <si>
    <t>Breaking Homicide</t>
  </si>
  <si>
    <t>Breaking Pointe</t>
  </si>
  <si>
    <t>Breakout Kings</t>
  </si>
  <si>
    <t>Breakthrough: With Rod Parsley</t>
  </si>
  <si>
    <t>Brickleberry</t>
  </si>
  <si>
    <t>Bridal Mask</t>
  </si>
  <si>
    <t>Brides Gone Styled</t>
  </si>
  <si>
    <t>Bridezillas</t>
  </si>
  <si>
    <t>Brimstone</t>
  </si>
  <si>
    <t>Bring 'Em Back Alive</t>
  </si>
  <si>
    <t>Bring It!</t>
  </si>
  <si>
    <t>Brisani prostor</t>
  </si>
  <si>
    <t>Britain and Ireland's Next Top Model</t>
  </si>
  <si>
    <t>Britain's Best Bakery</t>
  </si>
  <si>
    <t>Britain's Brightest Family</t>
  </si>
  <si>
    <t>Britain's Got More Talent</t>
  </si>
  <si>
    <t>Britain's Got Talent</t>
  </si>
  <si>
    <t>Britain's Horror Homes</t>
  </si>
  <si>
    <t>Britannia</t>
  </si>
  <si>
    <t>British Masters</t>
  </si>
  <si>
    <t>British Men Behaving Badly</t>
  </si>
  <si>
    <t>British Primrose ASMR</t>
  </si>
  <si>
    <t>Broad City</t>
  </si>
  <si>
    <t>Broadchurch</t>
  </si>
  <si>
    <t>Brockmire</t>
  </si>
  <si>
    <t>Brojects</t>
  </si>
  <si>
    <t>Broken</t>
  </si>
  <si>
    <t>Broken Saints</t>
  </si>
  <si>
    <t>Bromans</t>
  </si>
  <si>
    <t>Bromwell High</t>
  </si>
  <si>
    <t>Brooklyn Bridge</t>
  </si>
  <si>
    <t>Brooklyn DA</t>
  </si>
  <si>
    <t>Brooklyn Nine-Nine</t>
  </si>
  <si>
    <t>Brother vs. Brother</t>
  </si>
  <si>
    <t>Brotherhood</t>
  </si>
  <si>
    <t>Brotherly Love</t>
  </si>
  <si>
    <t>Brothers &amp; Sisters</t>
  </si>
  <si>
    <t>Brynhildr in the Darkness</t>
  </si>
  <si>
    <t>Btooom!</t>
  </si>
  <si>
    <t>BTS: Burn the Stage</t>
  </si>
  <si>
    <t>Bucket and Skinner's Epic Adventures</t>
  </si>
  <si>
    <t>Buckwild</t>
  </si>
  <si>
    <t>Budapest to Bamako</t>
  </si>
  <si>
    <t>Buffy the Vampire Slayer</t>
  </si>
  <si>
    <t>Bug Juice</t>
  </si>
  <si>
    <t>Bull</t>
  </si>
  <si>
    <t>Bulletproof</t>
  </si>
  <si>
    <t>Bullseye</t>
  </si>
  <si>
    <t>Bullshit Quest</t>
  </si>
  <si>
    <t>Bunnicula</t>
  </si>
  <si>
    <t>Burden of Truth</t>
  </si>
  <si>
    <t>Burger Bar to Gourmet Star</t>
  </si>
  <si>
    <t>Burn Notice</t>
  </si>
  <si>
    <t>Burnistoun</t>
  </si>
  <si>
    <t>Buying the Beach</t>
  </si>
  <si>
    <t>Buzz Lightyear of Star Command</t>
  </si>
  <si>
    <t>BuzzFeed Unsolved: Supernatural</t>
  </si>
  <si>
    <t>Byker Grove</t>
  </si>
  <si>
    <t>Byzantium: The Lost Empire</t>
  </si>
  <si>
    <t>C.B. Strike</t>
  </si>
  <si>
    <t>Cagney &amp; Lacey</t>
  </si>
  <si>
    <t>Cake Boss</t>
  </si>
  <si>
    <t>Cake Boss: Next Great Baker</t>
  </si>
  <si>
    <t>Cake Wars</t>
  </si>
  <si>
    <t>California Dreams</t>
  </si>
  <si>
    <t>Californication</t>
  </si>
  <si>
    <t>Call of the Wildman</t>
  </si>
  <si>
    <t>Call the Cleaners</t>
  </si>
  <si>
    <t>Call the Midwife</t>
  </si>
  <si>
    <t>Camelot</t>
  </si>
  <si>
    <t>Camp</t>
  </si>
  <si>
    <t>Camp Lakebottom</t>
  </si>
  <si>
    <t>Camp Woodward</t>
  </si>
  <si>
    <t>Can't Touch This</t>
  </si>
  <si>
    <t>Candidly Nicole</t>
  </si>
  <si>
    <t>Capitol Critters</t>
  </si>
  <si>
    <t>Capitol Hill</t>
  </si>
  <si>
    <t>Caprica</t>
  </si>
  <si>
    <t>Captain Barbell</t>
  </si>
  <si>
    <t>Captain Flinn and the Pirate Dinosaurs</t>
  </si>
  <si>
    <t>Captain N: The Game Master</t>
  </si>
  <si>
    <t>Captain Planet and the Planeteers</t>
  </si>
  <si>
    <t>Captain Scarlet</t>
  </si>
  <si>
    <t>Capture</t>
  </si>
  <si>
    <t>Car S.O.S.</t>
  </si>
  <si>
    <t>Cardcaptor Sakura</t>
  </si>
  <si>
    <t>Cardinal</t>
  </si>
  <si>
    <t>Care Bears: Adventures in Care-A-Lot</t>
  </si>
  <si>
    <t>Care Bears: Welcome to Care-a-Lot</t>
  </si>
  <si>
    <t>Carfellas</t>
  </si>
  <si>
    <t>Caribbean Food Made Easy with Levi Roots</t>
  </si>
  <si>
    <t>Carmilla</t>
  </si>
  <si>
    <t>Carnival Row</t>
  </si>
  <si>
    <t>Carnivàle</t>
  </si>
  <si>
    <t>Carrie Kirsten</t>
  </si>
  <si>
    <t>Carter</t>
  </si>
  <si>
    <t>Carters Get Rich</t>
  </si>
  <si>
    <t>Cartoon Cartoon Fridays</t>
  </si>
  <si>
    <t>Cartouche, le brigand magnifique</t>
  </si>
  <si>
    <t>Casa Castagna</t>
  </si>
  <si>
    <t>Case Sensitive</t>
  </si>
  <si>
    <t>Casey Neistat Vlog</t>
  </si>
  <si>
    <t>Cash Trapped</t>
  </si>
  <si>
    <t>Cashmere Mafia</t>
  </si>
  <si>
    <t>Casino Life</t>
  </si>
  <si>
    <t>Castaways</t>
  </si>
  <si>
    <t>Castle</t>
  </si>
  <si>
    <t>Castle Rock</t>
  </si>
  <si>
    <t>Casualty</t>
  </si>
  <si>
    <t>Casualty @ Holby City</t>
  </si>
  <si>
    <t>Cat's Eye</t>
  </si>
  <si>
    <t>Catastrophe</t>
  </si>
  <si>
    <t>Catch My Killer</t>
  </si>
  <si>
    <t>Catfish: The TV Show</t>
  </si>
  <si>
    <t>Catholic Cheerleaders for Satan</t>
  </si>
  <si>
    <t>CBC Winnipeg Comedy Festival</t>
  </si>
  <si>
    <t>Celebrity Deathmatch</t>
  </si>
  <si>
    <t>Celebrity Wedding Planner</t>
  </si>
  <si>
    <t>Celebrity Wife Swap</t>
  </si>
  <si>
    <t>Celebs Go Dating</t>
  </si>
  <si>
    <t>Celebs in Solitary</t>
  </si>
  <si>
    <t>Centurions</t>
  </si>
  <si>
    <t>Cesar 911</t>
  </si>
  <si>
    <t>Cetrdeset osmaZavera i izdaja</t>
  </si>
  <si>
    <t>Chalice Well: Lifestyle Space</t>
  </si>
  <si>
    <t>Challenge of the GoBots</t>
  </si>
  <si>
    <t>Chambers</t>
  </si>
  <si>
    <t>Champions</t>
  </si>
  <si>
    <t>Chance</t>
  </si>
  <si>
    <t>Chappelle's Show</t>
  </si>
  <si>
    <t>Charles in Charge</t>
  </si>
  <si>
    <t>Charli Robinson Hi-5 Feet Compilation</t>
  </si>
  <si>
    <t>Charmed</t>
  </si>
  <si>
    <t>Charming Deception</t>
  </si>
  <si>
    <t>Chasing Mummies</t>
  </si>
  <si>
    <t>Cheers</t>
  </si>
  <si>
    <t>Chef's Table</t>
  </si>
  <si>
    <t>Chef's Table: France</t>
  </si>
  <si>
    <t>Chelsea Does</t>
  </si>
  <si>
    <t>Chesapeake Shores</t>
  </si>
  <si>
    <t>Chespirito</t>
  </si>
  <si>
    <t>Chicago Fire</t>
  </si>
  <si>
    <t>Chicago Hope</t>
  </si>
  <si>
    <t>Chicago Justice</t>
  </si>
  <si>
    <t>Chicago P.D.</t>
  </si>
  <si>
    <t>Childrens Hospital</t>
  </si>
  <si>
    <t>Chilling Adventures of Sabrina</t>
  </si>
  <si>
    <t>Chiquititas</t>
  </si>
  <si>
    <t>Chiquititas Brasil</t>
  </si>
  <si>
    <t>Chobits</t>
  </si>
  <si>
    <t>Chocolate News</t>
  </si>
  <si>
    <t>Choctaw Church of Christ</t>
  </si>
  <si>
    <t>Chopped</t>
  </si>
  <si>
    <t>Chowder</t>
  </si>
  <si>
    <t>Chrono Crusade</t>
  </si>
  <si>
    <t>Chuck</t>
  </si>
  <si>
    <t>Chuck Norris: Karate Kommandos</t>
  </si>
  <si>
    <t>Cinemassacre's Monster Madness</t>
  </si>
  <si>
    <t>Citrus</t>
  </si>
  <si>
    <t>City Homicide</t>
  </si>
  <si>
    <t>City on a Hill</t>
  </si>
  <si>
    <t>Civil War Combat: America's Bloodiest Battles</t>
  </si>
  <si>
    <t>Clannad</t>
  </si>
  <si>
    <t>Clarissa</t>
  </si>
  <si>
    <t>Clarissa Explains It All</t>
  </si>
  <si>
    <t>Clark and Michael</t>
  </si>
  <si>
    <t>Clatterford</t>
  </si>
  <si>
    <t>Claws</t>
  </si>
  <si>
    <t>Claymore</t>
  </si>
  <si>
    <t>Clerks</t>
  </si>
  <si>
    <t>Clever Girl</t>
  </si>
  <si>
    <t>Cleverman</t>
  </si>
  <si>
    <t>Clinic</t>
  </si>
  <si>
    <t>Clocking Off</t>
  </si>
  <si>
    <t>Clone High</t>
  </si>
  <si>
    <t>Club Reps</t>
  </si>
  <si>
    <t>Clueless</t>
  </si>
  <si>
    <t>Coach Snoop</t>
  </si>
  <si>
    <t>Cobra</t>
  </si>
  <si>
    <t>Cobra Kai</t>
  </si>
  <si>
    <t>Cobra the Animation</t>
  </si>
  <si>
    <t>Cock'd Gunns</t>
  </si>
  <si>
    <t>Code Geass: Lelouch of the Rebellion</t>
  </si>
  <si>
    <t>Coded Court</t>
  </si>
  <si>
    <t>Codename: Kids Next Door</t>
  </si>
  <si>
    <t>Coinland</t>
  </si>
  <si>
    <t>Cold Case</t>
  </si>
  <si>
    <t>Cold Justice</t>
  </si>
  <si>
    <t>Cold Justice: Sex Crimes</t>
  </si>
  <si>
    <t>Cold Walls</t>
  </si>
  <si>
    <t>Colleen Ballinger</t>
  </si>
  <si>
    <t>Colleen Vlogs</t>
  </si>
  <si>
    <t>Collierville First Pentecostal Church</t>
  </si>
  <si>
    <t>Colony</t>
  </si>
  <si>
    <t>Colpo grosso</t>
  </si>
  <si>
    <t>Combat Hospital</t>
  </si>
  <si>
    <t>Come Home</t>
  </si>
  <si>
    <t>Comeback</t>
  </si>
  <si>
    <t>Comedy Central Presents</t>
  </si>
  <si>
    <t>Comedy Inc.</t>
  </si>
  <si>
    <t>Comedy Now!</t>
  </si>
  <si>
    <t>Commander in Chief</t>
  </si>
  <si>
    <t>Community</t>
  </si>
  <si>
    <t>Compañeros</t>
  </si>
  <si>
    <t>Cómplices al rescate</t>
  </si>
  <si>
    <t>Computerman</t>
  </si>
  <si>
    <t>Conan</t>
  </si>
  <si>
    <t>Conan: The Adventurer</t>
  </si>
  <si>
    <t>Confab</t>
  </si>
  <si>
    <t>Connie &amp; Clyde</t>
  </si>
  <si>
    <t>Connor Undercover</t>
  </si>
  <si>
    <t>Conspiracy Theory with Jesse Ventura</t>
  </si>
  <si>
    <t>Constantine</t>
  </si>
  <si>
    <t>Content Cop</t>
  </si>
  <si>
    <t>Contessa</t>
  </si>
  <si>
    <t>Continuum</t>
  </si>
  <si>
    <t>CooRdy</t>
  </si>
  <si>
    <t>Copper</t>
  </si>
  <si>
    <t>Cops</t>
  </si>
  <si>
    <t>Cops UK: Bodycam Squad</t>
  </si>
  <si>
    <t>Copycat Killers</t>
  </si>
  <si>
    <t>Cordon</t>
  </si>
  <si>
    <t>Corner Gas</t>
  </si>
  <si>
    <t>Corrupt Crimes</t>
  </si>
  <si>
    <t>Costa del Dosh</t>
  </si>
  <si>
    <t>Count Arthur Strong</t>
  </si>
  <si>
    <t>Count Duckula</t>
  </si>
  <si>
    <t>Countdown</t>
  </si>
  <si>
    <t>Countdown: Championship of Champions</t>
  </si>
  <si>
    <t>Counterfeit Cat</t>
  </si>
  <si>
    <t>Counterpart</t>
  </si>
  <si>
    <t>Coupled</t>
  </si>
  <si>
    <t>Couples Come Dine with Me</t>
  </si>
  <si>
    <t>Coupling</t>
  </si>
  <si>
    <t>Courage the Cowardly Dog</t>
  </si>
  <si>
    <t>Covert Affairs</t>
  </si>
  <si>
    <t>Cowboy Bebop</t>
  </si>
  <si>
    <t>Cra$h &amp; Burn</t>
  </si>
  <si>
    <t>Cracker</t>
  </si>
  <si>
    <t>Craig of the Creek</t>
  </si>
  <si>
    <t>Crashing</t>
  </si>
  <si>
    <t>Craziest Restaurants in America</t>
  </si>
  <si>
    <t>Crazy Ex-Girlfriend</t>
  </si>
  <si>
    <t>Creation Boot Camp</t>
  </si>
  <si>
    <t>Creation Seminar</t>
  </si>
  <si>
    <t>Creature Comforts</t>
  </si>
  <si>
    <t>Creeped Out</t>
  </si>
  <si>
    <t>Crime 360</t>
  </si>
  <si>
    <t>Crime Stories</t>
  </si>
  <si>
    <t>Criminal Minds</t>
  </si>
  <si>
    <t>Criminal Minds: Beyond Borders</t>
  </si>
  <si>
    <t>Criminal Minds: Suspect Behavior</t>
  </si>
  <si>
    <t>Criminals: Caught on Camera</t>
  </si>
  <si>
    <t>Crisis</t>
  </si>
  <si>
    <t>Cro</t>
  </si>
  <si>
    <t>Crossing Jordan</t>
  </si>
  <si>
    <t>Crossing Lines</t>
  </si>
  <si>
    <t>Cruising with Jane McDonald</t>
  </si>
  <si>
    <t>Crusoe</t>
  </si>
  <si>
    <t>CSE Bible Studies</t>
  </si>
  <si>
    <t>CSI: Crime Scene Investigation</t>
  </si>
  <si>
    <t>CSI: Cyber</t>
  </si>
  <si>
    <t>CSI: Miami</t>
  </si>
  <si>
    <t>CSI: NY</t>
  </si>
  <si>
    <t>Cuckoo</t>
  </si>
  <si>
    <t>Cupcake Wars</t>
  </si>
  <si>
    <t>Curb Your Enthusiasm</t>
  </si>
  <si>
    <t>Curfew</t>
  </si>
  <si>
    <t>Curiosity</t>
  </si>
  <si>
    <t>Curious and Unusual Deaths</t>
  </si>
  <si>
    <t>Curious George</t>
  </si>
  <si>
    <t>Curl Girls</t>
  </si>
  <si>
    <t>Cutebunny992 ASMR</t>
  </si>
  <si>
    <t>Cutting It</t>
  </si>
  <si>
    <t>Cyber Secrets</t>
  </si>
  <si>
    <t>Cyberchase</t>
  </si>
  <si>
    <t>Cybill</t>
  </si>
  <si>
    <t>Da Vinci's Demons</t>
  </si>
  <si>
    <t>Dabing Street</t>
  </si>
  <si>
    <t>Dallas Cowboys Cheerleaders: Making the Team</t>
  </si>
  <si>
    <t>Dalziel and Pascoe</t>
  </si>
  <si>
    <t>Dáma a Král</t>
  </si>
  <si>
    <t>Damnation</t>
  </si>
  <si>
    <t>Dance Academy</t>
  </si>
  <si>
    <t>Dance Moms</t>
  </si>
  <si>
    <t>Dancing with the Stars</t>
  </si>
  <si>
    <t>Danger Mouse</t>
  </si>
  <si>
    <t>Dangerfield</t>
  </si>
  <si>
    <t>Daniel Tiger's Neighborhood</t>
  </si>
  <si>
    <t>Daniel Xavier</t>
  </si>
  <si>
    <t>Danny Phantom</t>
  </si>
  <si>
    <t>Dante's Cove</t>
  </si>
  <si>
    <t>Dara O Briain: School of Hard Sums</t>
  </si>
  <si>
    <t>Daredevil</t>
  </si>
  <si>
    <t>Daria</t>
  </si>
  <si>
    <t>Dark</t>
  </si>
  <si>
    <t>Dark Angel</t>
  </si>
  <si>
    <t>Dark Days in Monkey City</t>
  </si>
  <si>
    <t>Dark Matter</t>
  </si>
  <si>
    <t>Dark Matters: Twisted But True</t>
  </si>
  <si>
    <t>Dark Net</t>
  </si>
  <si>
    <t>Dark Shadows</t>
  </si>
  <si>
    <t>Dark Skies</t>
  </si>
  <si>
    <t>Darker Than Black: Gemini of the Meteor</t>
  </si>
  <si>
    <t>Darkwing Duck</t>
  </si>
  <si>
    <t>DARLING in the FRANXX</t>
  </si>
  <si>
    <t>Darna</t>
  </si>
  <si>
    <t>Das Boot</t>
  </si>
  <si>
    <t>Datel</t>
  </si>
  <si>
    <t>Dates from Hell</t>
  </si>
  <si>
    <t>Dating in the Dark</t>
  </si>
  <si>
    <t>David Makes Man</t>
  </si>
  <si>
    <t>Dawson's Creek</t>
  </si>
  <si>
    <t>Day Break</t>
  </si>
  <si>
    <t>DC Super Hero Girls</t>
  </si>
  <si>
    <t>DC's Legends of Tomorrow</t>
  </si>
  <si>
    <t>DCI Banks</t>
  </si>
  <si>
    <t>De la B a la Z</t>
  </si>
  <si>
    <t>Dead at 21</t>
  </si>
  <si>
    <t>Dead Like Me</t>
  </si>
  <si>
    <t>Dead Man's Gun</t>
  </si>
  <si>
    <t>Dead of Summer</t>
  </si>
  <si>
    <t>Dead Silent</t>
  </si>
  <si>
    <t>Dead to Me</t>
  </si>
  <si>
    <t>Deadbeat</t>
  </si>
  <si>
    <t>Deadliest Catch</t>
  </si>
  <si>
    <t>Deadline: Crime with Tamron Hall</t>
  </si>
  <si>
    <t>Deadly Affairs</t>
  </si>
  <si>
    <t>Deadly Nightmares</t>
  </si>
  <si>
    <t>Deadly Rain</t>
  </si>
  <si>
    <t>Deadly Sins</t>
  </si>
  <si>
    <t>Deadly Women</t>
  </si>
  <si>
    <t>Deadwind</t>
  </si>
  <si>
    <t>Deadwood</t>
  </si>
  <si>
    <t>Deal with It</t>
  </si>
  <si>
    <t>Dear White People</t>
  </si>
  <si>
    <t>Death in Paradise</t>
  </si>
  <si>
    <t>Death Note</t>
  </si>
  <si>
    <t>Deathly Spirits</t>
  </si>
  <si>
    <t>Decker</t>
  </si>
  <si>
    <t>Decoded</t>
  </si>
  <si>
    <t>Deep State</t>
  </si>
  <si>
    <t>Defending the Guilty</t>
  </si>
  <si>
    <t>Defiance</t>
  </si>
  <si>
    <t>Defying Gravity</t>
  </si>
  <si>
    <t>Degrassi High</t>
  </si>
  <si>
    <t>Degrassi: The Next Generation</t>
  </si>
  <si>
    <t>Dejiny udatného ceského národa</t>
  </si>
  <si>
    <t>Delicious</t>
  </si>
  <si>
    <t>Deliver Me</t>
  </si>
  <si>
    <t>Delocated</t>
  </si>
  <si>
    <t>Dendy Memories</t>
  </si>
  <si>
    <t>Dennis &amp; Gnasher</t>
  </si>
  <si>
    <t>Dennis the Menace</t>
  </si>
  <si>
    <t>Derek Acorah's Ghost Towns</t>
  </si>
  <si>
    <t>Derek and Simon: The Show</t>
  </si>
  <si>
    <t>Derren Brown: Trick of the Mind</t>
  </si>
  <si>
    <t>Derry Girls</t>
  </si>
  <si>
    <t>Designated Survivor</t>
  </si>
  <si>
    <t>Desiring God</t>
  </si>
  <si>
    <t>Desperate Housewives</t>
  </si>
  <si>
    <t>Destinos: An Introduction to Spanish</t>
  </si>
  <si>
    <t>Destiny Love</t>
  </si>
  <si>
    <t>Destiny of the Shrine Maiden</t>
  </si>
  <si>
    <t>Det gode liv</t>
  </si>
  <si>
    <t>Detective Conan</t>
  </si>
  <si>
    <t>Detectorists</t>
  </si>
  <si>
    <t>Deteqtivebi</t>
  </si>
  <si>
    <t>Deutschland 83</t>
  </si>
  <si>
    <t>Deutschland 86</t>
  </si>
  <si>
    <t>Development Hell</t>
  </si>
  <si>
    <t>Devious Maids</t>
  </si>
  <si>
    <t>Dexter</t>
  </si>
  <si>
    <t>Dexter's Laboratory</t>
  </si>
  <si>
    <t>Dharma &amp; Greg</t>
  </si>
  <si>
    <t>Di Gi Charat Nyo</t>
  </si>
  <si>
    <t>Diablero</t>
  </si>
  <si>
    <t>Diagnosis Murder</t>
  </si>
  <si>
    <t>Dial 4 Detective</t>
  </si>
  <si>
    <t>Diaries from Wonderland</t>
  </si>
  <si>
    <t>Dickens</t>
  </si>
  <si>
    <t>Dickensian</t>
  </si>
  <si>
    <t>Dickinson</t>
  </si>
  <si>
    <t>Dickinson's Real Deal</t>
  </si>
  <si>
    <t>Dicte: Crime Reporter</t>
  </si>
  <si>
    <t>Diddy Movies</t>
  </si>
  <si>
    <t>Die FallersEine Schwarzwaldfamilie</t>
  </si>
  <si>
    <t>Diese Drombuschs</t>
  </si>
  <si>
    <t>Dietland</t>
  </si>
  <si>
    <t>Digby Dragon</t>
  </si>
  <si>
    <t>Digimon: Digital Monsters</t>
  </si>
  <si>
    <t>Dil Kya Karay</t>
  </si>
  <si>
    <t>Dilbert</t>
  </si>
  <si>
    <t>Dimension 404</t>
  </si>
  <si>
    <t>Diners, Drive-ins and Dives</t>
  </si>
  <si>
    <t>Dinner at Tiffani's</t>
  </si>
  <si>
    <t>Dinner Date</t>
  </si>
  <si>
    <t>Dinnerladies</t>
  </si>
  <si>
    <t>Dino Dan</t>
  </si>
  <si>
    <t>Dinosaur King</t>
  </si>
  <si>
    <t>Dinosaur Train</t>
  </si>
  <si>
    <t>Dinosaurs</t>
  </si>
  <si>
    <t>Dinotopia</t>
  </si>
  <si>
    <t>Dinotrux</t>
  </si>
  <si>
    <t>Dirty Jobs</t>
  </si>
  <si>
    <t>Dirty John</t>
  </si>
  <si>
    <t>Dirty Money</t>
  </si>
  <si>
    <t>Dirty Sanchez</t>
  </si>
  <si>
    <t>Dirty Santa</t>
  </si>
  <si>
    <t>Disappeared</t>
  </si>
  <si>
    <t>Discovery TRVLR</t>
  </si>
  <si>
    <t>Disney's Fairy Tale Weddings</t>
  </si>
  <si>
    <t>Divorce</t>
  </si>
  <si>
    <t>Do No Harm</t>
  </si>
  <si>
    <t>Do Not Forget</t>
  </si>
  <si>
    <t>Doble kara</t>
  </si>
  <si>
    <t>Doctor Doctor</t>
  </si>
  <si>
    <t>Doctor Foster</t>
  </si>
  <si>
    <t>Doctor Who</t>
  </si>
  <si>
    <t>Doctor Who: Devious</t>
  </si>
  <si>
    <t>Does Someone Have to Go?</t>
  </si>
  <si>
    <t>Dog Bites Man</t>
  </si>
  <si>
    <t>Dog Whisperer with Cesar Millan</t>
  </si>
  <si>
    <t>Dog with a Blog</t>
  </si>
  <si>
    <t>Doggy Fizzle Televizzle</t>
  </si>
  <si>
    <t>Dogs in the City</t>
  </si>
  <si>
    <t>Doktor Martin</t>
  </si>
  <si>
    <t>Dolgaya doroga v dyunakh</t>
  </si>
  <si>
    <t>Dollface</t>
  </si>
  <si>
    <t>Dollhouse</t>
  </si>
  <si>
    <t>Dolmen</t>
  </si>
  <si>
    <t>Domi Novak</t>
  </si>
  <si>
    <t>Dominion</t>
  </si>
  <si>
    <t>Don't Be Tardy...</t>
  </si>
  <si>
    <t>Don't mess with an angel</t>
  </si>
  <si>
    <t>Don't Tell the Bride</t>
  </si>
  <si>
    <t>Doogie Howser, M.D.</t>
  </si>
  <si>
    <t>Doom Patrol</t>
  </si>
  <si>
    <t>Dope</t>
  </si>
  <si>
    <t>Dora the Explorer</t>
  </si>
  <si>
    <t>Doraemon</t>
  </si>
  <si>
    <t>Dormitoryo</t>
  </si>
  <si>
    <t>Dorothy and the Wizard of Oz</t>
  </si>
  <si>
    <t>Dotto! Koni-chan</t>
  </si>
  <si>
    <t>Double Exposure</t>
  </si>
  <si>
    <t>Double Your House for Half the Money</t>
  </si>
  <si>
    <t>Down to Earth</t>
  </si>
  <si>
    <t>Downton Abbey</t>
  </si>
  <si>
    <t>Dr. 90210</t>
  </si>
  <si>
    <t>Dr. Kent Hovind Q&amp;A</t>
  </si>
  <si>
    <t>Dr. Pimple Popper</t>
  </si>
  <si>
    <t>Dr. Slump</t>
  </si>
  <si>
    <t>Dracula</t>
  </si>
  <si>
    <t>Dragon Ball</t>
  </si>
  <si>
    <t>Dragon Ball Super</t>
  </si>
  <si>
    <t>Dragon Ball Z</t>
  </si>
  <si>
    <t>Dragon Flyz</t>
  </si>
  <si>
    <t>Drake &amp; Josh</t>
  </si>
  <si>
    <t>Drawn Together</t>
  </si>
  <si>
    <t>Dream High</t>
  </si>
  <si>
    <t>Drive</t>
  </si>
  <si>
    <t>Drive in</t>
  </si>
  <si>
    <t>Drop Dead Diva</t>
  </si>
  <si>
    <t>Drug Lords</t>
  </si>
  <si>
    <t>Drugs, Inc.</t>
  </si>
  <si>
    <t>Drunk History</t>
  </si>
  <si>
    <t>Duck Dodgers</t>
  </si>
  <si>
    <t>Duckie</t>
  </si>
  <si>
    <t>Duckman: Private Dick/Family Man</t>
  </si>
  <si>
    <t>DuckTales</t>
  </si>
  <si>
    <t>Duel Masters</t>
  </si>
  <si>
    <t>Duets</t>
  </si>
  <si>
    <t>Dungeons &amp; Dragons</t>
  </si>
  <si>
    <t>Durarara!!</t>
  </si>
  <si>
    <t>Durham County</t>
  </si>
  <si>
    <t>Duty of Facebook</t>
  </si>
  <si>
    <t>Dva tátové</t>
  </si>
  <si>
    <t>Dying to Belong</t>
  </si>
  <si>
    <t>Dynamo: Magician Impossible</t>
  </si>
  <si>
    <t>Dynasty</t>
  </si>
  <si>
    <t>E! True Hollywood Story</t>
  </si>
  <si>
    <t>E/R</t>
  </si>
  <si>
    <t>EastEnders</t>
  </si>
  <si>
    <t>Eastsiders</t>
  </si>
  <si>
    <t>Eaux troubles du crime</t>
  </si>
  <si>
    <t>ECW Wrestling TNN</t>
  </si>
  <si>
    <t>Ed</t>
  </si>
  <si>
    <t>Ed, Edd n Eddy</t>
  </si>
  <si>
    <t>Eda, ya lyublyu tebya!</t>
  </si>
  <si>
    <t>Eden</t>
  </si>
  <si>
    <t>Eden of the East</t>
  </si>
  <si>
    <t>Eden's Bowy</t>
  </si>
  <si>
    <t>Edge of Desire</t>
  </si>
  <si>
    <t>El auténtico Rodrigo Leal</t>
  </si>
  <si>
    <t>El Cazador de la Bruja</t>
  </si>
  <si>
    <t>El Chapo</t>
  </si>
  <si>
    <t>El Peyero Enmascarado</t>
  </si>
  <si>
    <t>El privilegio de amar</t>
  </si>
  <si>
    <t>El Rostro de la Venganza</t>
  </si>
  <si>
    <t>El secreto de Puente Viejo</t>
  </si>
  <si>
    <t>El Señor de la Querencia</t>
  </si>
  <si>
    <t>El Shahroura</t>
  </si>
  <si>
    <t>El Show de Marquez &amp; Montero and Company</t>
  </si>
  <si>
    <t>El siguiente programa</t>
  </si>
  <si>
    <t>Elementary</t>
  </si>
  <si>
    <t>Eleventh Hour</t>
  </si>
  <si>
    <t>Eli Roth's History of Horror</t>
  </si>
  <si>
    <t>Elisa di Rivombrosa</t>
  </si>
  <si>
    <t>Elite</t>
  </si>
  <si>
    <t>Ellen</t>
  </si>
  <si>
    <t>Elly &amp; Jools</t>
  </si>
  <si>
    <t>Emil Fitness</t>
  </si>
  <si>
    <t>Empire</t>
  </si>
  <si>
    <t>Empty Nest</t>
  </si>
  <si>
    <t>En prácticas</t>
  </si>
  <si>
    <t>Encore!</t>
  </si>
  <si>
    <t>Enlightened</t>
  </si>
  <si>
    <t>Enterprice</t>
  </si>
  <si>
    <t>Entourage</t>
  </si>
  <si>
    <t>Epic Meal Empire</t>
  </si>
  <si>
    <t>Episodes</t>
  </si>
  <si>
    <t>Epitafios</t>
  </si>
  <si>
    <t>ER</t>
  </si>
  <si>
    <t>Ergo Proxy</t>
  </si>
  <si>
    <t>Erotic Confessions</t>
  </si>
  <si>
    <t>Escaflowne</t>
  </si>
  <si>
    <t>Escape Routes</t>
  </si>
  <si>
    <t>Escape to River Cottage</t>
  </si>
  <si>
    <t>Escape to the Chateau</t>
  </si>
  <si>
    <t>Etaten</t>
  </si>
  <si>
    <t>Euphoria</t>
  </si>
  <si>
    <t>Eureka</t>
  </si>
  <si>
    <t>Eurotrash</t>
  </si>
  <si>
    <t>Eve</t>
  </si>
  <si>
    <t>Even Stevens</t>
  </si>
  <si>
    <t>Ever Decreasing Circles</t>
  </si>
  <si>
    <t>Every Witch Way</t>
  </si>
  <si>
    <t>Everybody Hates Chris</t>
  </si>
  <si>
    <t>Everybody Loves Raymond</t>
  </si>
  <si>
    <t>Everything Sucks!</t>
  </si>
  <si>
    <t>Everything Wrong with...</t>
  </si>
  <si>
    <t>Everything's Rosie</t>
  </si>
  <si>
    <t>Evil Con Carne</t>
  </si>
  <si>
    <t>Evil Twins</t>
  </si>
  <si>
    <t>Ewoks</t>
  </si>
  <si>
    <t>Ex on the Beach</t>
  </si>
  <si>
    <t>Excel Saga</t>
  </si>
  <si>
    <t>Exit 57</t>
  </si>
  <si>
    <t>Expedition Overland</t>
  </si>
  <si>
    <t>Exploring China: A Culinary Adventure</t>
  </si>
  <si>
    <t>Extant</t>
  </si>
  <si>
    <t>Extras</t>
  </si>
  <si>
    <t>Extreme Dinosaurs</t>
  </si>
  <si>
    <t>Extreme Makeover</t>
  </si>
  <si>
    <t>Extreme Makeover: Home Edition</t>
  </si>
  <si>
    <t>Extreme Schools</t>
  </si>
  <si>
    <t>Extreme Weight Loss</t>
  </si>
  <si>
    <t>Eyes on the Prize</t>
  </si>
  <si>
    <t>Eyewitness</t>
  </si>
  <si>
    <t>EZ Streets</t>
  </si>
  <si>
    <t>Fabulous Cakes</t>
  </si>
  <si>
    <t>Face Off</t>
  </si>
  <si>
    <t>Facing Evil</t>
  </si>
  <si>
    <t>Fact or Faked: Paranormal Files</t>
  </si>
  <si>
    <t>Failepsik</t>
  </si>
  <si>
    <t>Fair City</t>
  </si>
  <si>
    <t>Fairly Legal</t>
  </si>
  <si>
    <t>Fairy Tale Police Department</t>
  </si>
  <si>
    <t>Faithful Word Baptist Church</t>
  </si>
  <si>
    <t>Faithfully</t>
  </si>
  <si>
    <t>Falcon Beach</t>
  </si>
  <si>
    <t>Fallet</t>
  </si>
  <si>
    <t>Falling in Sabei Well</t>
  </si>
  <si>
    <t>Falling Skies</t>
  </si>
  <si>
    <t>False Flag</t>
  </si>
  <si>
    <t>Fam</t>
  </si>
  <si>
    <t>Family Business</t>
  </si>
  <si>
    <t>Family Food Fight</t>
  </si>
  <si>
    <t>Family Guy</t>
  </si>
  <si>
    <t>Family Matters</t>
  </si>
  <si>
    <t>Family Ties</t>
  </si>
  <si>
    <t>Family Tools</t>
  </si>
  <si>
    <t>Famous in Love</t>
  </si>
  <si>
    <t>Fangbone!</t>
  </si>
  <si>
    <t>Fantastic Four: The Animated Series</t>
  </si>
  <si>
    <t>Fantastic Four: World's Greatest Heroes</t>
  </si>
  <si>
    <t>Fantastico 10</t>
  </si>
  <si>
    <t>Fantastico 12</t>
  </si>
  <si>
    <t>Fantastico 6</t>
  </si>
  <si>
    <t>Fantastico 90</t>
  </si>
  <si>
    <t>Fantomcat</t>
  </si>
  <si>
    <t>Fargo</t>
  </si>
  <si>
    <t>Farouk Omar</t>
  </si>
  <si>
    <t>Farscape</t>
  </si>
  <si>
    <t>Fashion Star</t>
  </si>
  <si>
    <t>Fast Layne</t>
  </si>
  <si>
    <t>Fast N' Loud</t>
  </si>
  <si>
    <t>Fat and Back</t>
  </si>
  <si>
    <t>Fat Families</t>
  </si>
  <si>
    <t>Fatal Attraction</t>
  </si>
  <si>
    <t>Fatal Vows</t>
  </si>
  <si>
    <t>Fatih</t>
  </si>
  <si>
    <t>Fauda</t>
  </si>
  <si>
    <t>FBI</t>
  </si>
  <si>
    <t>Fear Factor</t>
  </si>
  <si>
    <t>Fear the Walking Dead</t>
  </si>
  <si>
    <t>Félix</t>
  </si>
  <si>
    <t>Fellowship Baptist Church Coney Island</t>
  </si>
  <si>
    <t>Femme Fatales</t>
  </si>
  <si>
    <t>Fifty and Embarrassing</t>
  </si>
  <si>
    <t>Fight Quest</t>
  </si>
  <si>
    <t>Fíkus</t>
  </si>
  <si>
    <t>Filthy Rich &amp; Catflap</t>
  </si>
  <si>
    <t>Final Days of Planet Earth</t>
  </si>
  <si>
    <t>Find Me in Paris</t>
  </si>
  <si>
    <t>Finders Keepers</t>
  </si>
  <si>
    <t>Finding Bigfoot</t>
  </si>
  <si>
    <t>Finding Carter</t>
  </si>
  <si>
    <t>Finding Stuff Out</t>
  </si>
  <si>
    <t>Finding Your Roots with Henry Louis Gates, Jr.</t>
  </si>
  <si>
    <t>Firefly</t>
  </si>
  <si>
    <t>First Dates</t>
  </si>
  <si>
    <t>First Dates Abroad</t>
  </si>
  <si>
    <t>First Dates Hotel</t>
  </si>
  <si>
    <t>First Team: Juventus</t>
  </si>
  <si>
    <t>First United Pentecostal Church of Augusta, Maine</t>
  </si>
  <si>
    <t>First Wave</t>
  </si>
  <si>
    <t>Fish Police</t>
  </si>
  <si>
    <t>Fist of the North Star</t>
  </si>
  <si>
    <t>Fist of the North Star 2</t>
  </si>
  <si>
    <t>Fixer Upper</t>
  </si>
  <si>
    <t>Flack</t>
  </si>
  <si>
    <t>Flame of Recca</t>
  </si>
  <si>
    <t>Flashforward</t>
  </si>
  <si>
    <t>Flashing Lives</t>
  </si>
  <si>
    <t>Flashpoint</t>
  </si>
  <si>
    <t>Fleabag</t>
  </si>
  <si>
    <t>Flickers!</t>
  </si>
  <si>
    <t>Flight of the Conchords</t>
  </si>
  <si>
    <t>Flint Town</t>
  </si>
  <si>
    <t>Flip or Flop</t>
  </si>
  <si>
    <t>Flipper &amp; Lopaka</t>
  </si>
  <si>
    <t>Flipping Out</t>
  </si>
  <si>
    <t>Floating Kitchen</t>
  </si>
  <si>
    <t>Florrie's Dragons</t>
  </si>
  <si>
    <t>Flowers of Evil</t>
  </si>
  <si>
    <t>Floyd on Britain &amp; Ireland</t>
  </si>
  <si>
    <t>Floyd on Fish</t>
  </si>
  <si>
    <t>Floyd on Food</t>
  </si>
  <si>
    <t>Floyd on France</t>
  </si>
  <si>
    <t>Follow the Money</t>
  </si>
  <si>
    <t>Fonejacker</t>
  </si>
  <si>
    <t>Food and Drink</t>
  </si>
  <si>
    <t>Food Fighters</t>
  </si>
  <si>
    <t>Food Unwrapped</t>
  </si>
  <si>
    <t>Food: Fact or Fiction?</t>
  </si>
  <si>
    <t>Food</t>
  </si>
  <si>
    <t>Fool Britannia</t>
  </si>
  <si>
    <t>Footballers' Wives</t>
  </si>
  <si>
    <t>For You in Full BlossomIkemen Paradise</t>
  </si>
  <si>
    <t>Forbidden Island</t>
  </si>
  <si>
    <t>Foreign Exchange</t>
  </si>
  <si>
    <t>Forensic Files</t>
  </si>
  <si>
    <t>Forensic Investigators</t>
  </si>
  <si>
    <t>Forever</t>
  </si>
  <si>
    <t>Forever Knight</t>
  </si>
  <si>
    <t>Forever Summer with Nigella</t>
  </si>
  <si>
    <t>Fornemmelse for snyd</t>
  </si>
  <si>
    <t>Forty Weight</t>
  </si>
  <si>
    <t>Foster's Home for Imaginary Friends</t>
  </si>
  <si>
    <t>Four in a Bed</t>
  </si>
  <si>
    <t>Four on the Floor</t>
  </si>
  <si>
    <t>Four Weddings</t>
  </si>
  <si>
    <t>Four Weddings and a Funeral</t>
  </si>
  <si>
    <t>Foursome</t>
  </si>
  <si>
    <t>Foyle's War</t>
  </si>
  <si>
    <t>Framed</t>
  </si>
  <si>
    <t>Francisco the Mathematician</t>
  </si>
  <si>
    <t>Frankie Drake Mysteries</t>
  </si>
  <si>
    <t>Franklin &amp; Bash</t>
  </si>
  <si>
    <t>Franny's Feet</t>
  </si>
  <si>
    <t>Frasier</t>
  </si>
  <si>
    <t>Freakish</t>
  </si>
  <si>
    <t>Freaks and Geeks</t>
  </si>
  <si>
    <t>Fred</t>
  </si>
  <si>
    <t>Fred: The Show</t>
  </si>
  <si>
    <t>Freddy's Nightmares</t>
  </si>
  <si>
    <t>Fredrikssons fabrikk</t>
  </si>
  <si>
    <t>Free Rein</t>
  </si>
  <si>
    <t>Freemove Honza</t>
  </si>
  <si>
    <t>Freemove Miky</t>
  </si>
  <si>
    <t>Freescoot Official</t>
  </si>
  <si>
    <t>French Fields</t>
  </si>
  <si>
    <t>Fresh Fields</t>
  </si>
  <si>
    <t>Fresh Hell</t>
  </si>
  <si>
    <t>Fresh Meat</t>
  </si>
  <si>
    <t>Fresh Off the Boat</t>
  </si>
  <si>
    <t>Freshers</t>
  </si>
  <si>
    <t>Friday Night Lights</t>
  </si>
  <si>
    <t>Friends</t>
  </si>
  <si>
    <t>Friends from College</t>
  </si>
  <si>
    <t>Fringe</t>
  </si>
  <si>
    <t>FrivolousFox ASMR</t>
  </si>
  <si>
    <t>From Dusk Till Dawn: The Series</t>
  </si>
  <si>
    <t>Frontier</t>
  </si>
  <si>
    <t>Frozen Heart</t>
  </si>
  <si>
    <t>Full House</t>
  </si>
  <si>
    <t>Fuller House</t>
  </si>
  <si>
    <t>Fullmetal Alchemist</t>
  </si>
  <si>
    <t>Fullmetal Alchemist: Brotherhood</t>
  </si>
  <si>
    <t>Fungus the Bogeyman</t>
  </si>
  <si>
    <t>Funny or Die Presents...</t>
  </si>
  <si>
    <t>Further Back in Time for Dinner</t>
  </si>
  <si>
    <t>Fushigi YûgiThe Mysterious Play</t>
  </si>
  <si>
    <t>Futurama</t>
  </si>
  <si>
    <t>Future Man</t>
  </si>
  <si>
    <t>Future-Worm!</t>
  </si>
  <si>
    <t>FutureWeapons</t>
  </si>
  <si>
    <t>G String Divas</t>
  </si>
  <si>
    <t>G.I. Joe</t>
  </si>
  <si>
    <t>Ga-rei: Zero</t>
  </si>
  <si>
    <t>Gabrielle Clement</t>
  </si>
  <si>
    <t>Gabrielle Hecl</t>
  </si>
  <si>
    <t>Gakuen Alice</t>
  </si>
  <si>
    <t>Galtar and the Golden Lance</t>
  </si>
  <si>
    <t>Game Knights</t>
  </si>
  <si>
    <t>Game of Silence</t>
  </si>
  <si>
    <t>Game of Thrones</t>
  </si>
  <si>
    <t>Game Shakers</t>
  </si>
  <si>
    <t>Gang Related</t>
  </si>
  <si>
    <t>Gangland</t>
  </si>
  <si>
    <t>Gantz</t>
  </si>
  <si>
    <t>Garfield and Friends</t>
  </si>
  <si>
    <t>Gargoyles</t>
  </si>
  <si>
    <t>Gary the Rat</t>
  </si>
  <si>
    <t>Gaycation</t>
  </si>
  <si>
    <t>Gear Heads</t>
  </si>
  <si>
    <t>Genesis Week</t>
  </si>
  <si>
    <t>Gentleman Jack</t>
  </si>
  <si>
    <t>George Lopez</t>
  </si>
  <si>
    <t>Get Out Alive with Bear Grylls</t>
  </si>
  <si>
    <t>Get Shorty</t>
  </si>
  <si>
    <t>Get Up, Stand Up</t>
  </si>
  <si>
    <t>GetTheLouk</t>
  </si>
  <si>
    <t>Getting Doug with High</t>
  </si>
  <si>
    <t>Getting On</t>
  </si>
  <si>
    <t>Ghost Adventures</t>
  </si>
  <si>
    <t>Ghost Hound</t>
  </si>
  <si>
    <t>Ghost Hunters International</t>
  </si>
  <si>
    <t>Ghost in the Shell: Stand Alone Complex</t>
  </si>
  <si>
    <t>Ghost Lab</t>
  </si>
  <si>
    <t>Ghost Whisperer</t>
  </si>
  <si>
    <t>Ghosted</t>
  </si>
  <si>
    <t>Ghostwriter</t>
  </si>
  <si>
    <t>Gibi ASMR</t>
  </si>
  <si>
    <t>Gigantic</t>
  </si>
  <si>
    <t>Gigolos</t>
  </si>
  <si>
    <t>Gilmore Girls</t>
  </si>
  <si>
    <t>Gimme Sugar</t>
  </si>
  <si>
    <t>Ginger ASMR</t>
  </si>
  <si>
    <t>Girl Meets World</t>
  </si>
  <si>
    <t>Girlfriends' Guide to Divorce</t>
  </si>
  <si>
    <t>Girls</t>
  </si>
  <si>
    <t>Girls Bravo</t>
  </si>
  <si>
    <t>Girls on Top</t>
  </si>
  <si>
    <t>Gladiators</t>
  </si>
  <si>
    <t>Glee</t>
  </si>
  <si>
    <t>GLOW</t>
  </si>
  <si>
    <t>Goa Goals</t>
  </si>
  <si>
    <t>Godparents</t>
  </si>
  <si>
    <t>Golden Time</t>
  </si>
  <si>
    <t>Golden Years</t>
  </si>
  <si>
    <t>Golgo 13</t>
  </si>
  <si>
    <t>Goliath</t>
  </si>
  <si>
    <t>Goliath Awaits</t>
  </si>
  <si>
    <t>Gone</t>
  </si>
  <si>
    <t>Gone Fishing</t>
  </si>
  <si>
    <t>Good Behavior</t>
  </si>
  <si>
    <t>Good Eats</t>
  </si>
  <si>
    <t>Good Girls</t>
  </si>
  <si>
    <t>Good Luck Charlie</t>
  </si>
  <si>
    <t>Good Trouble</t>
  </si>
  <si>
    <t>Good vs Evil</t>
  </si>
  <si>
    <t>Goodnight Sweetheart</t>
  </si>
  <si>
    <t>Goof Troop</t>
  </si>
  <si>
    <t>Gooische vrouwen</t>
  </si>
  <si>
    <t>Gortimer Gibbon's Life on Normal Street</t>
  </si>
  <si>
    <t>Gossip Girl</t>
  </si>
  <si>
    <t>Gotham</t>
  </si>
  <si>
    <t>Grace and Frankie</t>
  </si>
  <si>
    <t>Grace Under Fire</t>
  </si>
  <si>
    <t>Grandfathered</t>
  </si>
  <si>
    <t>Grave Secrets</t>
  </si>
  <si>
    <t>Graves</t>
  </si>
  <si>
    <t>Gravity</t>
  </si>
  <si>
    <t>Gravity Falls</t>
  </si>
  <si>
    <t>Greece Uncovered</t>
  </si>
  <si>
    <t>Greek Lessons for KJV-Only Baptists</t>
  </si>
  <si>
    <t>Green Wing</t>
  </si>
  <si>
    <t>Grey's Anatomy</t>
  </si>
  <si>
    <t>Großstadtrevier</t>
  </si>
  <si>
    <t>Grounded for Life</t>
  </si>
  <si>
    <t>Growing Pains</t>
  </si>
  <si>
    <t>Grown-ish</t>
  </si>
  <si>
    <t>GTO: Great Teacher Onizuka</t>
  </si>
  <si>
    <t>Gu Family Book</t>
  </si>
  <si>
    <t>Gumapang ka sa lusak</t>
  </si>
  <si>
    <t>Gungrave</t>
  </si>
  <si>
    <t>Gunslingers</t>
  </si>
  <si>
    <t>Guy Code</t>
  </si>
  <si>
    <t>Gwen ASMR</t>
  </si>
  <si>
    <t>Gypsy</t>
  </si>
  <si>
    <t>H£ir Hunt£rs</t>
  </si>
  <si>
    <t>H2o</t>
  </si>
  <si>
    <t>H2O: Just Add Water</t>
  </si>
  <si>
    <t>H2O: Mermaid Adventures</t>
  </si>
  <si>
    <t>h3h3Productions</t>
  </si>
  <si>
    <t>Hahamakin ang lahat</t>
  </si>
  <si>
    <t>Halt and Catch Fire</t>
  </si>
  <si>
    <t>Hamster in a Nightshirt</t>
  </si>
  <si>
    <t>Hand of God</t>
  </si>
  <si>
    <t>Hang Time</t>
  </si>
  <si>
    <t>Hank Zipzer</t>
  </si>
  <si>
    <t>Hanna</t>
  </si>
  <si>
    <t>Hannah Montana</t>
  </si>
  <si>
    <t>Hannibal</t>
  </si>
  <si>
    <t>Hap and Leonard</t>
  </si>
  <si>
    <t>Haplos</t>
  </si>
  <si>
    <t>Happily Divorced</t>
  </si>
  <si>
    <t>Happy Endings</t>
  </si>
  <si>
    <t>Happy Town</t>
  </si>
  <si>
    <t>Happy Tree Friends</t>
  </si>
  <si>
    <t>Happy Valley</t>
  </si>
  <si>
    <t>Happy!</t>
  </si>
  <si>
    <t>Hard Time on Planet Earth</t>
  </si>
  <si>
    <t>Hare+Guu</t>
  </si>
  <si>
    <t>Harley Quinn</t>
  </si>
  <si>
    <t>Harlots</t>
  </si>
  <si>
    <t>Harrow</t>
  </si>
  <si>
    <t>Harry</t>
  </si>
  <si>
    <t>Harry Enfield and Chums</t>
  </si>
  <si>
    <t>Harsh Realm</t>
  </si>
  <si>
    <t>Hart of Dixie</t>
  </si>
  <si>
    <t>Harvard Court</t>
  </si>
  <si>
    <t>Harvey Birdman, Attorney at Law</t>
  </si>
  <si>
    <t>Hasta que el dinero nos separe</t>
  </si>
  <si>
    <t>Hatched</t>
  </si>
  <si>
    <t>Haven</t>
  </si>
  <si>
    <t>Hawaii Five-0</t>
  </si>
  <si>
    <t>Hawthorne</t>
  </si>
  <si>
    <t>He-Man and the Masters of the Universe</t>
  </si>
  <si>
    <t>Hear No Evil</t>
  </si>
  <si>
    <t>Heartbeat</t>
  </si>
  <si>
    <t>Heartbreak High</t>
  </si>
  <si>
    <t>Heavy Rescue: 401</t>
  </si>
  <si>
    <t>Hebburn</t>
  </si>
  <si>
    <t>Heer</t>
  </si>
  <si>
    <t>Heimat 2: Chronicle of a Generation</t>
  </si>
  <si>
    <t>Helix</t>
  </si>
  <si>
    <t>Hell Girl</t>
  </si>
  <si>
    <t>Hell on Wheels</t>
  </si>
  <si>
    <t>Hell's Kitchen</t>
  </si>
  <si>
    <t>Hello Ladies</t>
  </si>
  <si>
    <t>Help! My House Is Haunted</t>
  </si>
  <si>
    <t>Hemlock Grove</t>
  </si>
  <si>
    <t>Hendysovo Doupe</t>
  </si>
  <si>
    <t>Henry Danger</t>
  </si>
  <si>
    <t>Henry Hugglemonster</t>
  </si>
  <si>
    <t>Hercules</t>
  </si>
  <si>
    <t>Hercules: The Legendary Journeys</t>
  </si>
  <si>
    <t>Here and Now</t>
  </si>
  <si>
    <t>Here Comes Honey Boo Boo</t>
  </si>
  <si>
    <t>Heritage Baptist Church</t>
  </si>
  <si>
    <t>Heroes</t>
  </si>
  <si>
    <t>Heroes of the Public Sector</t>
  </si>
  <si>
    <t>Hetalia: Axis Powers</t>
  </si>
  <si>
    <t>Hetty Feather</t>
  </si>
  <si>
    <t>Hetty Wainthropp Investigates</t>
  </si>
  <si>
    <t>Hey Arnold!</t>
  </si>
  <si>
    <t>Hey Dad..!</t>
  </si>
  <si>
    <t>Hey Meisha</t>
  </si>
  <si>
    <t>Hi-5</t>
  </si>
  <si>
    <t>Hi-5 vs. Hi-5 House</t>
  </si>
  <si>
    <t>Hi-de-Hi!</t>
  </si>
  <si>
    <t>Hidden</t>
  </si>
  <si>
    <t>Hidden Truths</t>
  </si>
  <si>
    <t>High School Confidential</t>
  </si>
  <si>
    <t>High School DxD</t>
  </si>
  <si>
    <t>High School Musical: The Musical</t>
  </si>
  <si>
    <t>High Society</t>
  </si>
  <si>
    <t>Highlander</t>
  </si>
  <si>
    <t>Highlander: The Animated Series</t>
  </si>
  <si>
    <t>Highlander: The Raven</t>
  </si>
  <si>
    <t>Highway Thru Hell</t>
  </si>
  <si>
    <t>Hilda</t>
  </si>
  <si>
    <t>Hill Street Blues</t>
  </si>
  <si>
    <t>Hillbilly Handfishin'</t>
  </si>
  <si>
    <t>Him &amp; Her</t>
  </si>
  <si>
    <t>Himitsu: Top SecretThe Revelation</t>
  </si>
  <si>
    <t>Hinterland</t>
  </si>
  <si>
    <t>Hip-Hop Evolution</t>
  </si>
  <si>
    <t>His and Her Circumstances</t>
  </si>
  <si>
    <t>His Dark Materials</t>
  </si>
  <si>
    <t>History Bites</t>
  </si>
  <si>
    <t>History's Lost &amp; Found</t>
  </si>
  <si>
    <t>Hive Minds</t>
  </si>
  <si>
    <t>Hoarders</t>
  </si>
  <si>
    <t>Holby City</t>
  </si>
  <si>
    <t>Hold the Sunset</t>
  </si>
  <si>
    <t>Holey Moley</t>
  </si>
  <si>
    <t>Holiday Baking Championship</t>
  </si>
  <si>
    <t>Hollyoaks</t>
  </si>
  <si>
    <t>Hollywood Game Night</t>
  </si>
  <si>
    <t>Hollywood Horrors</t>
  </si>
  <si>
    <t>Hollywood Medium</t>
  </si>
  <si>
    <t>Hollywood the Golden Years: The RKO Story</t>
  </si>
  <si>
    <t>Home Alone</t>
  </si>
  <si>
    <t>Home and Away</t>
  </si>
  <si>
    <t>Home Brewed</t>
  </si>
  <si>
    <t>Home Cooking Made Easy</t>
  </si>
  <si>
    <t>Home Fires</t>
  </si>
  <si>
    <t>Home Free</t>
  </si>
  <si>
    <t>Home Improvement</t>
  </si>
  <si>
    <t>Home Movies</t>
  </si>
  <si>
    <t>Homefront</t>
  </si>
  <si>
    <t>Homeland</t>
  </si>
  <si>
    <t>Homicide City</t>
  </si>
  <si>
    <t>Homicide Hunter: Lt. Joe Kenda</t>
  </si>
  <si>
    <t>Honest</t>
  </si>
  <si>
    <t>Hoof and Safety with Nuzzle and Scratch</t>
  </si>
  <si>
    <t>Hope &amp; Faith</t>
  </si>
  <si>
    <t>Horizon</t>
  </si>
  <si>
    <t>Horror Hotel</t>
  </si>
  <si>
    <t>Hospital Central</t>
  </si>
  <si>
    <t>Hospital IT</t>
  </si>
  <si>
    <t>Hostages</t>
  </si>
  <si>
    <t>Hot in Cleveland</t>
  </si>
  <si>
    <t>Hot Line</t>
  </si>
  <si>
    <t>Hot Properties</t>
  </si>
  <si>
    <t>Hot Pursuit</t>
  </si>
  <si>
    <t>Hot Summer Down Under</t>
  </si>
  <si>
    <t>Hot Wheels Challenge Accepted</t>
  </si>
  <si>
    <t>Hotbox</t>
  </si>
  <si>
    <t>Hotel Babylon</t>
  </si>
  <si>
    <t>Hotel Cæsar</t>
  </si>
  <si>
    <t>Hotel Hell</t>
  </si>
  <si>
    <t>Hotel Impossible</t>
  </si>
  <si>
    <t>Hotel Transylvania: The Series</t>
  </si>
  <si>
    <t>House</t>
  </si>
  <si>
    <t>House Doctor</t>
  </si>
  <si>
    <t>House of Cards</t>
  </si>
  <si>
    <t>House of DMaaj</t>
  </si>
  <si>
    <t>House of Horrors: Kidnapped</t>
  </si>
  <si>
    <t>House of Lies</t>
  </si>
  <si>
    <t>House of Mouse</t>
  </si>
  <si>
    <t>House of Saud: A Family at War</t>
  </si>
  <si>
    <t>How Do I Look?</t>
  </si>
  <si>
    <t>How Do They Do It?</t>
  </si>
  <si>
    <t>How I Met Your Mother</t>
  </si>
  <si>
    <t>How It's Made</t>
  </si>
  <si>
    <t>How It's Made: American Made</t>
  </si>
  <si>
    <t>How the Universe Works</t>
  </si>
  <si>
    <t>How to Get Away with Murder</t>
  </si>
  <si>
    <t>How to Lose Weight Well</t>
  </si>
  <si>
    <t>How to Make It in America</t>
  </si>
  <si>
    <t>HowToBasic</t>
  </si>
  <si>
    <t>Huff</t>
  </si>
  <si>
    <t>Hulk and the Agents of S.M.A.S.H.</t>
  </si>
  <si>
    <t>Hull High</t>
  </si>
  <si>
    <t>Human Giant</t>
  </si>
  <si>
    <t>Human Target</t>
  </si>
  <si>
    <t>Human Weapon</t>
  </si>
  <si>
    <t>Hunderby</t>
  </si>
  <si>
    <t>Hung</t>
  </si>
  <si>
    <t>Hunted</t>
  </si>
  <si>
    <t>Hunter</t>
  </si>
  <si>
    <t>Hunter Street</t>
  </si>
  <si>
    <t>Hunting Hitler</t>
  </si>
  <si>
    <t>Hustle</t>
  </si>
  <si>
    <t>Hyperdimension Neptunia</t>
  </si>
  <si>
    <t>Hyvien ihmisten kylä</t>
  </si>
  <si>
    <t>I</t>
  </si>
  <si>
    <t>I Am Cait</t>
  </si>
  <si>
    <t>I Am Jazz</t>
  </si>
  <si>
    <t>I Am the Night</t>
  </si>
  <si>
    <t>I Didn't Do It</t>
  </si>
  <si>
    <t>I Didn't Know I Was Pregnant</t>
  </si>
  <si>
    <t>I Feel Bad</t>
  </si>
  <si>
    <t>I Hate Everything: the Search for the Worst</t>
  </si>
  <si>
    <t>I Married a Princess</t>
  </si>
  <si>
    <t>I Married Dora</t>
  </si>
  <si>
    <t>I Remember Nelson</t>
  </si>
  <si>
    <t>I Ship It</t>
  </si>
  <si>
    <t>I vse-taki ya lyublyu...</t>
  </si>
  <si>
    <t>I Wanna Marry 'Harry'</t>
  </si>
  <si>
    <t>I'll Fly Away</t>
  </si>
  <si>
    <t>I'll Get This</t>
  </si>
  <si>
    <t>I'm a Celebrity, Get Me Out of Here!</t>
  </si>
  <si>
    <t>I'm a Celebrity... Extra Camp</t>
  </si>
  <si>
    <t>I'm Alan Partridge</t>
  </si>
  <si>
    <t>I'm Dying Up Here</t>
  </si>
  <si>
    <t>I'm Having Their Baby</t>
  </si>
  <si>
    <t>I'm Pregnant and...</t>
  </si>
  <si>
    <t>I'm Sorry</t>
  </si>
  <si>
    <t>Ibiza Uncovered</t>
  </si>
  <si>
    <t>iCarly</t>
  </si>
  <si>
    <t>Ice Cold Gold</t>
  </si>
  <si>
    <t>Ice Cold Killers</t>
  </si>
  <si>
    <t>Ice Loves Coco</t>
  </si>
  <si>
    <t>Ice Pilots NWT</t>
  </si>
  <si>
    <t>Ice Road Truckers</t>
  </si>
  <si>
    <t>Içerde</t>
  </si>
  <si>
    <t>Ich bin ein Star, holt mich hier raus!</t>
  </si>
  <si>
    <t>Idiotsitter</t>
  </si>
  <si>
    <t>If Loving You Is Wrong</t>
  </si>
  <si>
    <t>Ika-5 utos</t>
  </si>
  <si>
    <t>Ikaro</t>
  </si>
  <si>
    <t>Ikki tôsen: Dragon Destiny</t>
  </si>
  <si>
    <t>Iljimae</t>
  </si>
  <si>
    <t>Imortal</t>
  </si>
  <si>
    <t>Important Things with Demetri Martin</t>
  </si>
  <si>
    <t>Imposters</t>
  </si>
  <si>
    <t>Impostora</t>
  </si>
  <si>
    <t>Impractical Jokers</t>
  </si>
  <si>
    <t>Impractical Jokers: Inside Jokes</t>
  </si>
  <si>
    <t>Impulse</t>
  </si>
  <si>
    <t>In Contempt</t>
  </si>
  <si>
    <t>In Kgantse &amp; Kenny's Paradise</t>
  </si>
  <si>
    <t>In Living Color</t>
  </si>
  <si>
    <t>In Our Lives</t>
  </si>
  <si>
    <t>In Plain Sight</t>
  </si>
  <si>
    <t>In Search of Perfection</t>
  </si>
  <si>
    <t>In the Big House</t>
  </si>
  <si>
    <t>In the Cut</t>
  </si>
  <si>
    <t>In the Flesh</t>
  </si>
  <si>
    <t>In the Long Run</t>
  </si>
  <si>
    <t>In the Name of Love</t>
  </si>
  <si>
    <t>In The Nick Of Time</t>
  </si>
  <si>
    <t>In Touch with Charles Stanley</t>
  </si>
  <si>
    <t>Independence Year 4 Kidz</t>
  </si>
  <si>
    <t>Indian Food Made Easy</t>
  </si>
  <si>
    <t>Infernal Realities</t>
  </si>
  <si>
    <t>Infested!</t>
  </si>
  <si>
    <t>Informer</t>
  </si>
  <si>
    <t>InHumanoids</t>
  </si>
  <si>
    <t>Ink Master</t>
  </si>
  <si>
    <t>Innocent Love</t>
  </si>
  <si>
    <t>Inocente de ti</t>
  </si>
  <si>
    <t>Insatiable</t>
  </si>
  <si>
    <t>Inside American Jail</t>
  </si>
  <si>
    <t>Inside Look: The Assassination of Gianni VersaceAmerican Crime Story</t>
  </si>
  <si>
    <t>Inside Look: The People v. O.J. SimpsonAmerican Crime Story</t>
  </si>
  <si>
    <t>Inside No. 9</t>
  </si>
  <si>
    <t>Inside Windsor Castle</t>
  </si>
  <si>
    <t>Inspector Gadget</t>
  </si>
  <si>
    <t>Inspector George Gently</t>
  </si>
  <si>
    <t>Inspector Lewis</t>
  </si>
  <si>
    <t>Inspector Morse</t>
  </si>
  <si>
    <t>Instant Mom</t>
  </si>
  <si>
    <t>Instinct</t>
  </si>
  <si>
    <t>Instruktor</t>
  </si>
  <si>
    <t>Intelekt-shou LG Evryka!</t>
  </si>
  <si>
    <t>Intelligence</t>
  </si>
  <si>
    <t>Intervention</t>
  </si>
  <si>
    <t>Into the Dark</t>
  </si>
  <si>
    <t>Intruders</t>
  </si>
  <si>
    <t>Inuyasha</t>
  </si>
  <si>
    <t>Invader ZIM</t>
  </si>
  <si>
    <t>Invasion</t>
  </si>
  <si>
    <t>Invasion America</t>
  </si>
  <si>
    <t>Invisible Heroes</t>
  </si>
  <si>
    <t>Irgendwie und sowieso</t>
  </si>
  <si>
    <t>Iron Fist</t>
  </si>
  <si>
    <t>Iron Man</t>
  </si>
  <si>
    <t>Iron Man: Armored Adventures</t>
  </si>
  <si>
    <t>Irrational Heart</t>
  </si>
  <si>
    <t>Isabel</t>
  </si>
  <si>
    <t>Israel Moment</t>
  </si>
  <si>
    <t>Issues</t>
  </si>
  <si>
    <t>It Could Be Worse</t>
  </si>
  <si>
    <t>It Was Alright in the...</t>
  </si>
  <si>
    <t>It's a Hard Goth Life</t>
  </si>
  <si>
    <t>It's All Relative</t>
  </si>
  <si>
    <t>It's Always Sunny in Philadelphia</t>
  </si>
  <si>
    <t>It's Me or the Dog</t>
  </si>
  <si>
    <t>Iznogoud</t>
  </si>
  <si>
    <t>iZombie</t>
  </si>
  <si>
    <t>Ja'mie: Private School Girl</t>
  </si>
  <si>
    <t>Jack &amp; Bobby</t>
  </si>
  <si>
    <t>Jack of All Trades</t>
  </si>
  <si>
    <t>Jack Whitehall: Travels with My Father</t>
  </si>
  <si>
    <t>Jackass</t>
  </si>
  <si>
    <t>Jackie Chan Adventures</t>
  </si>
  <si>
    <t>JAG</t>
  </si>
  <si>
    <t>Jakers! The Adventures of Piggley Winks</t>
  </si>
  <si>
    <t>James Bond Jr.</t>
  </si>
  <si>
    <t>James May's Cars of the People</t>
  </si>
  <si>
    <t>James May's Man Lab</t>
  </si>
  <si>
    <t>James Patterson's Murder Is Forever</t>
  </si>
  <si>
    <t>Jamestown</t>
  </si>
  <si>
    <t>Jamie's 30 Minute Meals</t>
  </si>
  <si>
    <t>Jamie's Great Escape</t>
  </si>
  <si>
    <t>Jamie's Money Saving Meals</t>
  </si>
  <si>
    <t>Jamillah and Aladdin</t>
  </si>
  <si>
    <t>Jan Hanko</t>
  </si>
  <si>
    <t>Jana Kotysan</t>
  </si>
  <si>
    <t>Jane</t>
  </si>
  <si>
    <t>Jane the Virgin</t>
  </si>
  <si>
    <t>Janet King</t>
  </si>
  <si>
    <t>Jeeves and Wooster</t>
  </si>
  <si>
    <t>JellybeanASMR</t>
  </si>
  <si>
    <t>Jem</t>
  </si>
  <si>
    <t>Jericho</t>
  </si>
  <si>
    <t>Jersey Shore</t>
  </si>
  <si>
    <t>Jersey Shore Family Vacation</t>
  </si>
  <si>
    <t>Jerseylicious</t>
  </si>
  <si>
    <t>Jessica Jones</t>
  </si>
  <si>
    <t>Jessie</t>
  </si>
  <si>
    <t>Jesus &amp; Josefine</t>
  </si>
  <si>
    <t>Jetstream</t>
  </si>
  <si>
    <t>Jill &amp; Jessa Counting On</t>
  </si>
  <si>
    <t>Jimmy Two-Shoes</t>
  </si>
  <si>
    <t>Jitka Novácková</t>
  </si>
  <si>
    <t>Jmenuju Se Martin</t>
  </si>
  <si>
    <t>Joan of Arcadia</t>
  </si>
  <si>
    <t>Joaquin Bordado</t>
  </si>
  <si>
    <t>Joe Millionaire</t>
  </si>
  <si>
    <t>Joey</t>
  </si>
  <si>
    <t>John Safran vs. God</t>
  </si>
  <si>
    <t>Johnny Bravo</t>
  </si>
  <si>
    <t>Johnny Test</t>
  </si>
  <si>
    <t>Jon &amp; Kate Plus 8</t>
  </si>
  <si>
    <t>Jon Benjamin Has a Van</t>
  </si>
  <si>
    <t>Jonah Hex: Motion Comics</t>
  </si>
  <si>
    <t>Jonathan Bird's Blue World</t>
  </si>
  <si>
    <t>Jonathan Creek</t>
  </si>
  <si>
    <t>Jonny Briggs</t>
  </si>
  <si>
    <t>Jordskott</t>
  </si>
  <si>
    <t>Judas Goat</t>
  </si>
  <si>
    <t>Judge John Deed</t>
  </si>
  <si>
    <t>Judge Judy</t>
  </si>
  <si>
    <t>Judge Rinder</t>
  </si>
  <si>
    <t>Judge Romesh</t>
  </si>
  <si>
    <t>Judging Amy</t>
  </si>
  <si>
    <t>Juliet Bravo</t>
  </si>
  <si>
    <t>Jumpers for Goalposts</t>
  </si>
  <si>
    <t>Jungle Junction</t>
  </si>
  <si>
    <t>Junior Doctors: Blood, Sweat and Tears</t>
  </si>
  <si>
    <t>Junk Food Flip</t>
  </si>
  <si>
    <t>Just a Minute</t>
  </si>
  <si>
    <t>Just Add Magic</t>
  </si>
  <si>
    <t>Just Good Friends</t>
  </si>
  <si>
    <t>Just Jordan</t>
  </si>
  <si>
    <t>Just Shoot Me!</t>
  </si>
  <si>
    <t>Just the Ten of Us</t>
  </si>
  <si>
    <t>Justice League</t>
  </si>
  <si>
    <t>Justice League Action</t>
  </si>
  <si>
    <t>Justice League Unlimited</t>
  </si>
  <si>
    <t>Justified</t>
  </si>
  <si>
    <t>K Street</t>
  </si>
  <si>
    <t>K-On!</t>
  </si>
  <si>
    <t>K.C. Undercover</t>
  </si>
  <si>
    <t>Kagaku Sentai Dynaman</t>
  </si>
  <si>
    <t>Kameleon de serie</t>
  </si>
  <si>
    <t>Kamen Whispers ASMR</t>
  </si>
  <si>
    <t>KamFit</t>
  </si>
  <si>
    <t>Kan kwok hiu hung chi Yee hoi ho ching</t>
  </si>
  <si>
    <t>Kanokon</t>
  </si>
  <si>
    <t>Karl &amp; Co</t>
  </si>
  <si>
    <t>Karlos Benda</t>
  </si>
  <si>
    <t>Karmbhoomi</t>
  </si>
  <si>
    <t>Kasimasi: Girl Meets Girl</t>
  </si>
  <si>
    <t>Kate &amp; Allie</t>
  </si>
  <si>
    <t>Katherine Mills: Mind Games</t>
  </si>
  <si>
    <t>Kathy Griffin: My Life on the D-List</t>
  </si>
  <si>
    <t>Katie Price: My Crazy Life</t>
  </si>
  <si>
    <t>Kavanagh QC</t>
  </si>
  <si>
    <t>Kea</t>
  </si>
  <si>
    <t>Keep It in the Family</t>
  </si>
  <si>
    <t>Keeping Faith</t>
  </si>
  <si>
    <t>Keeping Up Appearances</t>
  </si>
  <si>
    <t>Keeping Up with the Kardashians</t>
  </si>
  <si>
    <t>Kenan &amp; Kel</t>
  </si>
  <si>
    <t>Kesslers Expedition</t>
  </si>
  <si>
    <t>Kevin Can Wait</t>
  </si>
  <si>
    <t>Kevin Hill</t>
  </si>
  <si>
    <t>Kevin Spencer</t>
  </si>
  <si>
    <t>Kick</t>
  </si>
  <si>
    <t>Kickin' It</t>
  </si>
  <si>
    <t>Kicking &amp; Screaming</t>
  </si>
  <si>
    <t>Kidding</t>
  </si>
  <si>
    <t>Kidnap and Ransom</t>
  </si>
  <si>
    <t>Kids Unlimited</t>
  </si>
  <si>
    <t>Kidz Care</t>
  </si>
  <si>
    <t>KikOriki</t>
  </si>
  <si>
    <t>KILL La KILL</t>
  </si>
  <si>
    <t>Kill Me, Heal Me</t>
  </si>
  <si>
    <t>Killing Eve</t>
  </si>
  <si>
    <t>Kim Possible</t>
  </si>
  <si>
    <t>Kim Soo Ro</t>
  </si>
  <si>
    <t>Kim's Convenience</t>
  </si>
  <si>
    <t>King</t>
  </si>
  <si>
    <t>King &amp; Maxwell</t>
  </si>
  <si>
    <t>King Arthur and the Knights of Justice</t>
  </si>
  <si>
    <t>King Arthur's Disasters</t>
  </si>
  <si>
    <t>King of the Hill</t>
  </si>
  <si>
    <t>King of the Nerds</t>
  </si>
  <si>
    <t>Kingdom</t>
  </si>
  <si>
    <t>Kingdom Hospital</t>
  </si>
  <si>
    <t>Kino's Journey</t>
  </si>
  <si>
    <t>Kir Royal</t>
  </si>
  <si>
    <t>Kirstie &amp; Phil's Love It or List It</t>
  </si>
  <si>
    <t>Kirstie Allsopp's Home Style</t>
  </si>
  <si>
    <t>Kirstie's Handmade Christmas</t>
  </si>
  <si>
    <t>Kirstie's Vintage Gems</t>
  </si>
  <si>
    <t>Kiss of Death</t>
  </si>
  <si>
    <t>Kitchen Confidential</t>
  </si>
  <si>
    <t>Kitchen Nightmares</t>
  </si>
  <si>
    <t>Kitchen Showdown with Rosemary Shrager</t>
  </si>
  <si>
    <t>KJV Minute</t>
  </si>
  <si>
    <t>Klovn</t>
  </si>
  <si>
    <t>Knight Rider</t>
  </si>
  <si>
    <t>Knightfall</t>
  </si>
  <si>
    <t>Knightmare</t>
  </si>
  <si>
    <t>Knock Knock Live</t>
  </si>
  <si>
    <t>Knowing Me, Knowing You with Alan Partridge</t>
  </si>
  <si>
    <t>Koihime musô</t>
  </si>
  <si>
    <t>Kourtney &amp; Kim Take New York</t>
  </si>
  <si>
    <t>Kovy</t>
  </si>
  <si>
    <t>Kristine</t>
  </si>
  <si>
    <t>Kroll Show</t>
  </si>
  <si>
    <t>Krypto the Superdog</t>
  </si>
  <si>
    <t>Krypton</t>
  </si>
  <si>
    <t>Kung Fu Panda: Legends of Awesomeness</t>
  </si>
  <si>
    <t>Kung Fu: The Legend Continues</t>
  </si>
  <si>
    <t>Kyle XY</t>
  </si>
  <si>
    <t>L.A. Heat</t>
  </si>
  <si>
    <t>L.A. Law</t>
  </si>
  <si>
    <t>L.A.'s Finest</t>
  </si>
  <si>
    <t>La Bruja</t>
  </si>
  <si>
    <t>La corrida</t>
  </si>
  <si>
    <t>La Familia de al Lado</t>
  </si>
  <si>
    <t>La Femme Nikita</t>
  </si>
  <si>
    <t>LA Ink</t>
  </si>
  <si>
    <t>La mujer de Judas</t>
  </si>
  <si>
    <t>La que se avecina</t>
  </si>
  <si>
    <t>La Recta Provincia</t>
  </si>
  <si>
    <t>La saga: Negocio de familia</t>
  </si>
  <si>
    <t>LA to Vegas</t>
  </si>
  <si>
    <t>La vendetta</t>
  </si>
  <si>
    <t>Ladon Mein Pali</t>
  </si>
  <si>
    <t>Lady Zika</t>
  </si>
  <si>
    <t>Laguna Beach: The Real Orange County</t>
  </si>
  <si>
    <t>Land of the Lost</t>
  </si>
  <si>
    <t>Langt fra Las Vegas</t>
  </si>
  <si>
    <t>Lark Rise to Candleford</t>
  </si>
  <si>
    <t>Las Vega's</t>
  </si>
  <si>
    <t>Laser Fart</t>
  </si>
  <si>
    <t>Last Chance U</t>
  </si>
  <si>
    <t>Last Comic Standing</t>
  </si>
  <si>
    <t>Last Man Standing</t>
  </si>
  <si>
    <t>Laura Lemurex ASMR</t>
  </si>
  <si>
    <t>Law &amp; Order</t>
  </si>
  <si>
    <t>Law &amp; Order: Criminal Intent</t>
  </si>
  <si>
    <t>Law &amp; Order: Special Victims Unit</t>
  </si>
  <si>
    <t>Lazy Game Reviews</t>
  </si>
  <si>
    <t>Leah Remini: Scientology and the Aftermath</t>
  </si>
  <si>
    <t>Legend of the Seeker</t>
  </si>
  <si>
    <t>Legend Quest</t>
  </si>
  <si>
    <t>Legends</t>
  </si>
  <si>
    <t>Legends of Gaming Brasil</t>
  </si>
  <si>
    <t>Legion</t>
  </si>
  <si>
    <t>Legion of Super Heroes</t>
  </si>
  <si>
    <t>Lego Elves: Secrets of Elvendale</t>
  </si>
  <si>
    <t>Lego Friends</t>
  </si>
  <si>
    <t>Lego Star Wars: The Freemaker Adventures</t>
  </si>
  <si>
    <t>Leif Nygaard Vlog</t>
  </si>
  <si>
    <t>Les Dalton</t>
  </si>
  <si>
    <t>Les tropiques de l'amour</t>
  </si>
  <si>
    <t>Less Than Perfect</t>
  </si>
  <si>
    <t>Let's Dance</t>
  </si>
  <si>
    <t>Lethal Weapon</t>
  </si>
  <si>
    <t>Leverage</t>
  </si>
  <si>
    <t>Liberdade 21</t>
  </si>
  <si>
    <t>Liberty's Kids: Est. 1776</t>
  </si>
  <si>
    <t>Lie to Me</t>
  </si>
  <si>
    <t>Life</t>
  </si>
  <si>
    <t>Life After People</t>
  </si>
  <si>
    <t>Life Below Zero</t>
  </si>
  <si>
    <t>Life in Pieces</t>
  </si>
  <si>
    <t>Life on Mars</t>
  </si>
  <si>
    <t>Life Sentence</t>
  </si>
  <si>
    <t>Life Unexpected</t>
  </si>
  <si>
    <t>Life's a Zoo</t>
  </si>
  <si>
    <t>Life's Too Short</t>
  </si>
  <si>
    <t>Lifestories: Families in Crisis</t>
  </si>
  <si>
    <t>Light as a Feather</t>
  </si>
  <si>
    <t>Lighthouse Baptist Church</t>
  </si>
  <si>
    <t>Like, la leyenda</t>
  </si>
  <si>
    <t>Lil' Bush: Resident of the United States</t>
  </si>
  <si>
    <t>Linda Macáková</t>
  </si>
  <si>
    <t>Lindenstraße</t>
  </si>
  <si>
    <t>Line of Duty</t>
  </si>
  <si>
    <t>Line of Fire</t>
  </si>
  <si>
    <t>Little Big Shots</t>
  </si>
  <si>
    <t>Little Britain</t>
  </si>
  <si>
    <t>Little People, Big World</t>
  </si>
  <si>
    <t>Little People, Big World: Wedding Farm</t>
  </si>
  <si>
    <t>Littlest Pet Shop</t>
  </si>
  <si>
    <t>Live PD: Police Patrol</t>
  </si>
  <si>
    <t>Liverpool 1</t>
  </si>
  <si>
    <t>Living Alaska</t>
  </si>
  <si>
    <t>Living the Dream</t>
  </si>
  <si>
    <t>Living with Yourself</t>
  </si>
  <si>
    <t>Lizi ASMR</t>
  </si>
  <si>
    <t>Lizzie McGuire</t>
  </si>
  <si>
    <t>Llamas De La Vida</t>
  </si>
  <si>
    <t>Lobo</t>
  </si>
  <si>
    <t>Locked Up</t>
  </si>
  <si>
    <t>Locked Up Abroad</t>
  </si>
  <si>
    <t>Lodge 49</t>
  </si>
  <si>
    <t>Lois &amp; Clark: The New Adventures of Superman</t>
  </si>
  <si>
    <t>Loiter Squad</t>
  </si>
  <si>
    <t>London Kills</t>
  </si>
  <si>
    <t>London's Burning</t>
  </si>
  <si>
    <t>Long Island Medium</t>
  </si>
  <si>
    <t>Long Lost Family</t>
  </si>
  <si>
    <t>Longmire</t>
  </si>
  <si>
    <t>Looking</t>
  </si>
  <si>
    <t>Lore</t>
  </si>
  <si>
    <t>Lorraine's Fast, Fresh &amp; Easy Food</t>
  </si>
  <si>
    <t>Los elegidos</t>
  </si>
  <si>
    <t>Lost</t>
  </si>
  <si>
    <t>Lost Civilizations</t>
  </si>
  <si>
    <t>Lost Girl</t>
  </si>
  <si>
    <t>Lost in Space</t>
  </si>
  <si>
    <t>Lost Song</t>
  </si>
  <si>
    <t>Lost Tapes</t>
  </si>
  <si>
    <t>Loudermilk</t>
  </si>
  <si>
    <t>Love</t>
  </si>
  <si>
    <t>Love &amp; Hip Hop</t>
  </si>
  <si>
    <t>Love at First Kiss</t>
  </si>
  <si>
    <t>Love Connection</t>
  </si>
  <si>
    <t>Love Hina</t>
  </si>
  <si>
    <t>Love in the Wild</t>
  </si>
  <si>
    <t>Love Island</t>
  </si>
  <si>
    <t>Love Me If You Dare</t>
  </si>
  <si>
    <t>Love Monkey</t>
  </si>
  <si>
    <t>Love on the Spectrum</t>
  </si>
  <si>
    <t>Love Your Garden</t>
  </si>
  <si>
    <t>Love, Sidney</t>
  </si>
  <si>
    <t>Love/Hate</t>
  </si>
  <si>
    <t>Low Winter Sun</t>
  </si>
  <si>
    <t>Lucifer</t>
  </si>
  <si>
    <t>Lucky Dog</t>
  </si>
  <si>
    <t>Lucy: The Daughter of the Devil</t>
  </si>
  <si>
    <t>LucyPug</t>
  </si>
  <si>
    <t>Luis Miguel: The Series</t>
  </si>
  <si>
    <t>Luke Cage</t>
  </si>
  <si>
    <t>Luke Nguyen's Greater Mekong</t>
  </si>
  <si>
    <t>Luke Nguyen's Vietnam</t>
  </si>
  <si>
    <t>Lukynn</t>
  </si>
  <si>
    <t>Lunatics</t>
  </si>
  <si>
    <t>Lupin</t>
  </si>
  <si>
    <t>Luther</t>
  </si>
  <si>
    <t>Lync</t>
  </si>
  <si>
    <t>M jak milosc</t>
  </si>
  <si>
    <t>M.I.High</t>
  </si>
  <si>
    <t>Maburaho</t>
  </si>
  <si>
    <t>MacGyver</t>
  </si>
  <si>
    <t>Mad Men</t>
  </si>
  <si>
    <t>Madam Secretary</t>
  </si>
  <si>
    <t>Madame De Pompadour: The King's Favourite</t>
  </si>
  <si>
    <t>Made in Chelsea</t>
  </si>
  <si>
    <t>Made in Heaven</t>
  </si>
  <si>
    <t>Madlax</t>
  </si>
  <si>
    <t>Madness</t>
  </si>
  <si>
    <t>Magic City</t>
  </si>
  <si>
    <t>Magical Angel Creamy Mami</t>
  </si>
  <si>
    <t>Magkaribal</t>
  </si>
  <si>
    <t>Magnum P.I.</t>
  </si>
  <si>
    <t>Magnum, P.I.</t>
  </si>
  <si>
    <t>Mahabharatham</t>
  </si>
  <si>
    <t>Mai otome</t>
  </si>
  <si>
    <t>Mai-HiME</t>
  </si>
  <si>
    <t>Maid Marian and Her Merry Men</t>
  </si>
  <si>
    <t>Maisie Raine</t>
  </si>
  <si>
    <t>Major Crimes</t>
  </si>
  <si>
    <t>Make It or Break It</t>
  </si>
  <si>
    <t>Make It Pop</t>
  </si>
  <si>
    <t>Making a Murderer</t>
  </si>
  <si>
    <t>Making History</t>
  </si>
  <si>
    <t>Making It</t>
  </si>
  <si>
    <t>Mako Mermaids</t>
  </si>
  <si>
    <t>Makyna's Life</t>
  </si>
  <si>
    <t>Malcolm in the Middle</t>
  </si>
  <si>
    <t>Malibu, CA</t>
  </si>
  <si>
    <t>Mama Lifestyle</t>
  </si>
  <si>
    <t>Man Down</t>
  </si>
  <si>
    <t>Man Seeking Woman</t>
  </si>
  <si>
    <t>Man v. Food</t>
  </si>
  <si>
    <t>Man with a Plan</t>
  </si>
  <si>
    <t>Manhunt</t>
  </si>
  <si>
    <t>Manifest</t>
  </si>
  <si>
    <t>Manny's Movie Macabre</t>
  </si>
  <si>
    <t>Maple Town</t>
  </si>
  <si>
    <t>Mara Clara</t>
  </si>
  <si>
    <t>Marcella</t>
  </si>
  <si>
    <t>Marco Polo</t>
  </si>
  <si>
    <t>MareTV</t>
  </si>
  <si>
    <t>Maria Watches Over Us</t>
  </si>
  <si>
    <t>Marianne the First</t>
  </si>
  <si>
    <t>Marimar</t>
  </si>
  <si>
    <t>Mark Tyban</t>
  </si>
  <si>
    <t>Married</t>
  </si>
  <si>
    <t>Married to Medicine</t>
  </si>
  <si>
    <t>Married... with Children</t>
  </si>
  <si>
    <t>Marry Me</t>
  </si>
  <si>
    <t>Marta a Vera</t>
  </si>
  <si>
    <t>Martial Law</t>
  </si>
  <si>
    <t>Martin</t>
  </si>
  <si>
    <t>Martin Donát</t>
  </si>
  <si>
    <t>Marvel Disk Wars: The Avengers</t>
  </si>
  <si>
    <t>Marvel's Hero Project</t>
  </si>
  <si>
    <t>Mary Berry Everyday</t>
  </si>
  <si>
    <t>Mary Kills People</t>
  </si>
  <si>
    <t>Mary Lou</t>
  </si>
  <si>
    <t>Master of None</t>
  </si>
  <si>
    <t>Masterchef</t>
  </si>
  <si>
    <t>MasterChef Junior</t>
  </si>
  <si>
    <t>Masters of Illusion</t>
  </si>
  <si>
    <t>Masters of Sex</t>
  </si>
  <si>
    <t>Masters of the Universe vs. the Snake Men</t>
  </si>
  <si>
    <t>Match Game</t>
  </si>
  <si>
    <t>Matlock</t>
  </si>
  <si>
    <t>Matous Kacanos</t>
  </si>
  <si>
    <t>Max Headroom</t>
  </si>
  <si>
    <t>Maxim Hrabanec</t>
  </si>
  <si>
    <t>Mayans M.C.</t>
  </si>
  <si>
    <t>McLeod's Daughters</t>
  </si>
  <si>
    <t>McMafia</t>
  </si>
  <si>
    <t>Me &amp; My Monsters</t>
  </si>
  <si>
    <t>Me Too</t>
  </si>
  <si>
    <t>Meadowlands</t>
  </si>
  <si>
    <t>Meanwhile...</t>
  </si>
  <si>
    <t>Mechakko Dotakon</t>
  </si>
  <si>
    <t>Medal of Honor</t>
  </si>
  <si>
    <t>Medici</t>
  </si>
  <si>
    <t>Medium</t>
  </si>
  <si>
    <t>Meego</t>
  </si>
  <si>
    <t>Mega Babies</t>
  </si>
  <si>
    <t>Mega Man</t>
  </si>
  <si>
    <t>Megas XLR</t>
  </si>
  <si>
    <t>Megazone 23 III</t>
  </si>
  <si>
    <t>Mei-chan's Butler</t>
  </si>
  <si>
    <t>Melissa &amp; Joey</t>
  </si>
  <si>
    <t>Melrose Place</t>
  </si>
  <si>
    <t>Memories of the Alhambra</t>
  </si>
  <si>
    <t>Memphis Beat</t>
  </si>
  <si>
    <t>Men Behaving Badly</t>
  </si>
  <si>
    <t>Mercy</t>
  </si>
  <si>
    <t>Mercy Street</t>
  </si>
  <si>
    <t>Meri Zaat Zarrae Benishan</t>
  </si>
  <si>
    <t>Merlin</t>
  </si>
  <si>
    <t>Metal Evolution</t>
  </si>
  <si>
    <t>Metalocalypse</t>
  </si>
  <si>
    <t>Meteor Garden</t>
  </si>
  <si>
    <t>Metrosexuality</t>
  </si>
  <si>
    <t>Mga mata ni Anghelita</t>
  </si>
  <si>
    <t>Miami Guns</t>
  </si>
  <si>
    <t>Miami Ink</t>
  </si>
  <si>
    <t>Miami Vice</t>
  </si>
  <si>
    <t>Micawber</t>
  </si>
  <si>
    <t>Michael &amp; Michael Have Issues</t>
  </si>
  <si>
    <t>Mickey and the Roadster Racers</t>
  </si>
  <si>
    <t>Mickey Mouse</t>
  </si>
  <si>
    <t>Mickey Mouse Clubhouse</t>
  </si>
  <si>
    <t>Mickey Mouse Works</t>
  </si>
  <si>
    <t>Midnight Sun</t>
  </si>
  <si>
    <t>Midnight, Texas</t>
  </si>
  <si>
    <t>Midsomer Murders</t>
  </si>
  <si>
    <t>Mighty Morphin Power Rangers</t>
  </si>
  <si>
    <t>Miimu iro iro yume no tabi</t>
  </si>
  <si>
    <t>Mike &amp; Molly</t>
  </si>
  <si>
    <t>Mike Tyson Mysteries</t>
  </si>
  <si>
    <t>Mile High</t>
  </si>
  <si>
    <t>Miles from Tomorrowland</t>
  </si>
  <si>
    <t>Millennium</t>
  </si>
  <si>
    <t>Million Dollar Listing Los Angeles</t>
  </si>
  <si>
    <t>Million Dollar Listing New York</t>
  </si>
  <si>
    <t>Milly, Molly</t>
  </si>
  <si>
    <t>Mind Field</t>
  </si>
  <si>
    <t>Mind of Mencia</t>
  </si>
  <si>
    <t>Mindhunter</t>
  </si>
  <si>
    <t>Minority Report</t>
  </si>
  <si>
    <t>Mira lo que has hecho</t>
  </si>
  <si>
    <t>Miraculous: Tales of Ladybug &amp; Cat Noir</t>
  </si>
  <si>
    <t>Miranda</t>
  </si>
  <si>
    <t>Miranda Sings</t>
  </si>
  <si>
    <t>Mirror, Mirror</t>
  </si>
  <si>
    <t>Mirzapur</t>
  </si>
  <si>
    <t>Misfits</t>
  </si>
  <si>
    <t>Misija majora Atertona</t>
  </si>
  <si>
    <t>Miss Fisher's Murder Mysteries</t>
  </si>
  <si>
    <t>Missing</t>
  </si>
  <si>
    <t>Mission Selfie</t>
  </si>
  <si>
    <t>Mission: Impossible</t>
  </si>
  <si>
    <t>Mister Tachyon</t>
  </si>
  <si>
    <t>Mistresses</t>
  </si>
  <si>
    <t>Mob Wives</t>
  </si>
  <si>
    <t>Mobbed</t>
  </si>
  <si>
    <t>Mobile Fighter G Gundam</t>
  </si>
  <si>
    <t>Mobile Suit Gundam Seed</t>
  </si>
  <si>
    <t>Mobile Suit Gundam Seed Destiny</t>
  </si>
  <si>
    <t>Mobile Suit Gundam Wing</t>
  </si>
  <si>
    <t>Mobile Suit Gundam ZZ</t>
  </si>
  <si>
    <t>Mobile Suit Zeta Gundam</t>
  </si>
  <si>
    <t>Modeling with Ishah Wright Produced in Full HD</t>
  </si>
  <si>
    <t>Modern Family</t>
  </si>
  <si>
    <t>Modern Love</t>
  </si>
  <si>
    <t>Mom</t>
  </si>
  <si>
    <t>Mom &amp; Me</t>
  </si>
  <si>
    <t>Mona the Vampire</t>
  </si>
  <si>
    <t>Monarch of the Glen</t>
  </si>
  <si>
    <t>Money Heist</t>
  </si>
  <si>
    <t>Mongrels</t>
  </si>
  <si>
    <t>Monk</t>
  </si>
  <si>
    <t>Monstar</t>
  </si>
  <si>
    <t>Monster</t>
  </si>
  <si>
    <t>Monster Musume: Everyday Life with Monster Girls</t>
  </si>
  <si>
    <t>Monsuno</t>
  </si>
  <si>
    <t>Moon Dreamers</t>
  </si>
  <si>
    <t>Moon Lovers: Scarlet Heart Ryeo</t>
  </si>
  <si>
    <t>Moone Boy</t>
  </si>
  <si>
    <t>Moonlighting</t>
  </si>
  <si>
    <t>Moonshiners</t>
  </si>
  <si>
    <t>Moral Orel</t>
  </si>
  <si>
    <t>Morangos com Açúcar</t>
  </si>
  <si>
    <t>More Than a River</t>
  </si>
  <si>
    <t>More Zoella</t>
  </si>
  <si>
    <t>Mortal Kombat: Conquest</t>
  </si>
  <si>
    <t>Mortal Kombat: Defenders of the Realm</t>
  </si>
  <si>
    <t>Mortal Kombat: Legacy</t>
  </si>
  <si>
    <t>Moshi koukou yakyuu no joshi manêjâ ga Dorakkâ no 'Manejimento' wo yondara</t>
  </si>
  <si>
    <t>Most Evil</t>
  </si>
  <si>
    <t>Most Haunted</t>
  </si>
  <si>
    <t>Mot i brøstet</t>
  </si>
  <si>
    <t>Motherland</t>
  </si>
  <si>
    <t>Motive</t>
  </si>
  <si>
    <t>Moya Prechistenka</t>
  </si>
  <si>
    <t>Mr &amp; Mrs Murder</t>
  </si>
  <si>
    <t>Mr Selfridge</t>
  </si>
  <si>
    <t>Mr. Bean</t>
  </si>
  <si>
    <t>Mr. Mercedes</t>
  </si>
  <si>
    <t>Mr. Pickles</t>
  </si>
  <si>
    <t>Mr. Robot</t>
  </si>
  <si>
    <t>Mr. Show with Bob and David</t>
  </si>
  <si>
    <t>Mr. Sloane</t>
  </si>
  <si>
    <t>Mr. Sunshine</t>
  </si>
  <si>
    <t>Mrs. Brown's Boys</t>
  </si>
  <si>
    <t>Mrs. Fletcher</t>
  </si>
  <si>
    <t>MrTomcatCZ</t>
  </si>
  <si>
    <t>Ms. Monologue</t>
  </si>
  <si>
    <t>Mt. Emmanuel Missionary Baptist Church</t>
  </si>
  <si>
    <t>MTV Floribama Shore</t>
  </si>
  <si>
    <t>Mujeres de nadie</t>
  </si>
  <si>
    <t>Mula sa puso</t>
  </si>
  <si>
    <t>Mulawin</t>
  </si>
  <si>
    <t>Mummies Alive!</t>
  </si>
  <si>
    <t>Mundo de fieras</t>
  </si>
  <si>
    <t>Munting heredera</t>
  </si>
  <si>
    <t>Muppet Babies</t>
  </si>
  <si>
    <t>Murder Call</t>
  </si>
  <si>
    <t>Murder, She Wrote</t>
  </si>
  <si>
    <t>Murdoch Mysteries</t>
  </si>
  <si>
    <t>Murphy Brown</t>
  </si>
  <si>
    <t>Musée Eden</t>
  </si>
  <si>
    <t>Mutant X</t>
  </si>
  <si>
    <t>My 600-lb Life</t>
  </si>
  <si>
    <t>My Big Fat Fabulous Life</t>
  </si>
  <si>
    <t>My Big Fat Obnoxious Fiance</t>
  </si>
  <si>
    <t>My Brilliant Friend</t>
  </si>
  <si>
    <t>My Cat from Hell</t>
  </si>
  <si>
    <t>My Crazy Ex</t>
  </si>
  <si>
    <t>My Diet Is Better Than Yours</t>
  </si>
  <si>
    <t>My Family</t>
  </si>
  <si>
    <t>My Girlfriend Is a Gumiho</t>
  </si>
  <si>
    <t>My Guardian Characters</t>
  </si>
  <si>
    <t>My Gym Partner's a Monkey</t>
  </si>
  <si>
    <t>My Hero Academia</t>
  </si>
  <si>
    <t>My Little Pony: Friendship Is Magic</t>
  </si>
  <si>
    <t>My Lovely Sam-Soon</t>
  </si>
  <si>
    <t>My Mad Fat Diary</t>
  </si>
  <si>
    <t>My Name Is Earl</t>
  </si>
  <si>
    <t>My Parents Are Aliens</t>
  </si>
  <si>
    <t>My Secret Identity</t>
  </si>
  <si>
    <t>My So-Called Life</t>
  </si>
  <si>
    <t>My Strange Addiction</t>
  </si>
  <si>
    <t>My Super Sweet 16</t>
  </si>
  <si>
    <t>My Two Dads</t>
  </si>
  <si>
    <t>My Virgin Kitchen</t>
  </si>
  <si>
    <t>My Wife and Kids</t>
  </si>
  <si>
    <t>Mystery Science Theater 3000</t>
  </si>
  <si>
    <t>Mystery!: Cadfael</t>
  </si>
  <si>
    <t>Mystic Knights of Tir Na Nog</t>
  </si>
  <si>
    <t>MythBusters</t>
  </si>
  <si>
    <t>MythQuest</t>
  </si>
  <si>
    <t>Naagin</t>
  </si>
  <si>
    <t>Nadia: The Secret of Blue Water</t>
  </si>
  <si>
    <t>Nadiya's British Food Adventure</t>
  </si>
  <si>
    <t>Nadrazí</t>
  </si>
  <si>
    <t>Nailed It!</t>
  </si>
  <si>
    <t>Najica: Blitz Tactics</t>
  </si>
  <si>
    <t>Naked and Afraid</t>
  </si>
  <si>
    <t>Naked and Marooned with Ed Stafford</t>
  </si>
  <si>
    <t>Naked Attraction</t>
  </si>
  <si>
    <t>Namoos</t>
  </si>
  <si>
    <t>Nancy Drew</t>
  </si>
  <si>
    <t>Narcos</t>
  </si>
  <si>
    <t>Narcos: Mexico</t>
  </si>
  <si>
    <t>Naruto</t>
  </si>
  <si>
    <t>Naruto: Shippûden</t>
  </si>
  <si>
    <t>Nasaan ka, Elisa?</t>
  </si>
  <si>
    <t>Nash Bridges</t>
  </si>
  <si>
    <t>Nashville</t>
  </si>
  <si>
    <t>Nasi</t>
  </si>
  <si>
    <t>Nate Is Late</t>
  </si>
  <si>
    <t>Natsume's Book of Friends</t>
  </si>
  <si>
    <t>Natyla</t>
  </si>
  <si>
    <t>NCIS</t>
  </si>
  <si>
    <t>NCIS: Los Angeles</t>
  </si>
  <si>
    <t>NCIS: New Orleans</t>
  </si>
  <si>
    <t>Ne Vremya</t>
  </si>
  <si>
    <t>Necessary Roughness</t>
  </si>
  <si>
    <t>Neighbours</t>
  </si>
  <si>
    <t>Nejhater</t>
  </si>
  <si>
    <t>Neon Genesis Evangelion</t>
  </si>
  <si>
    <t>Neon Joe, Werewolf Hunter</t>
  </si>
  <si>
    <t>New Amsterdam</t>
  </si>
  <si>
    <t>New Blood</t>
  </si>
  <si>
    <t>New Fist of the North Star</t>
  </si>
  <si>
    <t>New Hope Apostolic Church</t>
  </si>
  <si>
    <t>New Looney Tunes</t>
  </si>
  <si>
    <t>NewsRadio</t>
  </si>
  <si>
    <t>Newzoids</t>
  </si>
  <si>
    <t>Nexo Knights</t>
  </si>
  <si>
    <t>Nickelodeon Presents: Inside-Out Boy</t>
  </si>
  <si>
    <t>Nigella Bites</t>
  </si>
  <si>
    <t>Night club</t>
  </si>
  <si>
    <t>Night Court</t>
  </si>
  <si>
    <t>Night Shift Nurses</t>
  </si>
  <si>
    <t>Night Stalker</t>
  </si>
  <si>
    <t>Nightflyers</t>
  </si>
  <si>
    <t>Nightmare Next Door</t>
  </si>
  <si>
    <t>Nightwalker: Midnight Detective</t>
  </si>
  <si>
    <t>Nikita</t>
  </si>
  <si>
    <t>Ninja Scroll: The Series</t>
  </si>
  <si>
    <t>Ninja Turtles: The Next Mutation</t>
  </si>
  <si>
    <t>Nip/Tuck</t>
  </si>
  <si>
    <t>Nirvana in Fire</t>
  </si>
  <si>
    <t>Nitro Rad</t>
  </si>
  <si>
    <t>No Angels</t>
  </si>
  <si>
    <t>No Evil</t>
  </si>
  <si>
    <t>No Offence</t>
  </si>
  <si>
    <t>No Ordinary Family</t>
  </si>
  <si>
    <t>No Place Like Home</t>
  </si>
  <si>
    <t>Noah's Arc</t>
  </si>
  <si>
    <t>Noah's Island</t>
  </si>
  <si>
    <t>Nobody's Looking</t>
  </si>
  <si>
    <t>Noir</t>
  </si>
  <si>
    <t>Non Non Biyori</t>
  </si>
  <si>
    <t>Northern Exposure</t>
  </si>
  <si>
    <t>Notes on a Scene</t>
  </si>
  <si>
    <t>Now and Then, Here and There</t>
  </si>
  <si>
    <t>Nowhere to Hide</t>
  </si>
  <si>
    <t>NTSF:SD:SUV</t>
  </si>
  <si>
    <t>Nu</t>
  </si>
  <si>
    <t>Numb3rs</t>
  </si>
  <si>
    <t>Nurse Angel Ririka SOS</t>
  </si>
  <si>
    <t>Nurse Jackie</t>
  </si>
  <si>
    <t>NYPD Blue</t>
  </si>
  <si>
    <t>Occupation: Adventurer</t>
  </si>
  <si>
    <t>Ocean Ave.</t>
  </si>
  <si>
    <t>October Road</t>
  </si>
  <si>
    <t>Odd Job Jack</t>
  </si>
  <si>
    <t>Odiens</t>
  </si>
  <si>
    <t>Odlazak ratnika, povratak marsala</t>
  </si>
  <si>
    <t>Odyssey 5</t>
  </si>
  <si>
    <t>Ohara</t>
  </si>
  <si>
    <t>Ohnivý kure</t>
  </si>
  <si>
    <t>Oi aparadektoi</t>
  </si>
  <si>
    <t>OK K.O.! Let's Be Heroes</t>
  </si>
  <si>
    <t>Old Paths Baptist Church MN</t>
  </si>
  <si>
    <t>Olhos nos Olhos</t>
  </si>
  <si>
    <t>Oly's Fun</t>
  </si>
  <si>
    <t>Omer et le fils de l'étoile</t>
  </si>
  <si>
    <t>On Becoming a God in Central Florida</t>
  </si>
  <si>
    <t>On Death Row</t>
  </si>
  <si>
    <t>On je zena!</t>
  </si>
  <si>
    <t>On Killing</t>
  </si>
  <si>
    <t>On My Block</t>
  </si>
  <si>
    <t>Once Upon a Time</t>
  </si>
  <si>
    <t>Once Upon a Time in Cabramatta</t>
  </si>
  <si>
    <t>Once Upon a Time in Wonderland</t>
  </si>
  <si>
    <t>One Day at a Time</t>
  </si>
  <si>
    <t>One Foot in the Grave</t>
  </si>
  <si>
    <t>One Strange Rock</t>
  </si>
  <si>
    <t>One Tree Hill</t>
  </si>
  <si>
    <t>One Week Friends</t>
  </si>
  <si>
    <t>Only Fools and Horses....</t>
  </si>
  <si>
    <t>Opal Fever</t>
  </si>
  <si>
    <t>Open Air Outreach</t>
  </si>
  <si>
    <t>Optimus Gang</t>
  </si>
  <si>
    <t>Orange Is the New Black</t>
  </si>
  <si>
    <t>Origin</t>
  </si>
  <si>
    <t>Orphan Black</t>
  </si>
  <si>
    <t>Orson &amp; Olivia</t>
  </si>
  <si>
    <t>Oscar's Orchestra</t>
  </si>
  <si>
    <t>Other art</t>
  </si>
  <si>
    <t>Otkroveniya</t>
  </si>
  <si>
    <t>Our House</t>
  </si>
  <si>
    <t>Ouran High School Host Club</t>
  </si>
  <si>
    <t>Out of This World</t>
  </si>
  <si>
    <t>Outdaughtered</t>
  </si>
  <si>
    <t>Outlander</t>
  </si>
  <si>
    <t>Outlaw Star</t>
  </si>
  <si>
    <t>Outnumbered</t>
  </si>
  <si>
    <t>Outrageous Fortune</t>
  </si>
  <si>
    <t>Oz</t>
  </si>
  <si>
    <t>Ozark</t>
  </si>
  <si>
    <t>Pablo Escobar: El Patrón del Mal</t>
  </si>
  <si>
    <t>Pacific Palisades</t>
  </si>
  <si>
    <t>Packed to the Rafters</t>
  </si>
  <si>
    <t>Pan Am</t>
  </si>
  <si>
    <t>Pandemic</t>
  </si>
  <si>
    <t>Pandora</t>
  </si>
  <si>
    <t>Panty &amp; Stocking with Garterbelt</t>
  </si>
  <si>
    <t>Paradise</t>
  </si>
  <si>
    <t>Paradise Falls</t>
  </si>
  <si>
    <t>Paranormal Witness</t>
  </si>
  <si>
    <t>Parásitos</t>
  </si>
  <si>
    <t>Parks and Recreation</t>
  </si>
  <si>
    <t>Partners</t>
  </si>
  <si>
    <t>Party of Five</t>
  </si>
  <si>
    <t>Passione</t>
  </si>
  <si>
    <t>Past Life</t>
  </si>
  <si>
    <t>Pé Na Porta</t>
  </si>
  <si>
    <t>Peaky Blinders</t>
  </si>
  <si>
    <t>Pee-wee's Playhouse</t>
  </si>
  <si>
    <t>Pelagea ASMR</t>
  </si>
  <si>
    <t>Pelswick</t>
  </si>
  <si>
    <t>PEN15</t>
  </si>
  <si>
    <t>Penn &amp; Teller: Bullshit!</t>
  </si>
  <si>
    <t>Penny Dreadful</t>
  </si>
  <si>
    <t>People Just Do Nothing</t>
  </si>
  <si>
    <t>People Magazine Investigates</t>
  </si>
  <si>
    <t>People of Earth</t>
  </si>
  <si>
    <t>Peppa Pig</t>
  </si>
  <si>
    <t>Pepper Chocolate</t>
  </si>
  <si>
    <t>Perfect World</t>
  </si>
  <si>
    <t>Person of Interest</t>
  </si>
  <si>
    <t>Petscop</t>
  </si>
  <si>
    <t>Phantom: Requiem for the Phantom</t>
  </si>
  <si>
    <t>Phil of the Future</t>
  </si>
  <si>
    <t>Philip Marlowe, Private Eye</t>
  </si>
  <si>
    <t>Phineas and Ferb</t>
  </si>
  <si>
    <t>Pick Me!</t>
  </si>
  <si>
    <t>Picket Fences</t>
  </si>
  <si>
    <t>Pierre and Isa</t>
  </si>
  <si>
    <t>Pinheads</t>
  </si>
  <si>
    <t>Pinky and the Brain</t>
  </si>
  <si>
    <t>Pinulot ka lang sa lupa</t>
  </si>
  <si>
    <t>Pirlimpimpim</t>
  </si>
  <si>
    <t>Planetes</t>
  </si>
  <si>
    <t>Play by Play</t>
  </si>
  <si>
    <t>Playboy Cyber Girls</t>
  </si>
  <si>
    <t>Playing the Field</t>
  </si>
  <si>
    <t>Pleasant Green Baptist Church of Omaha Nebraska</t>
  </si>
  <si>
    <t>Please Like Me</t>
  </si>
  <si>
    <t>Please Save My Earth</t>
  </si>
  <si>
    <t>Please Teacher!</t>
  </si>
  <si>
    <t>Please Twins!</t>
  </si>
  <si>
    <t>Plebania</t>
  </si>
  <si>
    <t>Plebs</t>
  </si>
  <si>
    <t>Plus belle la vie</t>
  </si>
  <si>
    <t>Pochtoviy chetverg</t>
  </si>
  <si>
    <t>Point Blank</t>
  </si>
  <si>
    <t>Point Pleasant</t>
  </si>
  <si>
    <t>Pokémon</t>
  </si>
  <si>
    <t>Poldark</t>
  </si>
  <si>
    <t>Police Academy: The Series</t>
  </si>
  <si>
    <t>Police Rescue</t>
  </si>
  <si>
    <t>Police Squad!</t>
  </si>
  <si>
    <t>Police Videos</t>
  </si>
  <si>
    <t>Popcultured</t>
  </si>
  <si>
    <t>Popples</t>
  </si>
  <si>
    <t>Popular</t>
  </si>
  <si>
    <t>Port Charles</t>
  </si>
  <si>
    <t>Portlandia</t>
  </si>
  <si>
    <t>Pose</t>
  </si>
  <si>
    <t>Poslednji cin</t>
  </si>
  <si>
    <t>Post-Trib Moments</t>
  </si>
  <si>
    <t>Power</t>
  </si>
  <si>
    <t>Power Lunch</t>
  </si>
  <si>
    <t>Power Rangers DinoThunder</t>
  </si>
  <si>
    <t>Power Rangers in Space</t>
  </si>
  <si>
    <t>Power Rangers Jungle Fury</t>
  </si>
  <si>
    <t>Power Rangers Ninja Steel</t>
  </si>
  <si>
    <t>Power Rangers Ninja Storm</t>
  </si>
  <si>
    <t>Power Rangers Samurai</t>
  </si>
  <si>
    <t>Power Rangers Wild Force</t>
  </si>
  <si>
    <t>Power Rangers Zeo</t>
  </si>
  <si>
    <t>Powerless</t>
  </si>
  <si>
    <t>PP Studio's Communal Universes</t>
  </si>
  <si>
    <t>PragueMan</t>
  </si>
  <si>
    <t>Pravidlo sesti</t>
  </si>
  <si>
    <t>Pretend Time</t>
  </si>
  <si>
    <t>Pretty Little Liars</t>
  </si>
  <si>
    <t>Pretty the Series</t>
  </si>
  <si>
    <t>Prettykittymiaos</t>
  </si>
  <si>
    <t>Prey</t>
  </si>
  <si>
    <t>Prickly Heat</t>
  </si>
  <si>
    <t>Primetime Glick</t>
  </si>
  <si>
    <t>Princess Tutu</t>
  </si>
  <si>
    <t>Prison Break</t>
  </si>
  <si>
    <t>Private Practice</t>
  </si>
  <si>
    <t>Private Schulz</t>
  </si>
  <si>
    <t>Prodigal Son</t>
  </si>
  <si>
    <t>Profiler</t>
  </si>
  <si>
    <t>Project Runway</t>
  </si>
  <si>
    <t>Project Runway Canada</t>
  </si>
  <si>
    <t>Proven Innocent</t>
  </si>
  <si>
    <t>Providence</t>
  </si>
  <si>
    <t>Psych</t>
  </si>
  <si>
    <t>Psychic Detective Yakumo</t>
  </si>
  <si>
    <t>Psychic Kids: Children of the Paranormal</t>
  </si>
  <si>
    <t>Psycho-Pass</t>
  </si>
  <si>
    <t>Psychopat Bejr</t>
  </si>
  <si>
    <t>Pugwall</t>
  </si>
  <si>
    <t>Pulp Horror</t>
  </si>
  <si>
    <t>Punched Up</t>
  </si>
  <si>
    <t>Punky Brewster</t>
  </si>
  <si>
    <t>Pupa</t>
  </si>
  <si>
    <t>Pushing Daisies</t>
  </si>
  <si>
    <t>Put on Francella</t>
  </si>
  <si>
    <t>Qeios</t>
  </si>
  <si>
    <t>QSN with Helene Ellford</t>
  </si>
  <si>
    <t>Quack Pack</t>
  </si>
  <si>
    <t>Quantico</t>
  </si>
  <si>
    <t>Quantum Leap</t>
  </si>
  <si>
    <t>Quarry</t>
  </si>
  <si>
    <t>Queen of Swords</t>
  </si>
  <si>
    <t>Queen of the South</t>
  </si>
  <si>
    <t>Queen Sugar</t>
  </si>
  <si>
    <t>Queen's Blade: Wandering Warrior</t>
  </si>
  <si>
    <t>Queen's English</t>
  </si>
  <si>
    <t>Queer as Folk</t>
  </si>
  <si>
    <t>Queer Eye</t>
  </si>
  <si>
    <t>Quicksand</t>
  </si>
  <si>
    <t>Rab C. Nesbitt</t>
  </si>
  <si>
    <t>Race: The Power of an Illusion</t>
  </si>
  <si>
    <t>Racing Wives</t>
  </si>
  <si>
    <t>Raging Planet</t>
  </si>
  <si>
    <t>Rainbow Brite</t>
  </si>
  <si>
    <t>Rake</t>
  </si>
  <si>
    <t>Rambo</t>
  </si>
  <si>
    <t>Random Acts of Flyness</t>
  </si>
  <si>
    <t>Randy ASMR</t>
  </si>
  <si>
    <t>Ranjenik</t>
  </si>
  <si>
    <t>Ranma 1⁄2</t>
  </si>
  <si>
    <t>Ranma 1⁄2: Nettô-hen</t>
  </si>
  <si>
    <t>Ransom</t>
  </si>
  <si>
    <t>Rapunzel ASMR</t>
  </si>
  <si>
    <t>Raven's Home</t>
  </si>
  <si>
    <t>Ravenwolf Towers</t>
  </si>
  <si>
    <t>Ray Donovan</t>
  </si>
  <si>
    <t>Rayes Korso</t>
  </si>
  <si>
    <t>Re\Visioned: Tomb Raider Animated Series</t>
  </si>
  <si>
    <t>Ready for Love</t>
  </si>
  <si>
    <t>Real Detective</t>
  </si>
  <si>
    <t>Real Love</t>
  </si>
  <si>
    <t>Real Sex</t>
  </si>
  <si>
    <t>Really Random Rants</t>
  </si>
  <si>
    <t>Reaper</t>
  </si>
  <si>
    <t>Reba</t>
  </si>
  <si>
    <t>Rebelde</t>
  </si>
  <si>
    <t>ReBoot</t>
  </si>
  <si>
    <t>Recess</t>
  </si>
  <si>
    <t>Reckless</t>
  </si>
  <si>
    <t>Rectify</t>
  </si>
  <si>
    <t>Red Dwarf</t>
  </si>
  <si>
    <t>Rederiet</t>
  </si>
  <si>
    <t>Redwall</t>
  </si>
  <si>
    <t>Reef Break</t>
  </si>
  <si>
    <t>Regal Academy</t>
  </si>
  <si>
    <t>ReGenesis</t>
  </si>
  <si>
    <t>Regular Show</t>
  </si>
  <si>
    <t>Reign</t>
  </si>
  <si>
    <t>Reign: The Conqueror</t>
  </si>
  <si>
    <t>Rel</t>
  </si>
  <si>
    <t>Related</t>
  </si>
  <si>
    <t>Remember: War of the Son</t>
  </si>
  <si>
    <t>Remodeled</t>
  </si>
  <si>
    <t>Remontti</t>
  </si>
  <si>
    <t>Ren &amp; Stimpy 'Adult Party Cartoon'</t>
  </si>
  <si>
    <t>Renegade</t>
  </si>
  <si>
    <t>Renford Rejects</t>
  </si>
  <si>
    <t>Reno 911!</t>
  </si>
  <si>
    <t>Rent-a-Goalie</t>
  </si>
  <si>
    <t>Reputasyon</t>
  </si>
  <si>
    <t>Rescue 911</t>
  </si>
  <si>
    <t>Rescue Me</t>
  </si>
  <si>
    <t>Restoration Australia</t>
  </si>
  <si>
    <t>Retrato de familia</t>
  </si>
  <si>
    <t>Revelation Decoded</t>
  </si>
  <si>
    <t>Revenge</t>
  </si>
  <si>
    <t>Revenge Body with Khloé Kardashian</t>
  </si>
  <si>
    <t>Revenge of the Sock</t>
  </si>
  <si>
    <t>Reverie</t>
  </si>
  <si>
    <t>Revolution</t>
  </si>
  <si>
    <t>Revolutionary Girl Utena</t>
  </si>
  <si>
    <t>Richie Rich</t>
  </si>
  <si>
    <t>Rick and Morty</t>
  </si>
  <si>
    <t>Ridiculousness</t>
  </si>
  <si>
    <t>Ringer</t>
  </si>
  <si>
    <t>Rising Star</t>
  </si>
  <si>
    <t>Rita Rocks</t>
  </si>
  <si>
    <t>River Monsters</t>
  </si>
  <si>
    <t>Riverdale</t>
  </si>
  <si>
    <t>Riviera</t>
  </si>
  <si>
    <t>Rizzoli &amp; Isles</t>
  </si>
  <si>
    <t>Robin Hood: Mischief in Sherwood</t>
  </si>
  <si>
    <t>Robo Story</t>
  </si>
  <si>
    <t>RoboCop: Prime Directives</t>
  </si>
  <si>
    <t>Robokop</t>
  </si>
  <si>
    <t>Robot Chicken</t>
  </si>
  <si>
    <t>Rock Suomi</t>
  </si>
  <si>
    <t>Rock the Cradle</t>
  </si>
  <si>
    <t>Rock the Park</t>
  </si>
  <si>
    <t>Rocket Power</t>
  </si>
  <si>
    <t>Rocko's Modern Life</t>
  </si>
  <si>
    <t>Rolling Love</t>
  </si>
  <si>
    <t>Roman Empire</t>
  </si>
  <si>
    <t>Rome</t>
  </si>
  <si>
    <t>Ronin Warriors</t>
  </si>
  <si>
    <t>Ronny Chieng: International Student</t>
  </si>
  <si>
    <t>Rookie Agent Rouge</t>
  </si>
  <si>
    <t>Room 104</t>
  </si>
  <si>
    <t>Rosa salvaje</t>
  </si>
  <si>
    <t>Rosario + Vampire</t>
  </si>
  <si>
    <t>Roseanne</t>
  </si>
  <si>
    <t>Roswell</t>
  </si>
  <si>
    <t>Roswell, New Mexico</t>
  </si>
  <si>
    <t>Rotten</t>
  </si>
  <si>
    <t>Rotterdammers van Formaat</t>
  </si>
  <si>
    <t>Royal Canadian Air Farce</t>
  </si>
  <si>
    <t>Royal Pains</t>
  </si>
  <si>
    <t>Rubicon</t>
  </si>
  <si>
    <t>Rude Awakening</t>
  </si>
  <si>
    <t>Rugrats</t>
  </si>
  <si>
    <t>Rules of Engagement</t>
  </si>
  <si>
    <t>Rumbling Hearts</t>
  </si>
  <si>
    <t>Running the Shop</t>
  </si>
  <si>
    <t>Running Wild with Bear Grylls</t>
  </si>
  <si>
    <t>RuPaul's Drag Race</t>
  </si>
  <si>
    <t>Rurouni Kenshin: Wandering Samurai</t>
  </si>
  <si>
    <t>Russell Coight's All Aussie Adventures</t>
  </si>
  <si>
    <t>Russian Doll</t>
  </si>
  <si>
    <t>Ryan Hansen Solves Crimes on Television</t>
  </si>
  <si>
    <t>S-style Show II</t>
  </si>
  <si>
    <t>S.T.R.O.N.G.</t>
  </si>
  <si>
    <t>S.W.A.T.</t>
  </si>
  <si>
    <t>Saber Rider and the Star Sheriffs</t>
  </si>
  <si>
    <t>Sabrina, the Animated Series</t>
  </si>
  <si>
    <t>Sabrina, the Teenage Witch</t>
  </si>
  <si>
    <t>Sacred Games</t>
  </si>
  <si>
    <t>Safe House</t>
  </si>
  <si>
    <t>Safety Geeks: SVI</t>
  </si>
  <si>
    <t>Sailor Moon</t>
  </si>
  <si>
    <t>Saint Seiya</t>
  </si>
  <si>
    <t>Salvage Hunters</t>
  </si>
  <si>
    <t>Salvation</t>
  </si>
  <si>
    <t>Sam &amp; Cat</t>
  </si>
  <si>
    <t>Samantha Who?</t>
  </si>
  <si>
    <t>Samson en Gert</t>
  </si>
  <si>
    <t>Samurai Champloo</t>
  </si>
  <si>
    <t>Samurai Jack</t>
  </si>
  <si>
    <t>Sanctuary</t>
  </si>
  <si>
    <t>Santa Clarita Diet</t>
  </si>
  <si>
    <t>Santo Bugito</t>
  </si>
  <si>
    <t>Sarabhai vs Sarabhai</t>
  </si>
  <si>
    <t>Savage</t>
  </si>
  <si>
    <t>Save Me</t>
  </si>
  <si>
    <t>Saved by the Bell</t>
  </si>
  <si>
    <t>Saved by the Bell: The College Years</t>
  </si>
  <si>
    <t>Saved by the Bell: The New Class</t>
  </si>
  <si>
    <t>Saving Hope</t>
  </si>
  <si>
    <t>Say What</t>
  </si>
  <si>
    <t>Say Yes to the Dress</t>
  </si>
  <si>
    <t>Scam City</t>
  </si>
  <si>
    <t>Scandal</t>
  </si>
  <si>
    <t>Scariest Places on Earth</t>
  </si>
  <si>
    <t>Scarlet Heart</t>
  </si>
  <si>
    <t>Scarred</t>
  </si>
  <si>
    <t>Scene of the Crime with Tony Harris</t>
  </si>
  <si>
    <t>Schitt's Creek</t>
  </si>
  <si>
    <t>Scholar Who Walks the Night</t>
  </si>
  <si>
    <t>School Days</t>
  </si>
  <si>
    <t>School-Live!</t>
  </si>
  <si>
    <t>Scooby-Doo! Mystery Incorporated</t>
  </si>
  <si>
    <t>Scottish Murmurs ASMR</t>
  </si>
  <si>
    <t>Scream Queens</t>
  </si>
  <si>
    <t>Scream: The TV Series</t>
  </si>
  <si>
    <t>Screenwipe</t>
  </si>
  <si>
    <t>Scrubs</t>
  </si>
  <si>
    <t>SCTV Channel</t>
  </si>
  <si>
    <t>SCTV Network</t>
  </si>
  <si>
    <t>SEAL Team</t>
  </si>
  <si>
    <t>Sealab 2021</t>
  </si>
  <si>
    <t>SeaQuest 2032</t>
  </si>
  <si>
    <t>Search Party</t>
  </si>
  <si>
    <t>Seattle Creation Conference</t>
  </si>
  <si>
    <t>Second City's Next Comedy Legend</t>
  </si>
  <si>
    <t>Secret Garden</t>
  </si>
  <si>
    <t>Secret History</t>
  </si>
  <si>
    <t>Secretos en el Jardín</t>
  </si>
  <si>
    <t>Secrets &amp; Lies</t>
  </si>
  <si>
    <t>Secrets and Lies</t>
  </si>
  <si>
    <t>Secrets of the Dead</t>
  </si>
  <si>
    <t>See</t>
  </si>
  <si>
    <t>Seed</t>
  </si>
  <si>
    <t>Seeyou at night</t>
  </si>
  <si>
    <t>Seinfeld</t>
  </si>
  <si>
    <t>Seitokai yakuindomo</t>
  </si>
  <si>
    <t>Selling Sunset</t>
  </si>
  <si>
    <t>Sense8</t>
  </si>
  <si>
    <t>Sentenced to Suburbia</t>
  </si>
  <si>
    <t>Servant</t>
  </si>
  <si>
    <t>Sex and the City</t>
  </si>
  <si>
    <t>Sex Education</t>
  </si>
  <si>
    <t>Sex, Lies &amp; Murder</t>
  </si>
  <si>
    <t>Sex/Life</t>
  </si>
  <si>
    <t>SexTV</t>
  </si>
  <si>
    <t>Shadow Star Narutaru</t>
  </si>
  <si>
    <t>Shadowhunters</t>
  </si>
  <si>
    <t>Shahs of Sunset</t>
  </si>
  <si>
    <t>Shake It Up</t>
  </si>
  <si>
    <t>Shakespeare &amp; Hathaway: Private Investigators</t>
  </si>
  <si>
    <t>Shameless</t>
  </si>
  <si>
    <t>Shane Dawson TV</t>
  </si>
  <si>
    <t>Shark</t>
  </si>
  <si>
    <t>Shark Tank</t>
  </si>
  <si>
    <t>Shattered City: The Halifax Explosion</t>
  </si>
  <si>
    <t>She-Ra and the Princesses of Power</t>
  </si>
  <si>
    <t>She-Ra: Princess of Power</t>
  </si>
  <si>
    <t>She-Wolf of London</t>
  </si>
  <si>
    <t>She, the Ultimate Weapon</t>
  </si>
  <si>
    <t>Shed Seven: Live at Leeds Academy</t>
  </si>
  <si>
    <t>Shed Seven: Live at O2 Academy Liverpool</t>
  </si>
  <si>
    <t>Shed Seven: Live at York Fibbers</t>
  </si>
  <si>
    <t>Sheriff Callie's Wild West</t>
  </si>
  <si>
    <t>Sherlock</t>
  </si>
  <si>
    <t>Sherman Oaks</t>
  </si>
  <si>
    <t>Shetland</t>
  </si>
  <si>
    <t>Shigurui: Death Frenzy</t>
  </si>
  <si>
    <t>Shiki</t>
  </si>
  <si>
    <t>Shoebox Zoo</t>
  </si>
  <si>
    <t>Shopaholic Nicol</t>
  </si>
  <si>
    <t>Shot in the Dark</t>
  </si>
  <si>
    <t>Shots Fired</t>
  </si>
  <si>
    <t>Showtime at the Apollo</t>
  </si>
  <si>
    <t>Shut Eye</t>
  </si>
  <si>
    <t>Shut Up Flower Boy Band</t>
  </si>
  <si>
    <t>Sidekick</t>
  </si>
  <si>
    <t>Sideswiped</t>
  </si>
  <si>
    <t>Siesta Key</t>
  </si>
  <si>
    <t>Silent Möbius</t>
  </si>
  <si>
    <t>Silver Fang</t>
  </si>
  <si>
    <t>Simi a Jirka</t>
  </si>
  <si>
    <t>Simoun</t>
  </si>
  <si>
    <t>Simply Nigella</t>
  </si>
  <si>
    <t>Sing Your Face Off</t>
  </si>
  <si>
    <t>Single in the Hamptons</t>
  </si>
  <si>
    <t>Single Parents</t>
  </si>
  <si>
    <t>Siren</t>
  </si>
  <si>
    <t>Sirens</t>
  </si>
  <si>
    <t>Sister Wives</t>
  </si>
  <si>
    <t>Sister, Sister</t>
  </si>
  <si>
    <t>Sisterhood of Hip Hop</t>
  </si>
  <si>
    <t>Six</t>
  </si>
  <si>
    <t>Six Feet Under</t>
  </si>
  <si>
    <t>Six Flying Dragons</t>
  </si>
  <si>
    <t>Sjätte dagen</t>
  </si>
  <si>
    <t>Skam</t>
  </si>
  <si>
    <t>Skeleton Warriors</t>
  </si>
  <si>
    <t>SketchersonsTV</t>
  </si>
  <si>
    <t>Skint</t>
  </si>
  <si>
    <t>Sky Dancers</t>
  </si>
  <si>
    <t>Slacker Cats</t>
  </si>
  <si>
    <t>Sleeper Cell</t>
  </si>
  <si>
    <t>Sleepwalkers</t>
  </si>
  <si>
    <t>Sleepy Hollow</t>
  </si>
  <si>
    <t>Slings and Arrows</t>
  </si>
  <si>
    <t>Sloggers</t>
  </si>
  <si>
    <t>Slozna braca</t>
  </si>
  <si>
    <t>Small Town Security</t>
  </si>
  <si>
    <t>Smallville</t>
  </si>
  <si>
    <t>Sneaky Pete</t>
  </si>
  <si>
    <t>Snobs</t>
  </si>
  <si>
    <t>Snowfall</t>
  </si>
  <si>
    <t>Snupsters Sidetracked</t>
  </si>
  <si>
    <t>So You Think You Can Dance</t>
  </si>
  <si>
    <t>So You Think You Can Dance Canada</t>
  </si>
  <si>
    <t>Sofia the First</t>
  </si>
  <si>
    <t>Soft Anna PL</t>
  </si>
  <si>
    <t>Some Girls</t>
  </si>
  <si>
    <t>Somebody Feed Phil</t>
  </si>
  <si>
    <t>Somewhere Between</t>
  </si>
  <si>
    <t>Son of the Beach</t>
  </si>
  <si>
    <t>Son'ka</t>
  </si>
  <si>
    <t>Song of Wend</t>
  </si>
  <si>
    <t>Songland</t>
  </si>
  <si>
    <t>Sonic Boom</t>
  </si>
  <si>
    <t>Sonic the Hedgehog</t>
  </si>
  <si>
    <t>Sonic Underground</t>
  </si>
  <si>
    <t>Sonic X</t>
  </si>
  <si>
    <t>Sonny Soufflé chok show</t>
  </si>
  <si>
    <t>Sons of Anarchy</t>
  </si>
  <si>
    <t>Sons of Thunder</t>
  </si>
  <si>
    <t>SophieMichelle ASMR</t>
  </si>
  <si>
    <t>Sordid Lives: The Series</t>
  </si>
  <si>
    <t>Sorority Girls</t>
  </si>
  <si>
    <t>Sorry for Your Loss</t>
  </si>
  <si>
    <t>Soul Mate</t>
  </si>
  <si>
    <t>Soulmate</t>
  </si>
  <si>
    <t>Sound! Euphonium</t>
  </si>
  <si>
    <t>South of Nowhere</t>
  </si>
  <si>
    <t>South Park</t>
  </si>
  <si>
    <t>Southern Charm</t>
  </si>
  <si>
    <t>Southland</t>
  </si>
  <si>
    <t>Southwest: The Series</t>
  </si>
  <si>
    <t>Space Cobra</t>
  </si>
  <si>
    <t>Space Ghost Coast to Coast</t>
  </si>
  <si>
    <t>Space: Above and Beyond</t>
  </si>
  <si>
    <t>Spaced</t>
  </si>
  <si>
    <t>Spanac</t>
  </si>
  <si>
    <t>Spartacus</t>
  </si>
  <si>
    <t>Special Collector's Edition</t>
  </si>
  <si>
    <t>Special Unit 2</t>
  </si>
  <si>
    <t>Speechless</t>
  </si>
  <si>
    <t>SphinxGeheimnisse der Geschichte</t>
  </si>
  <si>
    <t>Spice and Wolf</t>
  </si>
  <si>
    <t>Spicy City</t>
  </si>
  <si>
    <t>Spider-Man</t>
  </si>
  <si>
    <t>Spider-Man and His Amazing Friends</t>
  </si>
  <si>
    <t>Spider-Man Unlimited</t>
  </si>
  <si>
    <t>Spider-Man: The Animated Series</t>
  </si>
  <si>
    <t>Spirit Riding Free</t>
  </si>
  <si>
    <t>Spirited</t>
  </si>
  <si>
    <t>Splash</t>
  </si>
  <si>
    <t>Splitting Up Together</t>
  </si>
  <si>
    <t>SpongeBob SquarePants</t>
  </si>
  <si>
    <t>Spooks</t>
  </si>
  <si>
    <t>Spotless</t>
  </si>
  <si>
    <t>Squinters</t>
  </si>
  <si>
    <t>Squirrel Boy</t>
  </si>
  <si>
    <t>Stan Against Evil</t>
  </si>
  <si>
    <t>Stan Lee's Lucky Man</t>
  </si>
  <si>
    <t>Stan Lee's Superhumans</t>
  </si>
  <si>
    <t>Standoff</t>
  </si>
  <si>
    <t>Star</t>
  </si>
  <si>
    <t>Star Trek: Deep Space Nine</t>
  </si>
  <si>
    <t>Star Trek: Enterprise</t>
  </si>
  <si>
    <t>Star Trek: The Next Generation</t>
  </si>
  <si>
    <t>Star Trek: Voyager</t>
  </si>
  <si>
    <t>Star vs. the Forces of Evil</t>
  </si>
  <si>
    <t>Star Wars Rebels</t>
  </si>
  <si>
    <t>Star Wars: Clone Wars</t>
  </si>
  <si>
    <t>Star Wars: Droids</t>
  </si>
  <si>
    <t>Star Wars: The Clone Wars</t>
  </si>
  <si>
    <t>Stargate Origins</t>
  </si>
  <si>
    <t>Stargate SG-1</t>
  </si>
  <si>
    <t>Stargate Universe</t>
  </si>
  <si>
    <t>Stargate: Atlantis</t>
  </si>
  <si>
    <t>Starhunter</t>
  </si>
  <si>
    <t>Starla and the Jewel Riders</t>
  </si>
  <si>
    <t>Starri ASMR</t>
  </si>
  <si>
    <t>Stars Earn Stripes</t>
  </si>
  <si>
    <t>StartUp</t>
  </si>
  <si>
    <t>State of the Union</t>
  </si>
  <si>
    <t>Static Shock</t>
  </si>
  <si>
    <t>STC: The Falkenhorst Chronicles</t>
  </si>
  <si>
    <t>Stedfast Baptist Church</t>
  </si>
  <si>
    <t>Steins;Gate</t>
  </si>
  <si>
    <t>Stejk</t>
  </si>
  <si>
    <t>Stella</t>
  </si>
  <si>
    <t>Stella and Sam</t>
  </si>
  <si>
    <t>Stella Blómkvist</t>
  </si>
  <si>
    <t>Stellar Firma</t>
  </si>
  <si>
    <t>Stellenbosch</t>
  </si>
  <si>
    <t>Step by Step</t>
  </si>
  <si>
    <t>Steve Harvey's Funderdome</t>
  </si>
  <si>
    <t>Steven Seagal: Lawman</t>
  </si>
  <si>
    <t>Steven Universe</t>
  </si>
  <si>
    <t>Stevie and Zoya</t>
  </si>
  <si>
    <t>Still Open All Hours</t>
  </si>
  <si>
    <t>Still Standing</t>
  </si>
  <si>
    <t>Stokes Twins</t>
  </si>
  <si>
    <t>Storage Hunters</t>
  </si>
  <si>
    <t>Storage Hunters UK</t>
  </si>
  <si>
    <t>Storage Wars</t>
  </si>
  <si>
    <t>Storm Chasers</t>
  </si>
  <si>
    <t>Strange Angel</t>
  </si>
  <si>
    <t>Strange Love</t>
  </si>
  <si>
    <t>Strange World</t>
  </si>
  <si>
    <t>Stranger Things</t>
  </si>
  <si>
    <t>Strangers</t>
  </si>
  <si>
    <t>Strangers with Candy</t>
  </si>
  <si>
    <t>Strawberry Night Saga</t>
  </si>
  <si>
    <t>Street Hawk</t>
  </si>
  <si>
    <t>Stretch Armstrong &amp; the Flex Fighters</t>
  </si>
  <si>
    <t>Strictly Confidential</t>
  </si>
  <si>
    <t>Strike Back</t>
  </si>
  <si>
    <t>Stripperella</t>
  </si>
  <si>
    <t>Stroker and Hoop</t>
  </si>
  <si>
    <t>Student Abroad</t>
  </si>
  <si>
    <t>Stupidface</t>
  </si>
  <si>
    <t>Submission</t>
  </si>
  <si>
    <t>Succession</t>
  </si>
  <si>
    <t>Sugar Rush</t>
  </si>
  <si>
    <t>Suits</t>
  </si>
  <si>
    <t>Summer Camp Island</t>
  </si>
  <si>
    <t>Summer House</t>
  </si>
  <si>
    <t>Sungkyunkwan Scandal</t>
  </si>
  <si>
    <t>Sunset Beach</t>
  </si>
  <si>
    <t>Super Dave</t>
  </si>
  <si>
    <t>Super Dimensional Fortress Macross</t>
  </si>
  <si>
    <t>Super Girl</t>
  </si>
  <si>
    <t>Super Mario World</t>
  </si>
  <si>
    <t>Supergirl</t>
  </si>
  <si>
    <t>Superjail!</t>
  </si>
  <si>
    <t>Superman: Red Son</t>
  </si>
  <si>
    <t>Superman: The Animated Series</t>
  </si>
  <si>
    <t>Supermarket Sweep</t>
  </si>
  <si>
    <t>Supermax</t>
  </si>
  <si>
    <t>Supernanny</t>
  </si>
  <si>
    <t>Supernatural</t>
  </si>
  <si>
    <t>Superstore</t>
  </si>
  <si>
    <t>SuperTed</t>
  </si>
  <si>
    <t>Supreme Court Oral Arguments</t>
  </si>
  <si>
    <t>Survival of the Fittest</t>
  </si>
  <si>
    <t>Survivor</t>
  </si>
  <si>
    <t>Survivor's Remorse</t>
  </si>
  <si>
    <t>Survivorman</t>
  </si>
  <si>
    <t>Sushant Pradhan</t>
  </si>
  <si>
    <t>Svédská trojka</t>
  </si>
  <si>
    <t>Svengoolie</t>
  </si>
  <si>
    <t>Svet pod Hlavou</t>
  </si>
  <si>
    <t>Svet podle Katky</t>
  </si>
  <si>
    <t>Swamp Murders</t>
  </si>
  <si>
    <t>Swamp People</t>
  </si>
  <si>
    <t>Swedish Dicks</t>
  </si>
  <si>
    <t>Sweet Blue Flowers</t>
  </si>
  <si>
    <t>Sweetbitter</t>
  </si>
  <si>
    <t>Sweethearts</t>
  </si>
  <si>
    <t>Sweetiemarket</t>
  </si>
  <si>
    <t>Swingtown</t>
  </si>
  <si>
    <t>Switched at Birth</t>
  </si>
  <si>
    <t>Sword Art Online</t>
  </si>
  <si>
    <t>Sym-Bionic Titan</t>
  </si>
  <si>
    <t>T.U.F.F. Puppy</t>
  </si>
  <si>
    <t>Taboo</t>
  </si>
  <si>
    <t>Taken</t>
  </si>
  <si>
    <t>Takkay Ki Ayegi Baraat</t>
  </si>
  <si>
    <t>Tales by Light</t>
  </si>
  <si>
    <t>Tales from the Crypt</t>
  </si>
  <si>
    <t>Tales from the Cryptkeeper</t>
  </si>
  <si>
    <t>Tales from the Neverending Story</t>
  </si>
  <si>
    <t>Tales of the Gold Monkey</t>
  </si>
  <si>
    <t>TaleSpin</t>
  </si>
  <si>
    <t>Talk to Me</t>
  </si>
  <si>
    <t>Talking Tom and Friends</t>
  </si>
  <si>
    <t>Tarzan: The Epic Adventures</t>
  </si>
  <si>
    <t>Taylor ASMR</t>
  </si>
  <si>
    <t>Teachers</t>
  </si>
  <si>
    <t>Team Umizoomi</t>
  </si>
  <si>
    <t>Technic Players</t>
  </si>
  <si>
    <t>Teen Mom</t>
  </si>
  <si>
    <t>Teen Mom 2</t>
  </si>
  <si>
    <t>Teen Titans</t>
  </si>
  <si>
    <t>Teen Titans Go!</t>
  </si>
  <si>
    <t>Teen Wolf</t>
  </si>
  <si>
    <t>Teenage Mutant Ninja Turtles</t>
  </si>
  <si>
    <t>Tell Me a Story</t>
  </si>
  <si>
    <t>Tell Me You Love Me</t>
  </si>
  <si>
    <t>Temný kraj</t>
  </si>
  <si>
    <t>Temptation Island</t>
  </si>
  <si>
    <t>Tenchi Muyô!</t>
  </si>
  <si>
    <t>Tengen toppa gurren lagann</t>
  </si>
  <si>
    <t>Tenko</t>
  </si>
  <si>
    <t>Tequila and Bonetti</t>
  </si>
  <si>
    <t>Teri</t>
  </si>
  <si>
    <t>Teri Blitzen</t>
  </si>
  <si>
    <t>Terminator Salvation: The Machinima Series</t>
  </si>
  <si>
    <t>Terminator: The Sarah Connor Chronicles</t>
  </si>
  <si>
    <t>Terra Nova</t>
  </si>
  <si>
    <t>Terriers</t>
  </si>
  <si>
    <t>Terry Crews Saves Christmas</t>
  </si>
  <si>
    <t>Texhnolyze</t>
  </si>
  <si>
    <t>That '70s Show</t>
  </si>
  <si>
    <t>That's My Bush!</t>
  </si>
  <si>
    <t>That's So Raven</t>
  </si>
  <si>
    <t>That's Warner Bros.!</t>
  </si>
  <si>
    <t>The $100,000 Pyramid</t>
  </si>
  <si>
    <t>The 1980s: The Deadliest Decade</t>
  </si>
  <si>
    <t>The 1st Shop of Coffee Prince</t>
  </si>
  <si>
    <t>The 4 Musketeers</t>
  </si>
  <si>
    <t>The 4400</t>
  </si>
  <si>
    <t>The 5th Quadrant</t>
  </si>
  <si>
    <t>The 7D</t>
  </si>
  <si>
    <t>The A Word</t>
  </si>
  <si>
    <t>The A-List: Dallas</t>
  </si>
  <si>
    <t>The A-List: New York</t>
  </si>
  <si>
    <t>The A-Team</t>
  </si>
  <si>
    <t>The Act</t>
  </si>
  <si>
    <t>The Adventures of Brisco County, Jr.</t>
  </si>
  <si>
    <t>The Adventures of Jimmy Neutron: Boy Genius</t>
  </si>
  <si>
    <t>The Adventures of Pete &amp; Pete</t>
  </si>
  <si>
    <t>The Adventures of Sinbad</t>
  </si>
  <si>
    <t>The Adventures of Super Mario Bros. 3</t>
  </si>
  <si>
    <t>The Adventures of Swiss Family Robinson</t>
  </si>
  <si>
    <t>The Adventures of Young Hillary</t>
  </si>
  <si>
    <t>The Advocates</t>
  </si>
  <si>
    <t>The Affair</t>
  </si>
  <si>
    <t>The Alienist</t>
  </si>
  <si>
    <t>The Allen and Craig Show</t>
  </si>
  <si>
    <t>The Amazing Race</t>
  </si>
  <si>
    <t>The Amazing World of Gumball</t>
  </si>
  <si>
    <t>The American Baking Competition</t>
  </si>
  <si>
    <t>The Americans</t>
  </si>
  <si>
    <t>The Angered Beast Reviewer</t>
  </si>
  <si>
    <t>The Angry Video Game Nerd</t>
  </si>
  <si>
    <t>The Animals of Farthing Wood</t>
  </si>
  <si>
    <t>The Anna Nicole Show</t>
  </si>
  <si>
    <t>The Apprentice</t>
  </si>
  <si>
    <t>The Arrangement</t>
  </si>
  <si>
    <t>The Atheism Tapes</t>
  </si>
  <si>
    <t>The Avengers: Earth's Mightiest Heroes</t>
  </si>
  <si>
    <t>The Awesomes</t>
  </si>
  <si>
    <t>The Bachelor</t>
  </si>
  <si>
    <t>The Bachelorette</t>
  </si>
  <si>
    <t>The Batman</t>
  </si>
  <si>
    <t>The Ben Stiller Show</t>
  </si>
  <si>
    <t>The Bernie Mac Show</t>
  </si>
  <si>
    <t>The Bible</t>
  </si>
  <si>
    <t>The Big Bang Theory</t>
  </si>
  <si>
    <t>The Big O</t>
  </si>
  <si>
    <t>The Biggest Loser</t>
  </si>
  <si>
    <t>The Bill</t>
  </si>
  <si>
    <t>The Bionic Vet</t>
  </si>
  <si>
    <t>The Birthday Boys</t>
  </si>
  <si>
    <t>The Bisexual</t>
  </si>
  <si>
    <t>The Biskitts</t>
  </si>
  <si>
    <t>The Black Adder</t>
  </si>
  <si>
    <t>The Black Donnellys</t>
  </si>
  <si>
    <t>The Black Forest Clinic</t>
  </si>
  <si>
    <t>The Blacklist</t>
  </si>
  <si>
    <t>The Blacklist: Redemption</t>
  </si>
  <si>
    <t>The Bletchley Circle</t>
  </si>
  <si>
    <t>The Bletchley Circle: San Francisco</t>
  </si>
  <si>
    <t>The Blubburbs</t>
  </si>
  <si>
    <t>The Boat</t>
  </si>
  <si>
    <t>The Bobby Brown Story</t>
  </si>
  <si>
    <t>The Bobroom</t>
  </si>
  <si>
    <t>The Bold and the Beautiful</t>
  </si>
  <si>
    <t>The Bold Type</t>
  </si>
  <si>
    <t>The Book of Revelation</t>
  </si>
  <si>
    <t>The Book of the Three Hans</t>
  </si>
  <si>
    <t>The Boondocks</t>
  </si>
  <si>
    <t>The Border</t>
  </si>
  <si>
    <t>The Borgias</t>
  </si>
  <si>
    <t>The Boys</t>
  </si>
  <si>
    <t>The Brak Show</t>
  </si>
  <si>
    <t>The Bridge</t>
  </si>
  <si>
    <t>The Briefcase</t>
  </si>
  <si>
    <t>The Brokenwood Mysteries</t>
  </si>
  <si>
    <t>The Bronx Zoo</t>
  </si>
  <si>
    <t>The Business</t>
  </si>
  <si>
    <t>The Call Girl</t>
  </si>
  <si>
    <t>The Campbells</t>
  </si>
  <si>
    <t>The Carrie Diaries</t>
  </si>
  <si>
    <t>The Catalina</t>
  </si>
  <si>
    <t>The Catch</t>
  </si>
  <si>
    <t>The Catlins</t>
  </si>
  <si>
    <t>The Chalet</t>
  </si>
  <si>
    <t>The Challenge</t>
  </si>
  <si>
    <t>The Chef Show</t>
  </si>
  <si>
    <t>The Chi</t>
  </si>
  <si>
    <t>The Choice</t>
  </si>
  <si>
    <t>The Cinema Snob</t>
  </si>
  <si>
    <t>The Class</t>
  </si>
  <si>
    <t>The Clone</t>
  </si>
  <si>
    <t>The Closer</t>
  </si>
  <si>
    <t>The Code</t>
  </si>
  <si>
    <t>The Colbys</t>
  </si>
  <si>
    <t>The Collection</t>
  </si>
  <si>
    <t>The Comeback</t>
  </si>
  <si>
    <t>The Comix Scrutinizer</t>
  </si>
  <si>
    <t>The Confession Tapes</t>
  </si>
  <si>
    <t>The Conners</t>
  </si>
  <si>
    <t>The Cool Kids</t>
  </si>
  <si>
    <t>The Cosby Show</t>
  </si>
  <si>
    <t>The Country Diary of an Edwardian Lady</t>
  </si>
  <si>
    <t>The Crimson Field</t>
  </si>
  <si>
    <t>The Critic</t>
  </si>
  <si>
    <t>The Crossing</t>
  </si>
  <si>
    <t>The Crow: Stairway to Heaven</t>
  </si>
  <si>
    <t>The Crown of the Kings</t>
  </si>
  <si>
    <t>The Crystal Maze</t>
  </si>
  <si>
    <t>The Curse of Oak Island</t>
  </si>
  <si>
    <t>The Dark Crystal: Age of Resistance</t>
  </si>
  <si>
    <t>The Day My Butt Went Psycho!</t>
  </si>
  <si>
    <t>The Days</t>
  </si>
  <si>
    <t>The Deuce</t>
  </si>
  <si>
    <t>The Disappearance of Madeleine McCann</t>
  </si>
  <si>
    <t>The Disguiser</t>
  </si>
  <si>
    <t>The Dream Team</t>
  </si>
  <si>
    <t>The Dreamstone</t>
  </si>
  <si>
    <t>The Drew Carey Show</t>
  </si>
  <si>
    <t>The Electric Company</t>
  </si>
  <si>
    <t>The Emperor of Taste</t>
  </si>
  <si>
    <t>The End of the F***ing World</t>
  </si>
  <si>
    <t>The Enemy Within</t>
  </si>
  <si>
    <t>The Equalizer</t>
  </si>
  <si>
    <t>The Event</t>
  </si>
  <si>
    <t>The Ex List</t>
  </si>
  <si>
    <t>The Exorcist</t>
  </si>
  <si>
    <t>The Expanse</t>
  </si>
  <si>
    <t>The Fairly OddParents</t>
  </si>
  <si>
    <t>The Fall</t>
  </si>
  <si>
    <t>The Family</t>
  </si>
  <si>
    <t>The Favorite</t>
  </si>
  <si>
    <t>The Finder</t>
  </si>
  <si>
    <t>The Firm</t>
  </si>
  <si>
    <t>The First 48</t>
  </si>
  <si>
    <t>The Fix</t>
  </si>
  <si>
    <t>The Fixer</t>
  </si>
  <si>
    <t>The Flash</t>
  </si>
  <si>
    <t>The Flintstone Comedy Show</t>
  </si>
  <si>
    <t>The Flying Doctors</t>
  </si>
  <si>
    <t>The Following</t>
  </si>
  <si>
    <t>The Fonz and the Happy Days Gang</t>
  </si>
  <si>
    <t>The Forgotten</t>
  </si>
  <si>
    <t>The Forsyte Saga</t>
  </si>
  <si>
    <t>The Fosters</t>
  </si>
  <si>
    <t>The Four: Battle for Stardom</t>
  </si>
  <si>
    <t>The Frankenstein Chronicles</t>
  </si>
  <si>
    <t>The Fresh Prince of Bel-Air</t>
  </si>
  <si>
    <t>The Game</t>
  </si>
  <si>
    <t>The Garfield Show</t>
  </si>
  <si>
    <t>The Gates</t>
  </si>
  <si>
    <t>The Gavin Crawford Show</t>
  </si>
  <si>
    <t>The Gay Riviera</t>
  </si>
  <si>
    <t>The Gentle Touch</t>
  </si>
  <si>
    <t>The Get Along Gang</t>
  </si>
  <si>
    <t>The Get Down</t>
  </si>
  <si>
    <t>The Ghost Inside My Child</t>
  </si>
  <si>
    <t>The Girlfriend Experience</t>
  </si>
  <si>
    <t>The Girls Next Door</t>
  </si>
  <si>
    <t>The Glades</t>
  </si>
  <si>
    <t>The Godfather of Harlem</t>
  </si>
  <si>
    <t>The Goldbergs</t>
  </si>
  <si>
    <t>The Golden Girls</t>
  </si>
  <si>
    <t>The Golden Palace</t>
  </si>
  <si>
    <t>The Good Daughter</t>
  </si>
  <si>
    <t>The Good Doctor</t>
  </si>
  <si>
    <t>The Good Fight</t>
  </si>
  <si>
    <t>The Good Karma Hospital</t>
  </si>
  <si>
    <t>The Good Place</t>
  </si>
  <si>
    <t>The Good Wife</t>
  </si>
  <si>
    <t>The Grand</t>
  </si>
  <si>
    <t>The Great British Baking Show</t>
  </si>
  <si>
    <t>The Great Christmas Light Fight</t>
  </si>
  <si>
    <t>The Great Depression</t>
  </si>
  <si>
    <t>The Great Holiday Baking Show</t>
  </si>
  <si>
    <t>The Great Jang-Geum</t>
  </si>
  <si>
    <t>The Great Seer</t>
  </si>
  <si>
    <t>The Grim Adventures of Billy &amp; Mandy</t>
  </si>
  <si>
    <t>The Guardian</t>
  </si>
  <si>
    <t>The Guards</t>
  </si>
  <si>
    <t>The Guest Book</t>
  </si>
  <si>
    <t>The Ha!ifax Comedy Fest</t>
  </si>
  <si>
    <t>The Hackman</t>
  </si>
  <si>
    <t>The Halcyon</t>
  </si>
  <si>
    <t>The Handmaid's Tale</t>
  </si>
  <si>
    <t>The Head</t>
  </si>
  <si>
    <t>The Hills</t>
  </si>
  <si>
    <t>The Hills: New Beginnings</t>
  </si>
  <si>
    <t>The History of Comedy</t>
  </si>
  <si>
    <t>The Hitchhiker's Guide to the Galaxy</t>
  </si>
  <si>
    <t>The Holodeck</t>
  </si>
  <si>
    <t>The Horror Zone</t>
  </si>
  <si>
    <t>The Hot Zone</t>
  </si>
  <si>
    <t>The Hour</t>
  </si>
  <si>
    <t>The Human Condition</t>
  </si>
  <si>
    <t>The Hunger</t>
  </si>
  <si>
    <t>The InBetween</t>
  </si>
  <si>
    <t>The Inbetweeners</t>
  </si>
  <si>
    <t>The Increasingly Poor Decisions of Todd Margaret</t>
  </si>
  <si>
    <t>The Incredible Dr. Pol</t>
  </si>
  <si>
    <t>The Incredible Hulk</t>
  </si>
  <si>
    <t>The Inspectors</t>
  </si>
  <si>
    <t>The Investigator</t>
  </si>
  <si>
    <t>The Investigator: A British Crime Story</t>
  </si>
  <si>
    <t>The IT Crowd</t>
  </si>
  <si>
    <t>The Janice Dickinson Modeling Agency</t>
  </si>
  <si>
    <t>The Jim Gaffigan Show</t>
  </si>
  <si>
    <t>The Jon Dore Television Show</t>
  </si>
  <si>
    <t>The Joy of Painting</t>
  </si>
  <si>
    <t>The Julekalender</t>
  </si>
  <si>
    <t>The Jump</t>
  </si>
  <si>
    <t>The Jungle Book</t>
  </si>
  <si>
    <t>The Jury Speaks</t>
  </si>
  <si>
    <t>The Karate Kid</t>
  </si>
  <si>
    <t>The Keith Lemon Sketch Show</t>
  </si>
  <si>
    <t>The Kids Are Alright</t>
  </si>
  <si>
    <t>The Kids in the Hall</t>
  </si>
  <si>
    <t>The Killing</t>
  </si>
  <si>
    <t>The Killing of JonBenet: The Truth Uncovered</t>
  </si>
  <si>
    <t>The Killing Season</t>
  </si>
  <si>
    <t>The King 2 Hearts</t>
  </si>
  <si>
    <t>The King of Queens</t>
  </si>
  <si>
    <t>The Kingdom of the Winds</t>
  </si>
  <si>
    <t>The Kominsky Method</t>
  </si>
  <si>
    <t>The L Word</t>
  </si>
  <si>
    <t>The Lair</t>
  </si>
  <si>
    <t>The Larry Sanders Show</t>
  </si>
  <si>
    <t>The Last Kingdom</t>
  </si>
  <si>
    <t>The Last Man on Earth</t>
  </si>
  <si>
    <t>The Last Ship</t>
  </si>
  <si>
    <t>The Layover</t>
  </si>
  <si>
    <t>The Lazarus Man</t>
  </si>
  <si>
    <t>The League of Gentlemen</t>
  </si>
  <si>
    <t>The League of S.T.E.A.M.</t>
  </si>
  <si>
    <t>The Leftovers</t>
  </si>
  <si>
    <t>The Legend of Bruce Lee</t>
  </si>
  <si>
    <t>The Legend of Korra</t>
  </si>
  <si>
    <t>The Legend of Tarzan</t>
  </si>
  <si>
    <t>The Legend of Zelda</t>
  </si>
  <si>
    <t>The Legends of Treasure Island</t>
  </si>
  <si>
    <t>The Lens</t>
  </si>
  <si>
    <t>The Level</t>
  </si>
  <si>
    <t>The Librarians</t>
  </si>
  <si>
    <t>The Life &amp; Times of Tim</t>
  </si>
  <si>
    <t>The Life of Rock with Brian Pern</t>
  </si>
  <si>
    <t>The Line</t>
  </si>
  <si>
    <t>The Little Couple</t>
  </si>
  <si>
    <t>The Little Flying Bears</t>
  </si>
  <si>
    <t>The Little House</t>
  </si>
  <si>
    <t>The Little Mermaid</t>
  </si>
  <si>
    <t>The Looney Tunes Show</t>
  </si>
  <si>
    <t>The Lost Village</t>
  </si>
  <si>
    <t>The Loud House</t>
  </si>
  <si>
    <t>The LXD: The Legion of Extraordinary Dancers</t>
  </si>
  <si>
    <t>The Magic School Bus</t>
  </si>
  <si>
    <t>The Magicians</t>
  </si>
  <si>
    <t>The Magnus Archives</t>
  </si>
  <si>
    <t>The Making of the Mob</t>
  </si>
  <si>
    <t>The Man in the High Castle</t>
  </si>
  <si>
    <t>The Mandalorian</t>
  </si>
  <si>
    <t>The Marvelous Mrs. Maisel</t>
  </si>
  <si>
    <t>The Mask</t>
  </si>
  <si>
    <t>The masked avenger: Lagardère</t>
  </si>
  <si>
    <t>The Masked Singer</t>
  </si>
  <si>
    <t>The Master</t>
  </si>
  <si>
    <t>The Mentalist</t>
  </si>
  <si>
    <t>The Messengers</t>
  </si>
  <si>
    <t>The Michael J. Fox Show</t>
  </si>
  <si>
    <t>The Mick</t>
  </si>
  <si>
    <t>The Middle</t>
  </si>
  <si>
    <t>The Middleman</t>
  </si>
  <si>
    <t>The Mighty Boosh</t>
  </si>
  <si>
    <t>The Millers</t>
  </si>
  <si>
    <t>The Mind of a Chef</t>
  </si>
  <si>
    <t>The Mindy Project</t>
  </si>
  <si>
    <t>The Missing</t>
  </si>
  <si>
    <t>The Mist</t>
  </si>
  <si>
    <t>The Moaning of Life</t>
  </si>
  <si>
    <t>The Moment of Truth</t>
  </si>
  <si>
    <t>The Money $hot</t>
  </si>
  <si>
    <t>The Moon That Embraces the Sun</t>
  </si>
  <si>
    <t>The Morgana Show</t>
  </si>
  <si>
    <t>The Morning Show</t>
  </si>
  <si>
    <t>The Mutants: Ways of the Heart</t>
  </si>
  <si>
    <t>The Naked Chef</t>
  </si>
  <si>
    <t>The Name of the Rose</t>
  </si>
  <si>
    <t>The Nanny</t>
  </si>
  <si>
    <t>The Neddeaus of Duqesne Island</t>
  </si>
  <si>
    <t>The Neighborhood</t>
  </si>
  <si>
    <t>The NES Pursuit</t>
  </si>
  <si>
    <t>The New Addams Family</t>
  </si>
  <si>
    <t>The New Adventures of He-Man</t>
  </si>
  <si>
    <t>The New Adventures of Winnie the Pooh</t>
  </si>
  <si>
    <t>The New Adventures of Zorro</t>
  </si>
  <si>
    <t>The New Batman Adventures</t>
  </si>
  <si>
    <t>The New Legends of Monkey</t>
  </si>
  <si>
    <t>The New Normal</t>
  </si>
  <si>
    <t>The Newsroom</t>
  </si>
  <si>
    <t>The Nineties</t>
  </si>
  <si>
    <t>The O.C.</t>
  </si>
  <si>
    <t>The OA</t>
  </si>
  <si>
    <t>The Oblongs</t>
  </si>
  <si>
    <t>The Octopus</t>
  </si>
  <si>
    <t>The Office</t>
  </si>
  <si>
    <t>The One</t>
  </si>
  <si>
    <t>The Orville</t>
  </si>
  <si>
    <t>The Other Side of Paradise</t>
  </si>
  <si>
    <t>The Other Sport</t>
  </si>
  <si>
    <t>The Other Two</t>
  </si>
  <si>
    <t>The Others</t>
  </si>
  <si>
    <t>The Outer Limits</t>
  </si>
  <si>
    <t>The Outpost</t>
  </si>
  <si>
    <t>The Passage</t>
  </si>
  <si>
    <t>The Paynes</t>
  </si>
  <si>
    <t>The Peep Jeep</t>
  </si>
  <si>
    <t>The Ping-Pong Club</t>
  </si>
  <si>
    <t>The Pitts</t>
  </si>
  <si>
    <t>The PJs</t>
  </si>
  <si>
    <t>The Player</t>
  </si>
  <si>
    <t>The Politician</t>
  </si>
  <si>
    <t>The Powerpuff Girls</t>
  </si>
  <si>
    <t>The Practice</t>
  </si>
  <si>
    <t>The Pretender</t>
  </si>
  <si>
    <t>The Princess' Man</t>
  </si>
  <si>
    <t>The Proposal</t>
  </si>
  <si>
    <t>The Proud Family</t>
  </si>
  <si>
    <t>The Punisher</t>
  </si>
  <si>
    <t>The Purge</t>
  </si>
  <si>
    <t>The Puzzle Place</t>
  </si>
  <si>
    <t>The Quest</t>
  </si>
  <si>
    <t>The Raggy Dolls</t>
  </si>
  <si>
    <t>The Rain</t>
  </si>
  <si>
    <t>The Real Adventures of Jonny Quest</t>
  </si>
  <si>
    <t>The Real Ghostbusters</t>
  </si>
  <si>
    <t>The Real Housewives of Atlanta</t>
  </si>
  <si>
    <t>The Real Housewives of Beverly Hills</t>
  </si>
  <si>
    <t>The Real Housewives of New Jersey</t>
  </si>
  <si>
    <t>The Real Housewives of New York City</t>
  </si>
  <si>
    <t>The Real Hustle</t>
  </si>
  <si>
    <t>The Real L Word</t>
  </si>
  <si>
    <t>The Real Story with Maria Elena Salinas</t>
  </si>
  <si>
    <t>The Red Green Show</t>
  </si>
  <si>
    <t>The Ren &amp; Stimpy Show</t>
  </si>
  <si>
    <t>The Resolve</t>
  </si>
  <si>
    <t>The Riches</t>
  </si>
  <si>
    <t>The Rick Mercer Report</t>
  </si>
  <si>
    <t>The Righteous Gemstones</t>
  </si>
  <si>
    <t>The Romanoffs</t>
  </si>
  <si>
    <t>The Ron James Show</t>
  </si>
  <si>
    <t>The Rookie</t>
  </si>
  <si>
    <t>The Royle Family</t>
  </si>
  <si>
    <t>The Same Sky</t>
  </si>
  <si>
    <t>The Sarah Silverman Program.</t>
  </si>
  <si>
    <t>The Savage Dragon</t>
  </si>
  <si>
    <t>The Scarlet Pimpernel</t>
  </si>
  <si>
    <t>The Scoop</t>
  </si>
  <si>
    <t>The Seán Cullen Show</t>
  </si>
  <si>
    <t>The Secret Adventures of Jules Verne</t>
  </si>
  <si>
    <t>The Secret Circle</t>
  </si>
  <si>
    <t>The Secret Life of the American Teenager</t>
  </si>
  <si>
    <t>The Secret World of Alex Mack</t>
  </si>
  <si>
    <t>The Shannara Chronicles</t>
  </si>
  <si>
    <t>The Showbiz Show with David Spade</t>
  </si>
  <si>
    <t>The Silver Chair</t>
  </si>
  <si>
    <t>The Simple Life</t>
  </si>
  <si>
    <t>The Simpsons</t>
  </si>
  <si>
    <t>The Sin Reapers</t>
  </si>
  <si>
    <t>The Sinner</t>
  </si>
  <si>
    <t>The Sixties</t>
  </si>
  <si>
    <t>The Smurfs</t>
  </si>
  <si>
    <t>The Society</t>
  </si>
  <si>
    <t>The Son</t>
  </si>
  <si>
    <t>The Sopranos</t>
  </si>
  <si>
    <t>The Spectacular Spider-Man</t>
  </si>
  <si>
    <t>The Staircase</t>
  </si>
  <si>
    <t>The Standups</t>
  </si>
  <si>
    <t>The Startup Hour</t>
  </si>
  <si>
    <t>The State</t>
  </si>
  <si>
    <t>The Strain</t>
  </si>
  <si>
    <t>The Studio</t>
  </si>
  <si>
    <t>The Suite Life of Zack &amp; Cody</t>
  </si>
  <si>
    <t>The Super Hero Squad Show</t>
  </si>
  <si>
    <t>The Super Powers Team: Galactic Guardians</t>
  </si>
  <si>
    <t>The Supervet</t>
  </si>
  <si>
    <t>The Sylvester &amp; Tweety Mysteries</t>
  </si>
  <si>
    <t>The Syndicate</t>
  </si>
  <si>
    <t>The Task</t>
  </si>
  <si>
    <t>The Terror</t>
  </si>
  <si>
    <t>The Thorn Birds</t>
  </si>
  <si>
    <t>The Tick</t>
  </si>
  <si>
    <t>The Time in Between</t>
  </si>
  <si>
    <t>The Titan Games</t>
  </si>
  <si>
    <t>The Tom and Jerry Show</t>
  </si>
  <si>
    <t>The Tomorrow People</t>
  </si>
  <si>
    <t>The Torkelsons</t>
  </si>
  <si>
    <t>The Tower of DRUAGA:the Aegis of URUK</t>
  </si>
  <si>
    <t>The Toy Box</t>
  </si>
  <si>
    <t>The Toys That Made Us</t>
  </si>
  <si>
    <t>The Transformers</t>
  </si>
  <si>
    <t>The Trap Door</t>
  </si>
  <si>
    <t>The Tribe</t>
  </si>
  <si>
    <t>The Tripods</t>
  </si>
  <si>
    <t>The Trixie &amp; Katya Show</t>
  </si>
  <si>
    <t>The Tube: Going Underground</t>
  </si>
  <si>
    <t>The Tudors</t>
  </si>
  <si>
    <t>The Twilight Zone</t>
  </si>
  <si>
    <t>The Two Lives of Estela Carrillo</t>
  </si>
  <si>
    <t>The UCB Show</t>
  </si>
  <si>
    <t>The Ultimate Fighter</t>
  </si>
  <si>
    <t>The Umbrella Academy</t>
  </si>
  <si>
    <t>The Unicorn</t>
  </si>
  <si>
    <t>The Universe</t>
  </si>
  <si>
    <t>The Untouchables</t>
  </si>
  <si>
    <t>The Uptown Comedy Club</t>
  </si>
  <si>
    <t>The Vampire Diaries</t>
  </si>
  <si>
    <t>The Venture Bros.</t>
  </si>
  <si>
    <t>The Vicar of Dibley</t>
  </si>
  <si>
    <t>The Vice</t>
  </si>
  <si>
    <t>The Villa</t>
  </si>
  <si>
    <t>The Village</t>
  </si>
  <si>
    <t>The Visitors</t>
  </si>
  <si>
    <t>The Voice</t>
  </si>
  <si>
    <t>The Walking Dead</t>
  </si>
  <si>
    <t>The War at Home</t>
  </si>
  <si>
    <t>The Water Whispers</t>
  </si>
  <si>
    <t>The Wayans Bros.</t>
  </si>
  <si>
    <t>The West Wing</t>
  </si>
  <si>
    <t>The White Slave</t>
  </si>
  <si>
    <t>The Whitest Kids U'Know</t>
  </si>
  <si>
    <t>The Widow</t>
  </si>
  <si>
    <t>The Wild Thornberrys</t>
  </si>
  <si>
    <t>The Wine Trails of Australia</t>
  </si>
  <si>
    <t>The Winjin' Pom</t>
  </si>
  <si>
    <t>The Winner Is</t>
  </si>
  <si>
    <t>The Wire</t>
  </si>
  <si>
    <t>The Witcher</t>
  </si>
  <si>
    <t>The Wizard of Oz</t>
  </si>
  <si>
    <t>The Wonder Years</t>
  </si>
  <si>
    <t>The Wonderful Wizard of Oz</t>
  </si>
  <si>
    <t>The World According to Jeff Goldblum</t>
  </si>
  <si>
    <t>The World Wars</t>
  </si>
  <si>
    <t>The Worst Witch</t>
  </si>
  <si>
    <t>The Wretched</t>
  </si>
  <si>
    <t>The X Factor</t>
  </si>
  <si>
    <t>The X-Files</t>
  </si>
  <si>
    <t>The Young Indiana Jones Chronicles</t>
  </si>
  <si>
    <t>The Young Ones</t>
  </si>
  <si>
    <t>The Young Pope</t>
  </si>
  <si>
    <t>The Young Riders</t>
  </si>
  <si>
    <t>Theatre Fantastique</t>
  </si>
  <si>
    <t>Third Watch</t>
  </si>
  <si>
    <t>This Country</t>
  </si>
  <si>
    <t>This Is Us</t>
  </si>
  <si>
    <t>This Life</t>
  </si>
  <si>
    <t>This Movie Sucks!</t>
  </si>
  <si>
    <t>Those Who Can't</t>
  </si>
  <si>
    <t>Those Who Hunt Elves</t>
  </si>
  <si>
    <t>Through the Wormhole</t>
  </si>
  <si>
    <t>Thundarr the Barbarian</t>
  </si>
  <si>
    <t>Thundercats</t>
  </si>
  <si>
    <t>Thunderstone</t>
  </si>
  <si>
    <t>Tidelands</t>
  </si>
  <si>
    <t>Til Death</t>
  </si>
  <si>
    <t>Tim and Eric Awesome Show, Great Job!</t>
  </si>
  <si>
    <t>Tim and Eric Nite Live</t>
  </si>
  <si>
    <t>Time Gentlemen Please</t>
  </si>
  <si>
    <t>Time Team</t>
  </si>
  <si>
    <t>Time to Eat with Nadiya</t>
  </si>
  <si>
    <t>Timeless Love</t>
  </si>
  <si>
    <t>Tin Star</t>
  </si>
  <si>
    <t>Tiny Toon Adventures</t>
  </si>
  <si>
    <t>Titans</t>
  </si>
  <si>
    <t>Titus</t>
  </si>
  <si>
    <t>To Heart</t>
  </si>
  <si>
    <t>Today Is Maria's Day</t>
  </si>
  <si>
    <t>Todd and the Book of Pure Evil</t>
  </si>
  <si>
    <t>Todd McFarlane's Spawn</t>
  </si>
  <si>
    <t>Tôka gettan</t>
  </si>
  <si>
    <t>Tokio Private Police</t>
  </si>
  <si>
    <t>Toledo</t>
  </si>
  <si>
    <t>Tom Clancy's Jack Ryan</t>
  </si>
  <si>
    <t>Tom Daley</t>
  </si>
  <si>
    <t>Tomás Mike Pernica</t>
  </si>
  <si>
    <t>Toopy &amp; Binoo</t>
  </si>
  <si>
    <t>Top Chef</t>
  </si>
  <si>
    <t>Top Gear</t>
  </si>
  <si>
    <t>Top Gear USA</t>
  </si>
  <si>
    <t>Torchwood</t>
  </si>
  <si>
    <t>Tosh.0</t>
  </si>
  <si>
    <t>Toshi densetsu shirizu</t>
  </si>
  <si>
    <t>Total Bellas</t>
  </si>
  <si>
    <t>Total Divas</t>
  </si>
  <si>
    <t>Total Onslaught</t>
  </si>
  <si>
    <t>Total Wipeout</t>
  </si>
  <si>
    <t>Totally Spies!</t>
  </si>
  <si>
    <t>Townsend Television</t>
  </si>
  <si>
    <t>Tracey Ullman's Show</t>
  </si>
  <si>
    <t>Trail of Lies</t>
  </si>
  <si>
    <t>Trailer Park Boys</t>
  </si>
  <si>
    <t>Transformers Prime</t>
  </si>
  <si>
    <t>Transformers: Armada</t>
  </si>
  <si>
    <t>Transformers: Energon</t>
  </si>
  <si>
    <t>Transformers: Robots in Disguise</t>
  </si>
  <si>
    <t>Travel Man: 48 Hours in...</t>
  </si>
  <si>
    <t>Travels By Narrowboat</t>
  </si>
  <si>
    <t>Treme</t>
  </si>
  <si>
    <t>Tresh-obzor</t>
  </si>
  <si>
    <t>Trigun</t>
  </si>
  <si>
    <t>Trinity</t>
  </si>
  <si>
    <t>Tripping the Rift</t>
  </si>
  <si>
    <t>Tropes vs. Women in Video Games</t>
  </si>
  <si>
    <t>Troy: Fall of a City</t>
  </si>
  <si>
    <t>Trpaslík</t>
  </si>
  <si>
    <t>Tru Calling</t>
  </si>
  <si>
    <t>True Blood</t>
  </si>
  <si>
    <t>True Detective</t>
  </si>
  <si>
    <t>True Jackson, VP</t>
  </si>
  <si>
    <t>True Justice</t>
  </si>
  <si>
    <t>True Women</t>
  </si>
  <si>
    <t>Trust</t>
  </si>
  <si>
    <t>Truthhorse</t>
  </si>
  <si>
    <t>Turn Up Charlie</t>
  </si>
  <si>
    <t>TURN: Washington's Spies</t>
  </si>
  <si>
    <t>TV Funhouse</t>
  </si>
  <si>
    <t>Twin Peaks</t>
  </si>
  <si>
    <t>Twin Turbos</t>
  </si>
  <si>
    <t>Twisted</t>
  </si>
  <si>
    <t>Two and a Half Men</t>
  </si>
  <si>
    <t>Two Doors Down</t>
  </si>
  <si>
    <t>Two Guys, a Girl and a Pizza Place</t>
  </si>
  <si>
    <t>Two Sentence Horror Stories</t>
  </si>
  <si>
    <t>Tyranny</t>
  </si>
  <si>
    <t>UCB Comedy Originals</t>
  </si>
  <si>
    <t>Uga Uga</t>
  </si>
  <si>
    <t>Ugly Americans</t>
  </si>
  <si>
    <t>Ugly Betty</t>
  </si>
  <si>
    <t>Ugly Delicious</t>
  </si>
  <si>
    <t>Ultimate Cake Off</t>
  </si>
  <si>
    <t>Ultimate Spider-Man</t>
  </si>
  <si>
    <t>Ultraviolet</t>
  </si>
  <si>
    <t>Ultraviolet: Code 044</t>
  </si>
  <si>
    <t>Ulysses 31</t>
  </si>
  <si>
    <t>Um Menino Muito Maluquinho</t>
  </si>
  <si>
    <t>Unan1mous</t>
  </si>
  <si>
    <t>Unbreakable Kimmy Schmidt</t>
  </si>
  <si>
    <t>Uncle Grandpa</t>
  </si>
  <si>
    <t>Undeclared</t>
  </si>
  <si>
    <t>Under the Dome</t>
  </si>
  <si>
    <t>Undercover Boss</t>
  </si>
  <si>
    <t>Undercover Boss Australia</t>
  </si>
  <si>
    <t>Undercover Boss Canada</t>
  </si>
  <si>
    <t>Undergrads</t>
  </si>
  <si>
    <t>Underground</t>
  </si>
  <si>
    <t>Undressed</t>
  </si>
  <si>
    <t>Unikitty!</t>
  </si>
  <si>
    <t>Union Church of La Harpe, Illinois</t>
  </si>
  <si>
    <t>United States of Tara</t>
  </si>
  <si>
    <t>Unnatural History</t>
  </si>
  <si>
    <t>Unsolved Mysteries</t>
  </si>
  <si>
    <t>Unsolved: The Murders of Tupac and the Notorious B.I.G.</t>
  </si>
  <si>
    <t>Unusual Suspects</t>
  </si>
  <si>
    <t>Upright Citizens Brigade</t>
  </si>
  <si>
    <t>Uranium: Twisting the Dragon's Tail</t>
  </si>
  <si>
    <t>Urban Gothic</t>
  </si>
  <si>
    <t>Utopia</t>
  </si>
  <si>
    <t>UUelcome</t>
  </si>
  <si>
    <t>V</t>
  </si>
  <si>
    <t>Valley Metro Church</t>
  </si>
  <si>
    <t>Valor</t>
  </si>
  <si>
    <t>Vampire Knight</t>
  </si>
  <si>
    <t>Vampires</t>
  </si>
  <si>
    <t>Van Helsing</t>
  </si>
  <si>
    <t>Vanderpump Rules</t>
  </si>
  <si>
    <t>Vasiliy Stalin</t>
  </si>
  <si>
    <t>Veep</t>
  </si>
  <si>
    <t>Vegas</t>
  </si>
  <si>
    <t>Velvet Collection</t>
  </si>
  <si>
    <t>Venus Versus Virus</t>
  </si>
  <si>
    <t>Vera</t>
  </si>
  <si>
    <t>Verbotene Liebe</t>
  </si>
  <si>
    <t>Vergüenza</t>
  </si>
  <si>
    <t>Verity Baptist Church</t>
  </si>
  <si>
    <t>Veronica Mars</t>
  </si>
  <si>
    <t>Veronika Spurná</t>
  </si>
  <si>
    <t>Versailles</t>
  </si>
  <si>
    <t>Vicious</t>
  </si>
  <si>
    <t>Victor &amp; Valentino</t>
  </si>
  <si>
    <t>Victoria</t>
  </si>
  <si>
    <t>Victoria &amp; Albert</t>
  </si>
  <si>
    <t>Victoria Wood</t>
  </si>
  <si>
    <t>Victorious</t>
  </si>
  <si>
    <t>Vida</t>
  </si>
  <si>
    <t>Video Girl Ai</t>
  </si>
  <si>
    <t>Vikings</t>
  </si>
  <si>
    <t>Vinari</t>
  </si>
  <si>
    <t>Vinyl</t>
  </si>
  <si>
    <t>Violetta</t>
  </si>
  <si>
    <t>Visionaries: Knights of the Magical Light</t>
  </si>
  <si>
    <t>Vital Signs</t>
  </si>
  <si>
    <t>Viva Variety</t>
  </si>
  <si>
    <t>Vixen</t>
  </si>
  <si>
    <t>Voltron: Legendary Defender</t>
  </si>
  <si>
    <t>Voltron: The Third Dimension</t>
  </si>
  <si>
    <t>Voyage of the Unicorn</t>
  </si>
  <si>
    <t>Vsechny moje lásky</t>
  </si>
  <si>
    <t>Vysehrad</t>
  </si>
  <si>
    <t>W.I.T.C.H.</t>
  </si>
  <si>
    <t>Wacky Races</t>
  </si>
  <si>
    <t>Wainy Days</t>
  </si>
  <si>
    <t>Waiting for God</t>
  </si>
  <si>
    <t>Wake, Rattle &amp; Roll</t>
  </si>
  <si>
    <t>Waking the Dead</t>
  </si>
  <si>
    <t>Walang hanggan</t>
  </si>
  <si>
    <t>Walker, Texas Ranger</t>
  </si>
  <si>
    <t>Walking the Amazon</t>
  </si>
  <si>
    <t>Wallander</t>
  </si>
  <si>
    <t>Wan pîsu</t>
  </si>
  <si>
    <t>Wander Over Yonder</t>
  </si>
  <si>
    <t>Wanderlust</t>
  </si>
  <si>
    <t>Wangzi bian qingwa</t>
  </si>
  <si>
    <t>Wanna Be the Strongest in the World</t>
  </si>
  <si>
    <t>Wanted</t>
  </si>
  <si>
    <t>War of the Worlds</t>
  </si>
  <si>
    <t>Warship</t>
  </si>
  <si>
    <t>Wat nu weer!?</t>
  </si>
  <si>
    <t>WataMote: No Matter How I Look at It, It's You Guys' Fault I'm Not Popular!</t>
  </si>
  <si>
    <t>Water Rats</t>
  </si>
  <si>
    <t>Wayne and Shuster in Black and White</t>
  </si>
  <si>
    <t>Ways of the Heart</t>
  </si>
  <si>
    <t>We Bare Bears</t>
  </si>
  <si>
    <t>Weather Report Girl</t>
  </si>
  <si>
    <t>Webdreams</t>
  </si>
  <si>
    <t>Weeds</t>
  </si>
  <si>
    <t>Welcome to Pooh Corner</t>
  </si>
  <si>
    <t>Wentworth</t>
  </si>
  <si>
    <t>Westenwind</t>
  </si>
  <si>
    <t>Westworld</t>
  </si>
  <si>
    <t>Wet Hot American Summer: Ten Years Later</t>
  </si>
  <si>
    <t>Whale Wars</t>
  </si>
  <si>
    <t>What About Brian</t>
  </si>
  <si>
    <t>What Happens in Kavos</t>
  </si>
  <si>
    <t>What We Do in the Shadows</t>
  </si>
  <si>
    <t>Wheeler Dealers</t>
  </si>
  <si>
    <t>When Heroes Fly</t>
  </si>
  <si>
    <t>When They Cry</t>
  </si>
  <si>
    <t>Whispering Jane ASMR</t>
  </si>
  <si>
    <t>White Collar</t>
  </si>
  <si>
    <t>White Gold</t>
  </si>
  <si>
    <t>Whitechapel</t>
  </si>
  <si>
    <t>WhiteMike193</t>
  </si>
  <si>
    <t>Who Do You Think You Are?</t>
  </si>
  <si>
    <t>Who Is America?</t>
  </si>
  <si>
    <t>Who Is Shinobi RedEye?</t>
  </si>
  <si>
    <t>Who's Still Standing?</t>
  </si>
  <si>
    <t>Who's the Boss?</t>
  </si>
  <si>
    <t>Whoops Apocalypse</t>
  </si>
  <si>
    <t>Whose Line Is It Anyway?</t>
  </si>
  <si>
    <t>Wild 'N Out</t>
  </si>
  <si>
    <t>Wild Heart</t>
  </si>
  <si>
    <t>Wild Things with Dominic Monaghan</t>
  </si>
  <si>
    <t>Wildfire</t>
  </si>
  <si>
    <t>Wildflower</t>
  </si>
  <si>
    <t>Wilfred</t>
  </si>
  <si>
    <t>Will</t>
  </si>
  <si>
    <t>Will &amp; Grace</t>
  </si>
  <si>
    <t>William and Mary</t>
  </si>
  <si>
    <t>Wind Blows in Chang Lin</t>
  </si>
  <si>
    <t>Wing Commander Academy</t>
  </si>
  <si>
    <t>Winx Club</t>
  </si>
  <si>
    <t>Wipeout</t>
  </si>
  <si>
    <t>Wisdom of the Crowd</t>
  </si>
  <si>
    <t>Wishbone</t>
  </si>
  <si>
    <t>Witch Hunter Robin</t>
  </si>
  <si>
    <t>Witchblade</t>
  </si>
  <si>
    <t>Without a Trace</t>
  </si>
  <si>
    <t>Witless Protection Program</t>
  </si>
  <si>
    <t>Witnesses</t>
  </si>
  <si>
    <t>Wives with Knives</t>
  </si>
  <si>
    <t>Wizards of Waverly Place</t>
  </si>
  <si>
    <t>Wolf's Rain</t>
  </si>
  <si>
    <t>Wolkenfrei ASMR</t>
  </si>
  <si>
    <t>Wolverine and the X-Men</t>
  </si>
  <si>
    <t>Women Artists of Australia</t>
  </si>
  <si>
    <t>Women in Love</t>
  </si>
  <si>
    <t>Wonder Showzen</t>
  </si>
  <si>
    <t>Wonderfalls</t>
  </si>
  <si>
    <t>Wonderkids</t>
  </si>
  <si>
    <t>Wonderland</t>
  </si>
  <si>
    <t>Word of Truth Baptist Church</t>
  </si>
  <si>
    <t>Work of Art: The Next Great Artist</t>
  </si>
  <si>
    <t>Workin' Moms</t>
  </si>
  <si>
    <t>World of Dance</t>
  </si>
  <si>
    <t>WPC 56</t>
  </si>
  <si>
    <t>Wrecked</t>
  </si>
  <si>
    <t>Wycliffe</t>
  </si>
  <si>
    <t>Wynonna Earp</t>
  </si>
  <si>
    <t>X Avion: The Weird Day</t>
  </si>
  <si>
    <t>X Company</t>
  </si>
  <si>
    <t>X-Men: Evolution</t>
  </si>
  <si>
    <t>X-Men: The Animated Series</t>
  </si>
  <si>
    <t>Xena: Warrior Princess</t>
  </si>
  <si>
    <t>Xica da Silva</t>
  </si>
  <si>
    <t>XIII: The Series</t>
  </si>
  <si>
    <t>Xyber 9: New Dawn</t>
  </si>
  <si>
    <t>Yallahrup Færgeby</t>
  </si>
  <si>
    <t>Yanusunokagami</t>
  </si>
  <si>
    <t>Years of Living Dangerously</t>
  </si>
  <si>
    <t>Yeh Meri Family</t>
  </si>
  <si>
    <t>Yellowstone</t>
  </si>
  <si>
    <t>Yes Minister</t>
  </si>
  <si>
    <t>Yin Yang Yo!</t>
  </si>
  <si>
    <t>Yo soy Bea</t>
  </si>
  <si>
    <t>Yo Yogi!</t>
  </si>
  <si>
    <t>Yogi's Treasure Hunt</t>
  </si>
  <si>
    <t>Yokohama kaidashi kikô</t>
  </si>
  <si>
    <t>YooHoo and Friends</t>
  </si>
  <si>
    <t>You</t>
  </si>
  <si>
    <t>You Are Beautiful</t>
  </si>
  <si>
    <t>You Got Trumped: The First 100 Days</t>
  </si>
  <si>
    <t>You Me Her</t>
  </si>
  <si>
    <t>You Rang, M'Lord?</t>
  </si>
  <si>
    <t>You the Jury</t>
  </si>
  <si>
    <t>You Wrote It, You Watch It</t>
  </si>
  <si>
    <t>You're the Worst</t>
  </si>
  <si>
    <t>You're Under Arrest!</t>
  </si>
  <si>
    <t>Young &amp; Hungry</t>
  </si>
  <si>
    <t>Young &amp; Reckless</t>
  </si>
  <si>
    <t>Young Americans</t>
  </si>
  <si>
    <t>Young Hearts</t>
  </si>
  <si>
    <t>Young Hercules</t>
  </si>
  <si>
    <t>Young Justice</t>
  </si>
  <si>
    <t>Younger</t>
  </si>
  <si>
    <t>Your Pretty Face Is Going to Hell</t>
  </si>
  <si>
    <t>Yu Yu Hakusho: Ghost Files</t>
  </si>
  <si>
    <t>Yu-Gi-Oh! 5D's</t>
  </si>
  <si>
    <t>Yu-Gi-Oh! Arc-V</t>
  </si>
  <si>
    <t>Yu-Gi-Oh! GX</t>
  </si>
  <si>
    <t>Yu-Gi-Oh! Zexal</t>
  </si>
  <si>
    <t>Yuri!!! On Ice</t>
  </si>
  <si>
    <t>Z Nation</t>
  </si>
  <si>
    <t>Zakon buterbroda</t>
  </si>
  <si>
    <t>ZaumAndare a parare</t>
  </si>
  <si>
    <t>Zig and Sharko</t>
  </si>
  <si>
    <t>Zindagi Gulzar Hai</t>
  </si>
  <si>
    <t>Zoella</t>
  </si>
  <si>
    <t>Zoey 101</t>
  </si>
  <si>
    <t>Zofka a spol</t>
  </si>
  <si>
    <t>Zombieland Saga</t>
  </si>
  <si>
    <t>Zoo</t>
  </si>
  <si>
    <t>Zorro</t>
  </si>
  <si>
    <t>Zyliara ASMR</t>
  </si>
  <si>
    <t>ZZZap!</t>
  </si>
  <si>
    <t>Franchise Remake</t>
  </si>
  <si>
    <t>Based On Novel/Comic</t>
  </si>
  <si>
    <t>Film Before TV</t>
  </si>
  <si>
    <t>Non White</t>
  </si>
  <si>
    <t xml:space="preserve">¡Q'Viva!: The Chosen </t>
  </si>
  <si>
    <t xml:space="preserve">10 Puppies and Us </t>
  </si>
  <si>
    <t xml:space="preserve">100 Code </t>
  </si>
  <si>
    <t xml:space="preserve">100 years of automobile </t>
  </si>
  <si>
    <t xml:space="preserve">1000 Ways to Die </t>
  </si>
  <si>
    <t xml:space="preserve">12 Monkeys </t>
  </si>
  <si>
    <t xml:space="preserve">13 Reasons Why </t>
  </si>
  <si>
    <t xml:space="preserve">15 Storeys High </t>
  </si>
  <si>
    <t xml:space="preserve">16 and Pregnant </t>
  </si>
  <si>
    <t xml:space="preserve">1600 Penn </t>
  </si>
  <si>
    <t xml:space="preserve">18 Wheels of Justice </t>
  </si>
  <si>
    <t xml:space="preserve">19 Kids and Counting </t>
  </si>
  <si>
    <t xml:space="preserve">19-2 </t>
  </si>
  <si>
    <t xml:space="preserve">2 Broke Girls </t>
  </si>
  <si>
    <t xml:space="preserve">20tantos </t>
  </si>
  <si>
    <t xml:space="preserve">21 Jump Street </t>
  </si>
  <si>
    <t xml:space="preserve">24 Hour Restaurant Battle </t>
  </si>
  <si>
    <t xml:space="preserve">24 Hrs to Hell and Back </t>
  </si>
  <si>
    <t xml:space="preserve">24 to Life </t>
  </si>
  <si>
    <t xml:space="preserve">24: Legacy </t>
  </si>
  <si>
    <t xml:space="preserve">2point4 Children </t>
  </si>
  <si>
    <t xml:space="preserve">3:00 A.M. </t>
  </si>
  <si>
    <t xml:space="preserve">30 for 30 </t>
  </si>
  <si>
    <t xml:space="preserve">30 Rock </t>
  </si>
  <si>
    <t xml:space="preserve">32 Brinkburn Street </t>
  </si>
  <si>
    <t xml:space="preserve">35 Diwrnod </t>
  </si>
  <si>
    <t xml:space="preserve">3Below: Tales of Arcadia </t>
  </si>
  <si>
    <t xml:space="preserve">3rd Rock from the Sun </t>
  </si>
  <si>
    <t xml:space="preserve">48 Hours </t>
  </si>
  <si>
    <t xml:space="preserve">56 Up </t>
  </si>
  <si>
    <t xml:space="preserve">5th Ward </t>
  </si>
  <si>
    <t xml:space="preserve">60 Days In </t>
  </si>
  <si>
    <t xml:space="preserve">7 Little Johnstons </t>
  </si>
  <si>
    <t xml:space="preserve">7 Lives Xposed </t>
  </si>
  <si>
    <t xml:space="preserve">7th Heaven </t>
  </si>
  <si>
    <t xml:space="preserve">8 Out of 10 Cats Does Countdown </t>
  </si>
  <si>
    <t xml:space="preserve">8 Simple Rules </t>
  </si>
  <si>
    <t xml:space="preserve">800 Words </t>
  </si>
  <si>
    <t xml:space="preserve">90 Day Fiancé </t>
  </si>
  <si>
    <t xml:space="preserve">90 Day Fiancé: The Other Way </t>
  </si>
  <si>
    <t xml:space="preserve">A Bit of a Do </t>
  </si>
  <si>
    <t xml:space="preserve">A Bit of Fry and Laurie </t>
  </si>
  <si>
    <t xml:space="preserve">A Chance to Love </t>
  </si>
  <si>
    <t xml:space="preserve">A Country Practice </t>
  </si>
  <si>
    <t xml:space="preserve">A Crime to Remember </t>
  </si>
  <si>
    <t xml:space="preserve">A Cup of Style </t>
  </si>
  <si>
    <t xml:space="preserve">A Discovery of Witches </t>
  </si>
  <si>
    <t xml:space="preserve">A Fine Romance </t>
  </si>
  <si>
    <t xml:space="preserve">A Game About Love </t>
  </si>
  <si>
    <t xml:space="preserve">A Gypsy Life for Me </t>
  </si>
  <si>
    <t xml:space="preserve">A Haunting </t>
  </si>
  <si>
    <t xml:space="preserve">A League of Their Own US Road Trip </t>
  </si>
  <si>
    <t xml:space="preserve">A Million Little Things </t>
  </si>
  <si>
    <t xml:space="preserve">A Nero Wolfe Mystery </t>
  </si>
  <si>
    <t xml:space="preserve">A Pup Named Scooby-Doo </t>
  </si>
  <si>
    <t xml:space="preserve">A Series of Unfortunate Events </t>
  </si>
  <si>
    <t xml:space="preserve">A Skirt Through History </t>
  </si>
  <si>
    <t xml:space="preserve">A Touch of Cloth </t>
  </si>
  <si>
    <t xml:space="preserve">A Touch of Frost </t>
  </si>
  <si>
    <t xml:space="preserve">A Wedding and a Murder </t>
  </si>
  <si>
    <t xml:space="preserve">A Wicked Offer </t>
  </si>
  <si>
    <t xml:space="preserve">A Young Doctor's Notebook &amp; Other Stories </t>
  </si>
  <si>
    <t xml:space="preserve">A.D. The Bible Continues </t>
  </si>
  <si>
    <t xml:space="preserve">A.N.T. Farm </t>
  </si>
  <si>
    <t xml:space="preserve">A.P. Bio </t>
  </si>
  <si>
    <t xml:space="preserve">Aahat </t>
  </si>
  <si>
    <t xml:space="preserve">Aap ki Kaneez </t>
  </si>
  <si>
    <t xml:space="preserve">Aaron Stone </t>
  </si>
  <si>
    <t xml:space="preserve">Abby's </t>
  </si>
  <si>
    <t xml:space="preserve">About Him </t>
  </si>
  <si>
    <t xml:space="preserve">Above Suspicion </t>
  </si>
  <si>
    <t xml:space="preserve">Absentia </t>
  </si>
  <si>
    <t xml:space="preserve">Absolute Boyfriend </t>
  </si>
  <si>
    <t xml:space="preserve">Absolutely Fabulous </t>
  </si>
  <si>
    <t xml:space="preserve">Acceptable TV </t>
  </si>
  <si>
    <t xml:space="preserve">According to Jim </t>
  </si>
  <si>
    <t xml:space="preserve">Ace of Cakes </t>
  </si>
  <si>
    <t xml:space="preserve">Ackley Bridge </t>
  </si>
  <si>
    <t xml:space="preserve">Acorralada </t>
  </si>
  <si>
    <t xml:space="preserve">Action League Now!! </t>
  </si>
  <si>
    <t xml:space="preserve">Adam Mach </t>
  </si>
  <si>
    <t xml:space="preserve">Adam Ruins Everything </t>
  </si>
  <si>
    <t xml:space="preserve">Adventure Time </t>
  </si>
  <si>
    <t xml:space="preserve">Adventures from the Book of Virtues </t>
  </si>
  <si>
    <t xml:space="preserve">Adventures in Wonderland </t>
  </si>
  <si>
    <t xml:space="preserve">Adventures of JAB </t>
  </si>
  <si>
    <t xml:space="preserve">Æon Flux </t>
  </si>
  <si>
    <t xml:space="preserve">Africa's Deadly Kingdoms </t>
  </si>
  <si>
    <t xml:space="preserve">Agatha Christie's Marple </t>
  </si>
  <si>
    <t xml:space="preserve">Agatha Raisin </t>
  </si>
  <si>
    <t xml:space="preserve">Agent Carter </t>
  </si>
  <si>
    <t xml:space="preserve">Agent X </t>
  </si>
  <si>
    <t xml:space="preserve">Agents of S.H.I.E.L.D. </t>
  </si>
  <si>
    <t xml:space="preserve">Ah! My Goddess </t>
  </si>
  <si>
    <t xml:space="preserve">Air Emergency </t>
  </si>
  <si>
    <t xml:space="preserve">Airplane Repo </t>
  </si>
  <si>
    <t xml:space="preserve">Airwolf </t>
  </si>
  <si>
    <t xml:space="preserve">Aladdin </t>
  </si>
  <si>
    <t xml:space="preserve">Alakdana </t>
  </si>
  <si>
    <t xml:space="preserve">Alarm für Cobra 11Die Autobahnpolizei </t>
  </si>
  <si>
    <t xml:space="preserve">Ales Lamka Fitness </t>
  </si>
  <si>
    <t xml:space="preserve">Alex, Inc. </t>
  </si>
  <si>
    <t xml:space="preserve">Alexa &amp; Katie </t>
  </si>
  <si>
    <t xml:space="preserve">ALF </t>
  </si>
  <si>
    <t xml:space="preserve">Alfred J. Kwak </t>
  </si>
  <si>
    <t xml:space="preserve">Ali May ASMR </t>
  </si>
  <si>
    <t xml:space="preserve">Alias </t>
  </si>
  <si>
    <t xml:space="preserve">Alien Nation </t>
  </si>
  <si>
    <t xml:space="preserve">Aliens in the Family </t>
  </si>
  <si>
    <t xml:space="preserve">Alisea and the Dream Prince </t>
  </si>
  <si>
    <t xml:space="preserve">All American </t>
  </si>
  <si>
    <t xml:space="preserve">All Def Comedy </t>
  </si>
  <si>
    <t xml:space="preserve">All Grown Up! </t>
  </si>
  <si>
    <t xml:space="preserve">All Saints </t>
  </si>
  <si>
    <t xml:space="preserve">All Souls </t>
  </si>
  <si>
    <t xml:space="preserve">Allen Gregory </t>
  </si>
  <si>
    <t xml:space="preserve">Alleyn Mysteries </t>
  </si>
  <si>
    <t xml:space="preserve">Allo 'Allo </t>
  </si>
  <si>
    <t xml:space="preserve">Ally McBeal </t>
  </si>
  <si>
    <t xml:space="preserve">Almost Home </t>
  </si>
  <si>
    <t xml:space="preserve">Alone </t>
  </si>
  <si>
    <t xml:space="preserve">Alone Together </t>
  </si>
  <si>
    <t xml:space="preserve">Altered Carbon </t>
  </si>
  <si>
    <t xml:space="preserve">Always and Everyone </t>
  </si>
  <si>
    <t xml:space="preserve">Amada Anime Series: Super Mario </t>
  </si>
  <si>
    <t xml:space="preserve">America </t>
  </si>
  <si>
    <t xml:space="preserve">America's Book of Secrets </t>
  </si>
  <si>
    <t xml:space="preserve">America's Funniest Home Videos </t>
  </si>
  <si>
    <t xml:space="preserve">America's Most Wanted: America Fights Back </t>
  </si>
  <si>
    <t xml:space="preserve">America's Next Top Model </t>
  </si>
  <si>
    <t xml:space="preserve">American Chainsaw </t>
  </si>
  <si>
    <t xml:space="preserve">American Crime Story </t>
  </si>
  <si>
    <t xml:space="preserve">American Dad! </t>
  </si>
  <si>
    <t xml:space="preserve">American Dragon: Jake Long </t>
  </si>
  <si>
    <t xml:space="preserve">American Dream Builders </t>
  </si>
  <si>
    <t xml:space="preserve">American Dreams </t>
  </si>
  <si>
    <t xml:space="preserve">American Gods </t>
  </si>
  <si>
    <t xml:space="preserve">American Gothic </t>
  </si>
  <si>
    <t xml:space="preserve">American Horror Story </t>
  </si>
  <si>
    <t xml:space="preserve">American Idol </t>
  </si>
  <si>
    <t xml:space="preserve">American Murder Song </t>
  </si>
  <si>
    <t xml:space="preserve">American Odyssey </t>
  </si>
  <si>
    <t xml:space="preserve">American Pickers </t>
  </si>
  <si>
    <t xml:space="preserve">American Pie </t>
  </si>
  <si>
    <t xml:space="preserve">American Playboy: The Hugh Hefner Story </t>
  </si>
  <si>
    <t xml:space="preserve">American Woman </t>
  </si>
  <si>
    <t xml:space="preserve">Amie and Kamil's Fitness Journey </t>
  </si>
  <si>
    <t xml:space="preserve">Amor de 4 </t>
  </si>
  <si>
    <t xml:space="preserve">Amor sin maquillaje </t>
  </si>
  <si>
    <t xml:space="preserve">Amphibia </t>
  </si>
  <si>
    <t xml:space="preserve">An Idiot Abroad </t>
  </si>
  <si>
    <t xml:space="preserve">Ancient Aliens </t>
  </si>
  <si>
    <t xml:space="preserve">Andi Mack </t>
  </si>
  <si>
    <t xml:space="preserve">Andrew Marr's History of the World </t>
  </si>
  <si>
    <t xml:space="preserve">Andromeda </t>
  </si>
  <si>
    <t xml:space="preserve">Andy Shows </t>
  </si>
  <si>
    <t xml:space="preserve">Ang babaeng hinugot sa aking tadyang </t>
  </si>
  <si>
    <t xml:space="preserve">Angel </t>
  </si>
  <si>
    <t xml:space="preserve">Angelic Layer </t>
  </si>
  <si>
    <t xml:space="preserve">Anger Management </t>
  </si>
  <si>
    <t xml:space="preserve">Angie Tribeca </t>
  </si>
  <si>
    <t xml:space="preserve">Animal Armageddon </t>
  </si>
  <si>
    <t xml:space="preserve">Animal Kingdom </t>
  </si>
  <si>
    <t xml:space="preserve">Animaniacs </t>
  </si>
  <si>
    <t xml:space="preserve">Anime Abandon </t>
  </si>
  <si>
    <t xml:space="preserve">Anime-Gataris </t>
  </si>
  <si>
    <t xml:space="preserve">Anna </t>
  </si>
  <si>
    <t xml:space="preserve">Anna Sulc </t>
  </si>
  <si>
    <t xml:space="preserve">Annie Camel </t>
  </si>
  <si>
    <t xml:space="preserve">Annie Ki Ayegi Baraat </t>
  </si>
  <si>
    <t xml:space="preserve">Anohana: The Flower We Saw That Day </t>
  </si>
  <si>
    <t xml:space="preserve">Another </t>
  </si>
  <si>
    <t xml:space="preserve">Another Period </t>
  </si>
  <si>
    <t xml:space="preserve">Anthony Bourdain: Parts Unknown </t>
  </si>
  <si>
    <t xml:space="preserve">Any Day Now </t>
  </si>
  <si>
    <t xml:space="preserve">Anyone But Me </t>
  </si>
  <si>
    <t xml:space="preserve">Aqua Teen Hunger Force </t>
  </si>
  <si>
    <t xml:space="preserve">Aquarius </t>
  </si>
  <si>
    <t xml:space="preserve">Aquí no hay quien viva </t>
  </si>
  <si>
    <t xml:space="preserve">Arab Labor </t>
  </si>
  <si>
    <t xml:space="preserve">Arang and the Magistrate </t>
  </si>
  <si>
    <t xml:space="preserve">Archer </t>
  </si>
  <si>
    <t xml:space="preserve">Archie's Weird Mysteries </t>
  </si>
  <si>
    <t xml:space="preserve">Are You Afraid of the Dark? </t>
  </si>
  <si>
    <t xml:space="preserve">Are You the One? </t>
  </si>
  <si>
    <t xml:space="preserve">Area 88 </t>
  </si>
  <si>
    <t xml:space="preserve">Argai: The Prophecy </t>
  </si>
  <si>
    <t xml:space="preserve">Århundredets vidner </t>
  </si>
  <si>
    <t xml:space="preserve">Army Wives </t>
  </si>
  <si>
    <t xml:space="preserve">Around the World with Willy Fog </t>
  </si>
  <si>
    <t xml:space="preserve">Arrested Development </t>
  </si>
  <si>
    <t xml:space="preserve">Arrow </t>
  </si>
  <si>
    <t xml:space="preserve">Art of the Western World </t>
  </si>
  <si>
    <t xml:space="preserve">Artists at Work </t>
  </si>
  <si>
    <t xml:space="preserve">As Ilhas Desconhecidas </t>
  </si>
  <si>
    <t xml:space="preserve">As Time Goes By </t>
  </si>
  <si>
    <t xml:space="preserve">Ash vs Evil Dead </t>
  </si>
  <si>
    <t xml:space="preserve">Ashes to Ashes </t>
  </si>
  <si>
    <t xml:space="preserve">Así son ellas </t>
  </si>
  <si>
    <t xml:space="preserve">Asian Treasures </t>
  </si>
  <si>
    <t xml:space="preserve">ASMR Darling </t>
  </si>
  <si>
    <t xml:space="preserve">ASMR Melina </t>
  </si>
  <si>
    <t xml:space="preserve">ASMR Patronus </t>
  </si>
  <si>
    <t xml:space="preserve">Asmrbebexo </t>
  </si>
  <si>
    <t xml:space="preserve">Atashinchi no danshi </t>
  </si>
  <si>
    <t xml:space="preserve">ATL Homicide </t>
  </si>
  <si>
    <t xml:space="preserve">Atlantis </t>
  </si>
  <si>
    <t xml:space="preserve">Atom TV </t>
  </si>
  <si>
    <t xml:space="preserve">Attack on Titan </t>
  </si>
  <si>
    <t xml:space="preserve">Atypical </t>
  </si>
  <si>
    <t xml:space="preserve">Auf Wiedersehen, Pet </t>
  </si>
  <si>
    <t xml:space="preserve">Austin &amp; Ally </t>
  </si>
  <si>
    <t xml:space="preserve">Austintatious </t>
  </si>
  <si>
    <t xml:space="preserve">Australia's Next Top Model </t>
  </si>
  <si>
    <t xml:space="preserve">Australian Icon Towns </t>
  </si>
  <si>
    <t xml:space="preserve">Ava-Conda ASMR </t>
  </si>
  <si>
    <t xml:space="preserve">Avatar: The Last Airbender </t>
  </si>
  <si>
    <t xml:space="preserve">Avengers: United They Stand </t>
  </si>
  <si>
    <t xml:space="preserve">Average Joe </t>
  </si>
  <si>
    <t xml:space="preserve">Avoiding Armageddon </t>
  </si>
  <si>
    <t xml:space="preserve">Avonlea </t>
  </si>
  <si>
    <t xml:space="preserve">Awkward. </t>
  </si>
  <si>
    <t xml:space="preserve">Ax Men </t>
  </si>
  <si>
    <t xml:space="preserve">Ayza Atgawez </t>
  </si>
  <si>
    <t xml:space="preserve">Azumanga Daioh </t>
  </si>
  <si>
    <t xml:space="preserve">Babangon ako't dudurugin kita </t>
  </si>
  <si>
    <t xml:space="preserve">Babar </t>
  </si>
  <si>
    <t xml:space="preserve">Baby Daddy </t>
  </si>
  <si>
    <t xml:space="preserve">Baby Looney Tunes </t>
  </si>
  <si>
    <t xml:space="preserve">Babylon 5 </t>
  </si>
  <si>
    <t xml:space="preserve">Babylon Berlin </t>
  </si>
  <si>
    <t xml:space="preserve">Baccano! </t>
  </si>
  <si>
    <t xml:space="preserve">Bachelor in Paradise </t>
  </si>
  <si>
    <t xml:space="preserve">Bachelor Pad </t>
  </si>
  <si>
    <t xml:space="preserve">Back </t>
  </si>
  <si>
    <t xml:space="preserve">Back from the Dead </t>
  </si>
  <si>
    <t xml:space="preserve">Back of the Y Masterpiece Television </t>
  </si>
  <si>
    <t xml:space="preserve">Back Roads </t>
  </si>
  <si>
    <t xml:space="preserve">Back to the Future </t>
  </si>
  <si>
    <t xml:space="preserve">Back to the Peaceful Sea </t>
  </si>
  <si>
    <t xml:space="preserve">Bad Blood </t>
  </si>
  <si>
    <t xml:space="preserve">Bad Girls </t>
  </si>
  <si>
    <t xml:space="preserve">Bad Move </t>
  </si>
  <si>
    <t xml:space="preserve">Bailey Kipper's P.O.V. </t>
  </si>
  <si>
    <t xml:space="preserve">Bakekang </t>
  </si>
  <si>
    <t xml:space="preserve">Baki the Grappler </t>
  </si>
  <si>
    <t xml:space="preserve">Balika Vadhu </t>
  </si>
  <si>
    <t xml:space="preserve">Balkan ekspres </t>
  </si>
  <si>
    <t xml:space="preserve">Ballers </t>
  </si>
  <si>
    <t xml:space="preserve">Ballmastrz 9009 </t>
  </si>
  <si>
    <t xml:space="preserve">Balls of Steel Australia </t>
  </si>
  <si>
    <t xml:space="preserve">Bambinot </t>
  </si>
  <si>
    <t xml:space="preserve">Bananas in Pyjamas </t>
  </si>
  <si>
    <t xml:space="preserve">Bang </t>
  </si>
  <si>
    <t xml:space="preserve">Banned in the UK </t>
  </si>
  <si>
    <t xml:space="preserve">Banshee </t>
  </si>
  <si>
    <t xml:space="preserve">Baptist Spanish Language Course </t>
  </si>
  <si>
    <t xml:space="preserve">Bar Rescue </t>
  </si>
  <si>
    <t xml:space="preserve">Barbarians </t>
  </si>
  <si>
    <t xml:space="preserve">Barbarians Rising </t>
  </si>
  <si>
    <t xml:space="preserve">Bare Knuckle Fight Club </t>
  </si>
  <si>
    <t xml:space="preserve">Barefoot Contessa </t>
  </si>
  <si>
    <t xml:space="preserve">Bargain Hunt </t>
  </si>
  <si>
    <t xml:space="preserve">Baroness Von Sketch Show </t>
  </si>
  <si>
    <t xml:space="preserve">Barry </t>
  </si>
  <si>
    <t xml:space="preserve">Basilisk: The Kouga Ninja Scrolls </t>
  </si>
  <si>
    <t xml:space="preserve">Basketball Wives </t>
  </si>
  <si>
    <t xml:space="preserve">Bates Motel </t>
  </si>
  <si>
    <t xml:space="preserve">Batman Beyond </t>
  </si>
  <si>
    <t xml:space="preserve">Batman: The Animated Series </t>
  </si>
  <si>
    <t xml:space="preserve">Batman: The Brave and the Bold </t>
  </si>
  <si>
    <t xml:space="preserve">Battle Creek </t>
  </si>
  <si>
    <t xml:space="preserve">Battle History of the Air Force </t>
  </si>
  <si>
    <t xml:space="preserve">Battle History of the U. S. Coast Guard </t>
  </si>
  <si>
    <t xml:space="preserve">Battlestar Galactica </t>
  </si>
  <si>
    <t xml:space="preserve">Batwoman </t>
  </si>
  <si>
    <t xml:space="preserve">Baywatch </t>
  </si>
  <si>
    <t xml:space="preserve">Baywatch Nights </t>
  </si>
  <si>
    <t xml:space="preserve">BBQ Pitmasters </t>
  </si>
  <si>
    <t xml:space="preserve">Be Cool, Scooby-Doo! </t>
  </si>
  <si>
    <t xml:space="preserve">Bear Behaving Badly </t>
  </si>
  <si>
    <t xml:space="preserve">Bear Grylls: Mission Survive </t>
  </si>
  <si>
    <t xml:space="preserve">Bear's Mission With... </t>
  </si>
  <si>
    <t xml:space="preserve">Beast Machines: Transformers </t>
  </si>
  <si>
    <t xml:space="preserve">Beast Wars: Transformers </t>
  </si>
  <si>
    <t xml:space="preserve">BeastMaster </t>
  </si>
  <si>
    <t xml:space="preserve">Beat </t>
  </si>
  <si>
    <t xml:space="preserve">Beautiful People </t>
  </si>
  <si>
    <t xml:space="preserve">Beauty and the Geek </t>
  </si>
  <si>
    <t xml:space="preserve">Beauty Queen Murders </t>
  </si>
  <si>
    <t xml:space="preserve">Beavis and Butt-Head </t>
  </si>
  <si>
    <t xml:space="preserve">Becca's Bunch </t>
  </si>
  <si>
    <t xml:space="preserve">Beck </t>
  </si>
  <si>
    <t xml:space="preserve">Beck: Mongolian Chop Squad </t>
  </si>
  <si>
    <t xml:space="preserve">Becker </t>
  </si>
  <si>
    <t xml:space="preserve">Bedtime </t>
  </si>
  <si>
    <t xml:space="preserve">BeetleBorgs </t>
  </si>
  <si>
    <t xml:space="preserve">Beetlejuice </t>
  </si>
  <si>
    <t xml:space="preserve">Before We Die </t>
  </si>
  <si>
    <t xml:space="preserve">Before We Ruled the Earth </t>
  </si>
  <si>
    <t xml:space="preserve">Behind Closed Doors </t>
  </si>
  <si>
    <t xml:space="preserve">Behind the Music </t>
  </si>
  <si>
    <t xml:space="preserve">Being Human </t>
  </si>
  <si>
    <t xml:space="preserve">Being Mary Jane </t>
  </si>
  <si>
    <t xml:space="preserve">Believe </t>
  </si>
  <si>
    <t xml:space="preserve">Belíssima </t>
  </si>
  <si>
    <t xml:space="preserve">Belle and Sebastian </t>
  </si>
  <si>
    <t xml:space="preserve">Bellevue </t>
  </si>
  <si>
    <t xml:space="preserve">Below Deck </t>
  </si>
  <si>
    <t xml:space="preserve">Below the Surface </t>
  </si>
  <si>
    <t xml:space="preserve">Ben &amp; Holly's Little Kingdom </t>
  </si>
  <si>
    <t xml:space="preserve">Ben 10 </t>
  </si>
  <si>
    <t xml:space="preserve">Ben 10: Alien Force </t>
  </si>
  <si>
    <t xml:space="preserve">Ben and Kate </t>
  </si>
  <si>
    <t xml:space="preserve">Ben Slamka </t>
  </si>
  <si>
    <t xml:space="preserve">Beneath the Lies </t>
  </si>
  <si>
    <t xml:space="preserve">Berlin Station </t>
  </si>
  <si>
    <t xml:space="preserve">Berserk </t>
  </si>
  <si>
    <t xml:space="preserve">Bert </t>
  </si>
  <si>
    <t xml:space="preserve">Best Walks with a View with Julia Bradbury </t>
  </si>
  <si>
    <t xml:space="preserve">Bethel Church Live Webcast </t>
  </si>
  <si>
    <t xml:space="preserve">Betrayal </t>
  </si>
  <si>
    <t xml:space="preserve">Better Call Saul </t>
  </si>
  <si>
    <t xml:space="preserve">Better Things </t>
  </si>
  <si>
    <t xml:space="preserve">Bettkantengeschichten </t>
  </si>
  <si>
    <t xml:space="preserve">Betty White's Off Their Rockers </t>
  </si>
  <si>
    <t xml:space="preserve">Between the Lines </t>
  </si>
  <si>
    <t xml:space="preserve">Beverly Hills Nannies </t>
  </si>
  <si>
    <t xml:space="preserve">Beverly Hills, 90210 </t>
  </si>
  <si>
    <t xml:space="preserve">Beware the Batman </t>
  </si>
  <si>
    <t xml:space="preserve">Beyblade Burst </t>
  </si>
  <si>
    <t xml:space="preserve">Beyond Reality </t>
  </si>
  <si>
    <t xml:space="preserve">Beyond the Tank </t>
  </si>
  <si>
    <t xml:space="preserve">Beyond Wrestling Beyond Uncharted Territory </t>
  </si>
  <si>
    <t xml:space="preserve">Bharosa Pyar Tera </t>
  </si>
  <si>
    <t xml:space="preserve">Bible Black </t>
  </si>
  <si>
    <t xml:space="preserve">Bible Truth Church </t>
  </si>
  <si>
    <t xml:space="preserve">Big Barn Farm </t>
  </si>
  <si>
    <t xml:space="preserve">Big Brother </t>
  </si>
  <si>
    <t xml:space="preserve">Big City Comedy </t>
  </si>
  <si>
    <t xml:space="preserve">Big City Greens </t>
  </si>
  <si>
    <t xml:space="preserve">Big Fish </t>
  </si>
  <si>
    <t xml:space="preserve">Big Hero 6: The Series </t>
  </si>
  <si>
    <t xml:space="preserve">Big Little Lies </t>
  </si>
  <si>
    <t xml:space="preserve">Big Love </t>
  </si>
  <si>
    <t xml:space="preserve">Big Mouth </t>
  </si>
  <si>
    <t xml:space="preserve">Big Star's Bigger Star </t>
  </si>
  <si>
    <t xml:space="preserve">Big Train </t>
  </si>
  <si>
    <t xml:space="preserve">Bill &amp; Ted's Excellent Adventures </t>
  </si>
  <si>
    <t xml:space="preserve">Bill Nye, the Science Guy </t>
  </si>
  <si>
    <t xml:space="preserve">Billions </t>
  </si>
  <si>
    <t xml:space="preserve">Billy Dilley's Super-Duper Subterranean Summer </t>
  </si>
  <si>
    <t xml:space="preserve">Bionic Six </t>
  </si>
  <si>
    <t xml:space="preserve">Birds of Prey </t>
  </si>
  <si>
    <t xml:space="preserve">Bitten </t>
  </si>
  <si>
    <t xml:space="preserve">Bizaardvark </t>
  </si>
  <si>
    <t xml:space="preserve">Bizarre </t>
  </si>
  <si>
    <t xml:space="preserve">Bizarre Foods with Andrew Zimmern </t>
  </si>
  <si>
    <t xml:space="preserve">Black </t>
  </si>
  <si>
    <t xml:space="preserve">Black Adder the Third </t>
  </si>
  <si>
    <t xml:space="preserve">Black and White Love </t>
  </si>
  <si>
    <t xml:space="preserve">Black Books </t>
  </si>
  <si>
    <t xml:space="preserve">Black Butler </t>
  </si>
  <si>
    <t xml:space="preserve">Black Ink Crew </t>
  </si>
  <si>
    <t xml:space="preserve">Black Jesus </t>
  </si>
  <si>
    <t xml:space="preserve">Black Lagoon </t>
  </si>
  <si>
    <t xml:space="preserve">Black Lightning </t>
  </si>
  <si>
    <t xml:space="preserve">Black Mirror </t>
  </si>
  <si>
    <t xml:space="preserve">Black Monday </t>
  </si>
  <si>
    <t xml:space="preserve">Black Sails </t>
  </si>
  <si>
    <t xml:space="preserve">Black Scorpion </t>
  </si>
  <si>
    <t xml:space="preserve">Black Spot </t>
  </si>
  <si>
    <t xml:space="preserve">Black Tie Nights </t>
  </si>
  <si>
    <t xml:space="preserve">Black-Adder II </t>
  </si>
  <si>
    <t xml:space="preserve">Black-ish </t>
  </si>
  <si>
    <t xml:space="preserve">Blackadder Goes Forth </t>
  </si>
  <si>
    <t xml:space="preserve">Blacked </t>
  </si>
  <si>
    <t xml:space="preserve">Blackstar </t>
  </si>
  <si>
    <t xml:space="preserve">Blade: The Series </t>
  </si>
  <si>
    <t xml:space="preserve">Blaster's Universe </t>
  </si>
  <si>
    <t xml:space="preserve">Blaze and the Monster Machines </t>
  </si>
  <si>
    <t xml:space="preserve">Blind Date </t>
  </si>
  <si>
    <t xml:space="preserve">Blindspot </t>
  </si>
  <si>
    <t xml:space="preserve">Bliss </t>
  </si>
  <si>
    <t xml:space="preserve">Blood &amp; Oil </t>
  </si>
  <si>
    <t xml:space="preserve">Blood &amp; Treasure </t>
  </si>
  <si>
    <t xml:space="preserve">Blood and Honor: Youth Under Hitler </t>
  </si>
  <si>
    <t xml:space="preserve">Blood Drive </t>
  </si>
  <si>
    <t xml:space="preserve">Blood-C </t>
  </si>
  <si>
    <t xml:space="preserve">Blood+ </t>
  </si>
  <si>
    <t xml:space="preserve">Bloodivores </t>
  </si>
  <si>
    <t xml:space="preserve">Bloodline </t>
  </si>
  <si>
    <t xml:space="preserve">Bloomers </t>
  </si>
  <si>
    <t xml:space="preserve">Blossom </t>
  </si>
  <si>
    <t xml:space="preserve">Bludgeoning Angel Dokuro-chan </t>
  </si>
  <si>
    <t xml:space="preserve">Blue Bloods </t>
  </si>
  <si>
    <t xml:space="preserve">Blue Drop: Tenshi tachi no gikyoku </t>
  </si>
  <si>
    <t xml:space="preserve">Blue Gender </t>
  </si>
  <si>
    <t xml:space="preserve">Blue Wilderness </t>
  </si>
  <si>
    <t xml:space="preserve">Blue's Clues </t>
  </si>
  <si>
    <t xml:space="preserve">Bluestone 42 </t>
  </si>
  <si>
    <t xml:space="preserve">Bluewhisper </t>
  </si>
  <si>
    <t xml:space="preserve">Boardwalk Empire </t>
  </si>
  <si>
    <t xml:space="preserve">Bob &amp; Doug </t>
  </si>
  <si>
    <t xml:space="preserve">Bob &amp; Rose </t>
  </si>
  <si>
    <t xml:space="preserve">Bob the Builder </t>
  </si>
  <si>
    <t xml:space="preserve">Bob's Burgers </t>
  </si>
  <si>
    <t xml:space="preserve">Body Cam </t>
  </si>
  <si>
    <t xml:space="preserve">Body of Evidence </t>
  </si>
  <si>
    <t xml:space="preserve">Body of Proof </t>
  </si>
  <si>
    <t xml:space="preserve">Bodyguard </t>
  </si>
  <si>
    <t xml:space="preserve">Bodyshock.tv </t>
  </si>
  <si>
    <t xml:space="preserve">BoJack Horseman </t>
  </si>
  <si>
    <t xml:space="preserve">Boku wa Mari no naka </t>
  </si>
  <si>
    <t xml:space="preserve">Bomb Girls </t>
  </si>
  <si>
    <t xml:space="preserve">Bondi Vet </t>
  </si>
  <si>
    <t xml:space="preserve">Bonding </t>
  </si>
  <si>
    <t xml:space="preserve">Bones </t>
  </si>
  <si>
    <t xml:space="preserve">Boomtown </t>
  </si>
  <si>
    <t xml:space="preserve">Boon </t>
  </si>
  <si>
    <t xml:space="preserve">Borderline </t>
  </si>
  <si>
    <t xml:space="preserve">Bordertown </t>
  </si>
  <si>
    <t xml:space="preserve">Bored to Death </t>
  </si>
  <si>
    <t xml:space="preserve">Borgia </t>
  </si>
  <si>
    <t xml:space="preserve">Bosch </t>
  </si>
  <si>
    <t xml:space="preserve">Boss </t>
  </si>
  <si>
    <t xml:space="preserve">Boston Legal </t>
  </si>
  <si>
    <t xml:space="preserve">Boston Med </t>
  </si>
  <si>
    <t xml:space="preserve">Boston Public </t>
  </si>
  <si>
    <t xml:space="preserve">Botched </t>
  </si>
  <si>
    <t xml:space="preserve">Bottom </t>
  </si>
  <si>
    <t xml:space="preserve">Bounty Hunters </t>
  </si>
  <si>
    <t xml:space="preserve">Boy Meets Girl </t>
  </si>
  <si>
    <t xml:space="preserve">Boy Meets World </t>
  </si>
  <si>
    <t xml:space="preserve">Brain Games </t>
  </si>
  <si>
    <t xml:space="preserve">BrainDead </t>
  </si>
  <si>
    <t xml:space="preserve">Brainiac: Science Abuse </t>
  </si>
  <si>
    <t xml:space="preserve">Bramwell </t>
  </si>
  <si>
    <t xml:space="preserve">BraveStarr </t>
  </si>
  <si>
    <t xml:space="preserve">Brazil Avenue </t>
  </si>
  <si>
    <t xml:space="preserve">Bread </t>
  </si>
  <si>
    <t xml:space="preserve">Break'n Reality </t>
  </si>
  <si>
    <t xml:space="preserve">Breaking Amish </t>
  </si>
  <si>
    <t xml:space="preserve">Breaking Amish: LA </t>
  </si>
  <si>
    <t xml:space="preserve">Breaking Bad </t>
  </si>
  <si>
    <t xml:space="preserve">Breaking Homicide </t>
  </si>
  <si>
    <t xml:space="preserve">Breaking Pointe </t>
  </si>
  <si>
    <t xml:space="preserve">Breakout Kings </t>
  </si>
  <si>
    <t xml:space="preserve">Breakthrough: With Rod Parsley </t>
  </si>
  <si>
    <t xml:space="preserve">Brickleberry </t>
  </si>
  <si>
    <t xml:space="preserve">Bridal Mask </t>
  </si>
  <si>
    <t xml:space="preserve">Brides Gone Styled </t>
  </si>
  <si>
    <t xml:space="preserve">Bridezillas </t>
  </si>
  <si>
    <t xml:space="preserve">Brimstone </t>
  </si>
  <si>
    <t xml:space="preserve">Bring 'Em Back Alive </t>
  </si>
  <si>
    <t xml:space="preserve">Bring It! </t>
  </si>
  <si>
    <t xml:space="preserve">Brisani prostor </t>
  </si>
  <si>
    <t xml:space="preserve">Britain and Ireland's Next Top Model </t>
  </si>
  <si>
    <t xml:space="preserve">Britain's Best Bakery </t>
  </si>
  <si>
    <t xml:space="preserve">Britain's Brightest Family </t>
  </si>
  <si>
    <t xml:space="preserve">Britain's Got More Talent </t>
  </si>
  <si>
    <t xml:space="preserve">Britain's Got Talent </t>
  </si>
  <si>
    <t xml:space="preserve">Britain's Horror Homes </t>
  </si>
  <si>
    <t xml:space="preserve">Britannia </t>
  </si>
  <si>
    <t xml:space="preserve">British Masters </t>
  </si>
  <si>
    <t xml:space="preserve">British Men Behaving Badly </t>
  </si>
  <si>
    <t xml:space="preserve">British Primrose ASMR </t>
  </si>
  <si>
    <t xml:space="preserve">Broad City </t>
  </si>
  <si>
    <t xml:space="preserve">Broadchurch </t>
  </si>
  <si>
    <t xml:space="preserve">Brockmire </t>
  </si>
  <si>
    <t xml:space="preserve">Brojects </t>
  </si>
  <si>
    <t xml:space="preserve">Broken </t>
  </si>
  <si>
    <t xml:space="preserve">Broken Saints </t>
  </si>
  <si>
    <t xml:space="preserve">Bromans </t>
  </si>
  <si>
    <t xml:space="preserve">Bromwell High </t>
  </si>
  <si>
    <t xml:space="preserve">Brooklyn Bridge </t>
  </si>
  <si>
    <t xml:space="preserve">Brooklyn DA </t>
  </si>
  <si>
    <t xml:space="preserve">Brooklyn Nine-Nine </t>
  </si>
  <si>
    <t xml:space="preserve">Brother vs. Brother </t>
  </si>
  <si>
    <t xml:space="preserve">Brotherhood </t>
  </si>
  <si>
    <t xml:space="preserve">Brotherly Love </t>
  </si>
  <si>
    <t xml:space="preserve">Brothers &amp; Sisters </t>
  </si>
  <si>
    <t xml:space="preserve">Brynhildr in the Darkness </t>
  </si>
  <si>
    <t xml:space="preserve">Btooom! </t>
  </si>
  <si>
    <t xml:space="preserve">BTS: Burn the Stage </t>
  </si>
  <si>
    <t xml:space="preserve">Bucket and Skinner's Epic Adventures </t>
  </si>
  <si>
    <t xml:space="preserve">Buckwild </t>
  </si>
  <si>
    <t xml:space="preserve">Budapest to Bamako </t>
  </si>
  <si>
    <t xml:space="preserve">Buffy the Vampire Slayer </t>
  </si>
  <si>
    <t xml:space="preserve">Bug Juice </t>
  </si>
  <si>
    <t xml:space="preserve">Bull </t>
  </si>
  <si>
    <t xml:space="preserve">Bulletproof </t>
  </si>
  <si>
    <t xml:space="preserve">Bullseye </t>
  </si>
  <si>
    <t xml:space="preserve">Bullshit Quest </t>
  </si>
  <si>
    <t xml:space="preserve">Bunnicula </t>
  </si>
  <si>
    <t xml:space="preserve">Burden of Truth </t>
  </si>
  <si>
    <t xml:space="preserve">Burger Bar to Gourmet Star </t>
  </si>
  <si>
    <t xml:space="preserve">Burn Notice </t>
  </si>
  <si>
    <t xml:space="preserve">Burnistoun </t>
  </si>
  <si>
    <t xml:space="preserve">Buying the Beach </t>
  </si>
  <si>
    <t xml:space="preserve">Buzz Lightyear of Star Command </t>
  </si>
  <si>
    <t xml:space="preserve">BuzzFeed Unsolved: Supernatural </t>
  </si>
  <si>
    <t xml:space="preserve">Byker Grove </t>
  </si>
  <si>
    <t xml:space="preserve">Byzantium: The Lost Empire </t>
  </si>
  <si>
    <t xml:space="preserve">C.B. Strike </t>
  </si>
  <si>
    <t xml:space="preserve">Cagney &amp; Lacey </t>
  </si>
  <si>
    <t xml:space="preserve">Cake Boss </t>
  </si>
  <si>
    <t xml:space="preserve">Cake Boss: Next Great Baker </t>
  </si>
  <si>
    <t xml:space="preserve">Cake Wars </t>
  </si>
  <si>
    <t xml:space="preserve">California Dreams </t>
  </si>
  <si>
    <t xml:space="preserve">Californication </t>
  </si>
  <si>
    <t xml:space="preserve">Call of the Wildman </t>
  </si>
  <si>
    <t xml:space="preserve">Call the Cleaners </t>
  </si>
  <si>
    <t xml:space="preserve">Call the Midwife </t>
  </si>
  <si>
    <t xml:space="preserve">Camelot </t>
  </si>
  <si>
    <t xml:space="preserve">Camp </t>
  </si>
  <si>
    <t xml:space="preserve">Camp Lakebottom </t>
  </si>
  <si>
    <t xml:space="preserve">Camp Woodward </t>
  </si>
  <si>
    <t xml:space="preserve">Can't Touch This </t>
  </si>
  <si>
    <t xml:space="preserve">Candidly Nicole </t>
  </si>
  <si>
    <t xml:space="preserve">Capitol Critters </t>
  </si>
  <si>
    <t xml:space="preserve">Capitol Hill </t>
  </si>
  <si>
    <t xml:space="preserve">Caprica </t>
  </si>
  <si>
    <t xml:space="preserve">Captain Barbell </t>
  </si>
  <si>
    <t xml:space="preserve">Captain Flinn and the Pirate Dinosaurs </t>
  </si>
  <si>
    <t xml:space="preserve">Captain N: The Game Master </t>
  </si>
  <si>
    <t xml:space="preserve">Captain Planet and the Planeteers </t>
  </si>
  <si>
    <t xml:space="preserve">Captain Scarlet </t>
  </si>
  <si>
    <t xml:space="preserve">Capture </t>
  </si>
  <si>
    <t xml:space="preserve">Car S.O.S. </t>
  </si>
  <si>
    <t xml:space="preserve">Cardcaptor Sakura </t>
  </si>
  <si>
    <t xml:space="preserve">Cardinal </t>
  </si>
  <si>
    <t xml:space="preserve">Care Bears: Adventures in Care-A-Lot </t>
  </si>
  <si>
    <t xml:space="preserve">Care Bears: Welcome to Care-a-Lot </t>
  </si>
  <si>
    <t xml:space="preserve">Carfellas </t>
  </si>
  <si>
    <t xml:space="preserve">Caribbean Food Made Easy with Levi Roots </t>
  </si>
  <si>
    <t xml:space="preserve">Carmilla </t>
  </si>
  <si>
    <t xml:space="preserve">Carnival Row </t>
  </si>
  <si>
    <t xml:space="preserve">Carnivàle </t>
  </si>
  <si>
    <t xml:space="preserve">Carrie Kirsten </t>
  </si>
  <si>
    <t xml:space="preserve">Carter </t>
  </si>
  <si>
    <t xml:space="preserve">Carters Get Rich </t>
  </si>
  <si>
    <t xml:space="preserve">Cartoon Cartoon Fridays </t>
  </si>
  <si>
    <t xml:space="preserve">Cartouche, le brigand magnifique </t>
  </si>
  <si>
    <t xml:space="preserve">Casa Castagna </t>
  </si>
  <si>
    <t xml:space="preserve">Case Sensitive </t>
  </si>
  <si>
    <t xml:space="preserve">Casey Neistat Vlog </t>
  </si>
  <si>
    <t xml:space="preserve">Cash Trapped </t>
  </si>
  <si>
    <t xml:space="preserve">Cashmere Mafia </t>
  </si>
  <si>
    <t xml:space="preserve">Casino Life </t>
  </si>
  <si>
    <t xml:space="preserve">Castaways </t>
  </si>
  <si>
    <t xml:space="preserve">Castle </t>
  </si>
  <si>
    <t xml:space="preserve">Castle Rock </t>
  </si>
  <si>
    <t xml:space="preserve">Casualty </t>
  </si>
  <si>
    <t xml:space="preserve">Casualty @ Holby City </t>
  </si>
  <si>
    <t xml:space="preserve">Cat's Eye </t>
  </si>
  <si>
    <t xml:space="preserve">Catastrophe </t>
  </si>
  <si>
    <t xml:space="preserve">Catch My Killer </t>
  </si>
  <si>
    <t xml:space="preserve">Catfish: The TV Show </t>
  </si>
  <si>
    <t xml:space="preserve">Catholic Cheerleaders for Satan </t>
  </si>
  <si>
    <t xml:space="preserve">CBC Winnipeg Comedy Festival </t>
  </si>
  <si>
    <t xml:space="preserve">Celebrity Deathmatch </t>
  </si>
  <si>
    <t xml:space="preserve">Celebrity Wedding Planner </t>
  </si>
  <si>
    <t xml:space="preserve">Celebrity Wife Swap </t>
  </si>
  <si>
    <t xml:space="preserve">Celebs Go Dating </t>
  </si>
  <si>
    <t xml:space="preserve">Celebs in Solitary </t>
  </si>
  <si>
    <t xml:space="preserve">Centurions </t>
  </si>
  <si>
    <t xml:space="preserve">Cesar 911 </t>
  </si>
  <si>
    <t xml:space="preserve">Cetrdeset osmaZavera i izdaja </t>
  </si>
  <si>
    <t xml:space="preserve">Chalice Well: Lifestyle Space </t>
  </si>
  <si>
    <t xml:space="preserve">Challenge of the GoBots </t>
  </si>
  <si>
    <t xml:space="preserve">Chambers </t>
  </si>
  <si>
    <t xml:space="preserve">Champions </t>
  </si>
  <si>
    <t xml:space="preserve">Chance </t>
  </si>
  <si>
    <t xml:space="preserve">Chappelle's Show </t>
  </si>
  <si>
    <t xml:space="preserve">Charles in Charge </t>
  </si>
  <si>
    <t xml:space="preserve">Charli Robinson Hi-5 Feet Compilation </t>
  </si>
  <si>
    <t xml:space="preserve">Charmed </t>
  </si>
  <si>
    <t xml:space="preserve">Charming Deception </t>
  </si>
  <si>
    <t xml:space="preserve">Chasing Mummies </t>
  </si>
  <si>
    <t xml:space="preserve">Cheers </t>
  </si>
  <si>
    <t xml:space="preserve">Chef's Table </t>
  </si>
  <si>
    <t xml:space="preserve">Chef's Table: France </t>
  </si>
  <si>
    <t xml:space="preserve">Chelsea Does </t>
  </si>
  <si>
    <t xml:space="preserve">Chesapeake Shores </t>
  </si>
  <si>
    <t xml:space="preserve">Chespirito </t>
  </si>
  <si>
    <t xml:space="preserve">Chicago Fire </t>
  </si>
  <si>
    <t xml:space="preserve">Chicago Hope </t>
  </si>
  <si>
    <t xml:space="preserve">Chicago Justice </t>
  </si>
  <si>
    <t xml:space="preserve">Chicago P.D. </t>
  </si>
  <si>
    <t xml:space="preserve">Childrens Hospital </t>
  </si>
  <si>
    <t xml:space="preserve">Chilling Adventures of Sabrina </t>
  </si>
  <si>
    <t xml:space="preserve">Chiquititas </t>
  </si>
  <si>
    <t xml:space="preserve">Chiquititas Brasil </t>
  </si>
  <si>
    <t xml:space="preserve">Chobits </t>
  </si>
  <si>
    <t xml:space="preserve">Chocolate News </t>
  </si>
  <si>
    <t xml:space="preserve">Choctaw Church of Christ </t>
  </si>
  <si>
    <t xml:space="preserve">Chopped </t>
  </si>
  <si>
    <t xml:space="preserve">Chowder </t>
  </si>
  <si>
    <t xml:space="preserve">Chrono Crusade </t>
  </si>
  <si>
    <t xml:space="preserve">Chuck </t>
  </si>
  <si>
    <t xml:space="preserve">Chuck Norris: Karate Kommandos </t>
  </si>
  <si>
    <t xml:space="preserve">Cinemassacre's Monster Madness </t>
  </si>
  <si>
    <t xml:space="preserve">Citrus </t>
  </si>
  <si>
    <t xml:space="preserve">City Homicide </t>
  </si>
  <si>
    <t xml:space="preserve">City on a Hill </t>
  </si>
  <si>
    <t xml:space="preserve">Civil War Combat: America's Bloodiest Battles </t>
  </si>
  <si>
    <t xml:space="preserve">Clannad </t>
  </si>
  <si>
    <t xml:space="preserve">Clarissa </t>
  </si>
  <si>
    <t xml:space="preserve">Clarissa Explains It All </t>
  </si>
  <si>
    <t xml:space="preserve">Clark and Michael </t>
  </si>
  <si>
    <t xml:space="preserve">Clatterford </t>
  </si>
  <si>
    <t xml:space="preserve">Claws </t>
  </si>
  <si>
    <t xml:space="preserve">Claymore </t>
  </si>
  <si>
    <t xml:space="preserve">Clerks </t>
  </si>
  <si>
    <t xml:space="preserve">Clever Girl </t>
  </si>
  <si>
    <t xml:space="preserve">Cleverman </t>
  </si>
  <si>
    <t xml:space="preserve">Clinic </t>
  </si>
  <si>
    <t xml:space="preserve">Clocking Off </t>
  </si>
  <si>
    <t xml:space="preserve">Clone High </t>
  </si>
  <si>
    <t xml:space="preserve">Club Reps </t>
  </si>
  <si>
    <t xml:space="preserve">Clueless </t>
  </si>
  <si>
    <t xml:space="preserve">Coach Snoop </t>
  </si>
  <si>
    <t xml:space="preserve">Cobra </t>
  </si>
  <si>
    <t xml:space="preserve">Cobra Kai </t>
  </si>
  <si>
    <t xml:space="preserve">Cobra the Animation </t>
  </si>
  <si>
    <t xml:space="preserve">Cock'd Gunns </t>
  </si>
  <si>
    <t xml:space="preserve">Code Geass: Lelouch of the Rebellion </t>
  </si>
  <si>
    <t xml:space="preserve">Coded Court </t>
  </si>
  <si>
    <t xml:space="preserve">Codename: Kids Next Door </t>
  </si>
  <si>
    <t xml:space="preserve">Coinland </t>
  </si>
  <si>
    <t xml:space="preserve">Cold Case </t>
  </si>
  <si>
    <t xml:space="preserve">Cold Justice </t>
  </si>
  <si>
    <t xml:space="preserve">Cold Justice: Sex Crimes </t>
  </si>
  <si>
    <t xml:space="preserve">Cold Walls </t>
  </si>
  <si>
    <t xml:space="preserve">Colleen Ballinger </t>
  </si>
  <si>
    <t xml:space="preserve">Colleen Vlogs </t>
  </si>
  <si>
    <t xml:space="preserve">Collierville First Pentecostal Church </t>
  </si>
  <si>
    <t xml:space="preserve">Colony </t>
  </si>
  <si>
    <t xml:space="preserve">Colpo grosso </t>
  </si>
  <si>
    <t xml:space="preserve">Combat Hospital </t>
  </si>
  <si>
    <t xml:space="preserve">Come Home </t>
  </si>
  <si>
    <t xml:space="preserve">Comeback </t>
  </si>
  <si>
    <t xml:space="preserve">Comedy Central Presents </t>
  </si>
  <si>
    <t xml:space="preserve">Comedy Inc. </t>
  </si>
  <si>
    <t xml:space="preserve">Comedy Now! </t>
  </si>
  <si>
    <t xml:space="preserve">Commander in Chief </t>
  </si>
  <si>
    <t xml:space="preserve">Community </t>
  </si>
  <si>
    <t xml:space="preserve">Compañeros </t>
  </si>
  <si>
    <t xml:space="preserve">Cómplices al rescate </t>
  </si>
  <si>
    <t xml:space="preserve">Computerman </t>
  </si>
  <si>
    <t xml:space="preserve">Conan </t>
  </si>
  <si>
    <t xml:space="preserve">Conan: The Adventurer </t>
  </si>
  <si>
    <t xml:space="preserve">Confab </t>
  </si>
  <si>
    <t xml:space="preserve">Connie &amp; Clyde </t>
  </si>
  <si>
    <t xml:space="preserve">Connor Undercover </t>
  </si>
  <si>
    <t xml:space="preserve">Conspiracy Theory with Jesse Ventura </t>
  </si>
  <si>
    <t xml:space="preserve">Constantine </t>
  </si>
  <si>
    <t xml:space="preserve">Content Cop </t>
  </si>
  <si>
    <t xml:space="preserve">Contessa </t>
  </si>
  <si>
    <t xml:space="preserve">Continuum </t>
  </si>
  <si>
    <t xml:space="preserve">CooRdy </t>
  </si>
  <si>
    <t xml:space="preserve">Copper </t>
  </si>
  <si>
    <t xml:space="preserve">Cops </t>
  </si>
  <si>
    <t xml:space="preserve">Cops UK: Bodycam Squad </t>
  </si>
  <si>
    <t xml:space="preserve">Copycat Killers </t>
  </si>
  <si>
    <t xml:space="preserve">Cordon </t>
  </si>
  <si>
    <t xml:space="preserve">Corner Gas </t>
  </si>
  <si>
    <t xml:space="preserve">Corrupt Crimes </t>
  </si>
  <si>
    <t xml:space="preserve">Costa del Dosh </t>
  </si>
  <si>
    <t xml:space="preserve">Count Arthur Strong </t>
  </si>
  <si>
    <t xml:space="preserve">Count Duckula </t>
  </si>
  <si>
    <t xml:space="preserve">Countdown </t>
  </si>
  <si>
    <t xml:space="preserve">Countdown: Championship of Champions </t>
  </si>
  <si>
    <t xml:space="preserve">Counterfeit Cat </t>
  </si>
  <si>
    <t xml:space="preserve">Counterpart </t>
  </si>
  <si>
    <t xml:space="preserve">Coupled </t>
  </si>
  <si>
    <t xml:space="preserve">Couples Come Dine with Me </t>
  </si>
  <si>
    <t xml:space="preserve">Coupling </t>
  </si>
  <si>
    <t xml:space="preserve">Courage the Cowardly Dog </t>
  </si>
  <si>
    <t xml:space="preserve">Covert Affairs </t>
  </si>
  <si>
    <t xml:space="preserve">Cowboy Bebop </t>
  </si>
  <si>
    <t xml:space="preserve">Cra$h &amp; Burn </t>
  </si>
  <si>
    <t xml:space="preserve">Cracker </t>
  </si>
  <si>
    <t xml:space="preserve">Craig of the Creek </t>
  </si>
  <si>
    <t xml:space="preserve">Crashing </t>
  </si>
  <si>
    <t xml:space="preserve">Craziest Restaurants in America </t>
  </si>
  <si>
    <t xml:space="preserve">Crazy Ex-Girlfriend </t>
  </si>
  <si>
    <t xml:space="preserve">Creation Boot Camp </t>
  </si>
  <si>
    <t xml:space="preserve">Creation Seminar </t>
  </si>
  <si>
    <t xml:space="preserve">Creature Comforts </t>
  </si>
  <si>
    <t xml:space="preserve">Creeped Out </t>
  </si>
  <si>
    <t xml:space="preserve">Crime 360 </t>
  </si>
  <si>
    <t xml:space="preserve">Crime Stories </t>
  </si>
  <si>
    <t xml:space="preserve">Criminal Minds </t>
  </si>
  <si>
    <t xml:space="preserve">Criminal Minds: Beyond Borders </t>
  </si>
  <si>
    <t xml:space="preserve">Criminal Minds: Suspect Behavior </t>
  </si>
  <si>
    <t xml:space="preserve">Criminals: Caught on Camera </t>
  </si>
  <si>
    <t xml:space="preserve">Crisis </t>
  </si>
  <si>
    <t xml:space="preserve">Cro </t>
  </si>
  <si>
    <t xml:space="preserve">Crossing Jordan </t>
  </si>
  <si>
    <t xml:space="preserve">Crossing Lines </t>
  </si>
  <si>
    <t xml:space="preserve">Cruising with Jane McDonald </t>
  </si>
  <si>
    <t xml:space="preserve">Crusoe </t>
  </si>
  <si>
    <t xml:space="preserve">CSE Bible Studies </t>
  </si>
  <si>
    <t xml:space="preserve">CSI: Crime Scene Investigation </t>
  </si>
  <si>
    <t xml:space="preserve">CSI: Cyber </t>
  </si>
  <si>
    <t xml:space="preserve">CSI: Miami </t>
  </si>
  <si>
    <t xml:space="preserve">CSI: NY </t>
  </si>
  <si>
    <t xml:space="preserve">Cuckoo </t>
  </si>
  <si>
    <t xml:space="preserve">Cupcake Wars </t>
  </si>
  <si>
    <t xml:space="preserve">Curb Your Enthusiasm </t>
  </si>
  <si>
    <t xml:space="preserve">Curfew </t>
  </si>
  <si>
    <t xml:space="preserve">Curiosity </t>
  </si>
  <si>
    <t xml:space="preserve">Curious and Unusual Deaths </t>
  </si>
  <si>
    <t xml:space="preserve">Curious George </t>
  </si>
  <si>
    <t xml:space="preserve">Curl Girls </t>
  </si>
  <si>
    <t xml:space="preserve">Cutebunny992 ASMR </t>
  </si>
  <si>
    <t xml:space="preserve">Cutting It </t>
  </si>
  <si>
    <t xml:space="preserve">Cyber Secrets </t>
  </si>
  <si>
    <t xml:space="preserve">Cyberchase </t>
  </si>
  <si>
    <t xml:space="preserve">Cybill </t>
  </si>
  <si>
    <t xml:space="preserve">Da Vinci's Demons </t>
  </si>
  <si>
    <t xml:space="preserve">Dabing Street </t>
  </si>
  <si>
    <t xml:space="preserve">Dallas Cowboys Cheerleaders: Making the Team </t>
  </si>
  <si>
    <t xml:space="preserve">Dalziel and Pascoe </t>
  </si>
  <si>
    <t xml:space="preserve">Dáma a Král </t>
  </si>
  <si>
    <t xml:space="preserve">Damnation </t>
  </si>
  <si>
    <t xml:space="preserve">Dance Academy </t>
  </si>
  <si>
    <t xml:space="preserve">Dance Moms </t>
  </si>
  <si>
    <t xml:space="preserve">Dancing with the Stars </t>
  </si>
  <si>
    <t xml:space="preserve">Danger Mouse </t>
  </si>
  <si>
    <t xml:space="preserve">Dangerfield </t>
  </si>
  <si>
    <t xml:space="preserve">Daniel Tiger's Neighborhood </t>
  </si>
  <si>
    <t xml:space="preserve">Daniel Xavier </t>
  </si>
  <si>
    <t xml:space="preserve">Danny Phantom </t>
  </si>
  <si>
    <t xml:space="preserve">Dante's Cove </t>
  </si>
  <si>
    <t xml:space="preserve">Dara O Briain: School of Hard Sums </t>
  </si>
  <si>
    <t xml:space="preserve">Daredevil </t>
  </si>
  <si>
    <t xml:space="preserve">Daria </t>
  </si>
  <si>
    <t xml:space="preserve">Dark </t>
  </si>
  <si>
    <t xml:space="preserve">Dark Angel </t>
  </si>
  <si>
    <t xml:space="preserve">Dark Days in Monkey City </t>
  </si>
  <si>
    <t xml:space="preserve">Dark Matter </t>
  </si>
  <si>
    <t xml:space="preserve">Dark Matters: Twisted But True </t>
  </si>
  <si>
    <t xml:space="preserve">Dark Net </t>
  </si>
  <si>
    <t xml:space="preserve">Dark Shadows </t>
  </si>
  <si>
    <t xml:space="preserve">Dark Skies </t>
  </si>
  <si>
    <t xml:space="preserve">Darker Than Black: Gemini of the Meteor </t>
  </si>
  <si>
    <t xml:space="preserve">Darkwing Duck </t>
  </si>
  <si>
    <t xml:space="preserve">DARLING in the FRANXX </t>
  </si>
  <si>
    <t xml:space="preserve">Darna </t>
  </si>
  <si>
    <t xml:space="preserve">Das Boot </t>
  </si>
  <si>
    <t xml:space="preserve">Datel </t>
  </si>
  <si>
    <t xml:space="preserve">Dates from Hell </t>
  </si>
  <si>
    <t xml:space="preserve">Dating in the Dark </t>
  </si>
  <si>
    <t xml:space="preserve">David Makes Man </t>
  </si>
  <si>
    <t xml:space="preserve">Dawson's Creek </t>
  </si>
  <si>
    <t xml:space="preserve">Day Break </t>
  </si>
  <si>
    <t xml:space="preserve">DC Super Hero Girls </t>
  </si>
  <si>
    <t xml:space="preserve">DC's Legends of Tomorrow </t>
  </si>
  <si>
    <t xml:space="preserve">DCI Banks </t>
  </si>
  <si>
    <t xml:space="preserve">De la B a la Z </t>
  </si>
  <si>
    <t xml:space="preserve">Dead at 21 </t>
  </si>
  <si>
    <t xml:space="preserve">Dead Like Me </t>
  </si>
  <si>
    <t xml:space="preserve">Dead Man's Gun </t>
  </si>
  <si>
    <t xml:space="preserve">Dead of Summer </t>
  </si>
  <si>
    <t xml:space="preserve">Dead Silent </t>
  </si>
  <si>
    <t xml:space="preserve">Dead to Me </t>
  </si>
  <si>
    <t xml:space="preserve">Deadbeat </t>
  </si>
  <si>
    <t xml:space="preserve">Deadliest Catch </t>
  </si>
  <si>
    <t xml:space="preserve">Deadline: Crime with Tamron Hall </t>
  </si>
  <si>
    <t xml:space="preserve">Deadly Affairs </t>
  </si>
  <si>
    <t xml:space="preserve">Deadly Nightmares </t>
  </si>
  <si>
    <t xml:space="preserve">Deadly Rain </t>
  </si>
  <si>
    <t xml:space="preserve">Deadly Sins </t>
  </si>
  <si>
    <t xml:space="preserve">Deadly Women </t>
  </si>
  <si>
    <t xml:space="preserve">Deadwind </t>
  </si>
  <si>
    <t xml:space="preserve">Deadwood </t>
  </si>
  <si>
    <t xml:space="preserve">Deal with It </t>
  </si>
  <si>
    <t xml:space="preserve">Dear White People </t>
  </si>
  <si>
    <t xml:space="preserve">Death in Paradise </t>
  </si>
  <si>
    <t xml:space="preserve">Death Note </t>
  </si>
  <si>
    <t xml:space="preserve">Deathly Spirits </t>
  </si>
  <si>
    <t xml:space="preserve">Decker </t>
  </si>
  <si>
    <t xml:space="preserve">Decoded </t>
  </si>
  <si>
    <t xml:space="preserve">Deep State </t>
  </si>
  <si>
    <t xml:space="preserve">Defending the Guilty </t>
  </si>
  <si>
    <t xml:space="preserve">Defiance </t>
  </si>
  <si>
    <t xml:space="preserve">Defying Gravity </t>
  </si>
  <si>
    <t xml:space="preserve">Degrassi High </t>
  </si>
  <si>
    <t xml:space="preserve">Degrassi: The Next Generation </t>
  </si>
  <si>
    <t xml:space="preserve">Dejiny udatného ceského národa </t>
  </si>
  <si>
    <t xml:space="preserve">Delicious </t>
  </si>
  <si>
    <t xml:space="preserve">Deliver Me </t>
  </si>
  <si>
    <t xml:space="preserve">Delocated </t>
  </si>
  <si>
    <t xml:space="preserve">Dendy Memories </t>
  </si>
  <si>
    <t xml:space="preserve">Dennis &amp; Gnasher </t>
  </si>
  <si>
    <t xml:space="preserve">Dennis the Menace </t>
  </si>
  <si>
    <t xml:space="preserve">Derek Acorah's Ghost Towns </t>
  </si>
  <si>
    <t xml:space="preserve">Derek and Simon: The Show </t>
  </si>
  <si>
    <t xml:space="preserve">Derren Brown: Trick of the Mind </t>
  </si>
  <si>
    <t xml:space="preserve">Derry Girls </t>
  </si>
  <si>
    <t xml:space="preserve">Designated Survivor </t>
  </si>
  <si>
    <t xml:space="preserve">Desiring God </t>
  </si>
  <si>
    <t xml:space="preserve">Desperate Housewives </t>
  </si>
  <si>
    <t xml:space="preserve">Destinos: An Introduction to Spanish </t>
  </si>
  <si>
    <t xml:space="preserve">Destiny Love </t>
  </si>
  <si>
    <t xml:space="preserve">Destiny of the Shrine Maiden </t>
  </si>
  <si>
    <t xml:space="preserve">Det gode liv </t>
  </si>
  <si>
    <t xml:space="preserve">Detective Conan </t>
  </si>
  <si>
    <t xml:space="preserve">Detectorists </t>
  </si>
  <si>
    <t xml:space="preserve">Deteqtivebi </t>
  </si>
  <si>
    <t xml:space="preserve">Deutschland 83 </t>
  </si>
  <si>
    <t xml:space="preserve">Deutschland 86 </t>
  </si>
  <si>
    <t xml:space="preserve">Development Hell </t>
  </si>
  <si>
    <t xml:space="preserve">Devious Maids </t>
  </si>
  <si>
    <t xml:space="preserve">Dexter </t>
  </si>
  <si>
    <t xml:space="preserve">Dexter's Laboratory </t>
  </si>
  <si>
    <t xml:space="preserve">Dharma &amp; Greg </t>
  </si>
  <si>
    <t xml:space="preserve">Di Gi Charat Nyo </t>
  </si>
  <si>
    <t xml:space="preserve">Diablero </t>
  </si>
  <si>
    <t xml:space="preserve">Diagnosis Murder </t>
  </si>
  <si>
    <t xml:space="preserve">Dial 4 Detective </t>
  </si>
  <si>
    <t xml:space="preserve">Diaries from Wonderland </t>
  </si>
  <si>
    <t xml:space="preserve">Dickens </t>
  </si>
  <si>
    <t xml:space="preserve">Dickensian </t>
  </si>
  <si>
    <t xml:space="preserve">Dickinson </t>
  </si>
  <si>
    <t xml:space="preserve">Dickinson's Real Deal </t>
  </si>
  <si>
    <t xml:space="preserve">Dicte: Crime Reporter </t>
  </si>
  <si>
    <t xml:space="preserve">Diddy Movies </t>
  </si>
  <si>
    <t xml:space="preserve">Die FallersEine Schwarzwaldfamilie </t>
  </si>
  <si>
    <t xml:space="preserve">Diese Drombuschs </t>
  </si>
  <si>
    <t xml:space="preserve">Dietland </t>
  </si>
  <si>
    <t xml:space="preserve">Digby Dragon </t>
  </si>
  <si>
    <t xml:space="preserve">Digimon: Digital Monsters </t>
  </si>
  <si>
    <t xml:space="preserve">Dil Kya Karay </t>
  </si>
  <si>
    <t xml:space="preserve">Dilbert </t>
  </si>
  <si>
    <t xml:space="preserve">Dimension 404 </t>
  </si>
  <si>
    <t xml:space="preserve">Diners, Drive-ins and Dives </t>
  </si>
  <si>
    <t xml:space="preserve">Dinner at Tiffani's </t>
  </si>
  <si>
    <t xml:space="preserve">Dinner Date </t>
  </si>
  <si>
    <t xml:space="preserve">Dinnerladies </t>
  </si>
  <si>
    <t xml:space="preserve">Dino Dan </t>
  </si>
  <si>
    <t xml:space="preserve">Dinosaur King </t>
  </si>
  <si>
    <t xml:space="preserve">Dinosaur Train </t>
  </si>
  <si>
    <t xml:space="preserve">Dinosaurs </t>
  </si>
  <si>
    <t xml:space="preserve">Dinotopia </t>
  </si>
  <si>
    <t xml:space="preserve">Dinotrux </t>
  </si>
  <si>
    <t xml:space="preserve">Dirty Jobs </t>
  </si>
  <si>
    <t xml:space="preserve">Dirty John </t>
  </si>
  <si>
    <t xml:space="preserve">Dirty Money </t>
  </si>
  <si>
    <t xml:space="preserve">Dirty Sanchez </t>
  </si>
  <si>
    <t xml:space="preserve">Dirty Santa </t>
  </si>
  <si>
    <t xml:space="preserve">Disappeared </t>
  </si>
  <si>
    <t xml:space="preserve">Discovery TRVLR </t>
  </si>
  <si>
    <t xml:space="preserve">Disney's Fairy Tale Weddings </t>
  </si>
  <si>
    <t xml:space="preserve">Divorce </t>
  </si>
  <si>
    <t xml:space="preserve">Do No Harm </t>
  </si>
  <si>
    <t xml:space="preserve">Do Not Forget </t>
  </si>
  <si>
    <t xml:space="preserve">Doble kara </t>
  </si>
  <si>
    <t xml:space="preserve">Doc McStuffins </t>
  </si>
  <si>
    <t xml:space="preserve">Doctor Doctor </t>
  </si>
  <si>
    <t xml:space="preserve">Doctor Foster </t>
  </si>
  <si>
    <t xml:space="preserve">Doctor Who </t>
  </si>
  <si>
    <t xml:space="preserve">Doctor Who: Devious </t>
  </si>
  <si>
    <t xml:space="preserve">Does Someone Have to Go? </t>
  </si>
  <si>
    <t xml:space="preserve">Dog Bites Man </t>
  </si>
  <si>
    <t xml:space="preserve">Dog Whisperer with Cesar Millan </t>
  </si>
  <si>
    <t xml:space="preserve">Dog with a Blog </t>
  </si>
  <si>
    <t xml:space="preserve">Doggy Fizzle Televizzle </t>
  </si>
  <si>
    <t xml:space="preserve">Dogs in the City </t>
  </si>
  <si>
    <t xml:space="preserve">Doktor Martin </t>
  </si>
  <si>
    <t xml:space="preserve">Dolgaya doroga v dyunakh </t>
  </si>
  <si>
    <t xml:space="preserve">Dollface </t>
  </si>
  <si>
    <t xml:space="preserve">Dollhouse </t>
  </si>
  <si>
    <t xml:space="preserve">Dolmen </t>
  </si>
  <si>
    <t xml:space="preserve">Domi Novak </t>
  </si>
  <si>
    <t xml:space="preserve">Dominion </t>
  </si>
  <si>
    <t xml:space="preserve">Don't Be Tardy... </t>
  </si>
  <si>
    <t xml:space="preserve">Don't mess with an angel </t>
  </si>
  <si>
    <t xml:space="preserve">Don't Tell the Bride </t>
  </si>
  <si>
    <t xml:space="preserve">Doogie Howser, M.D. </t>
  </si>
  <si>
    <t xml:space="preserve">Doom Patrol </t>
  </si>
  <si>
    <t xml:space="preserve">Dope </t>
  </si>
  <si>
    <t xml:space="preserve">Dora the Explorer </t>
  </si>
  <si>
    <t xml:space="preserve">Doraemon </t>
  </si>
  <si>
    <t xml:space="preserve">Dormitoryo </t>
  </si>
  <si>
    <t xml:space="preserve">Dorothy and the Wizard of Oz </t>
  </si>
  <si>
    <t xml:space="preserve">Dotto! Koni-chan </t>
  </si>
  <si>
    <t xml:space="preserve">Double Exposure </t>
  </si>
  <si>
    <t xml:space="preserve">Double Your House for Half the Money </t>
  </si>
  <si>
    <t xml:space="preserve">Down to Earth </t>
  </si>
  <si>
    <t xml:space="preserve">Downton Abbey </t>
  </si>
  <si>
    <t xml:space="preserve">Dr. 90210 </t>
  </si>
  <si>
    <t xml:space="preserve">Dr. Kent Hovind Q&amp;A </t>
  </si>
  <si>
    <t xml:space="preserve">Dr. Pimple Popper </t>
  </si>
  <si>
    <t xml:space="preserve">Dr. Slump </t>
  </si>
  <si>
    <t xml:space="preserve">Dracula </t>
  </si>
  <si>
    <t xml:space="preserve">Dragon Ball </t>
  </si>
  <si>
    <t xml:space="preserve">Dragon Ball Super </t>
  </si>
  <si>
    <t xml:space="preserve">Dragon Ball Z </t>
  </si>
  <si>
    <t xml:space="preserve">Dragon Flyz </t>
  </si>
  <si>
    <t xml:space="preserve">Drake &amp; Josh </t>
  </si>
  <si>
    <t xml:space="preserve">Drawn Together </t>
  </si>
  <si>
    <t xml:space="preserve">Dream High </t>
  </si>
  <si>
    <t xml:space="preserve">Drive </t>
  </si>
  <si>
    <t xml:space="preserve">Drive in </t>
  </si>
  <si>
    <t xml:space="preserve">Drop Dead Diva </t>
  </si>
  <si>
    <t xml:space="preserve">Drug Lords </t>
  </si>
  <si>
    <t xml:space="preserve">Drugs, Inc. </t>
  </si>
  <si>
    <t xml:space="preserve">Drunk History </t>
  </si>
  <si>
    <t xml:space="preserve">Duck Dodgers </t>
  </si>
  <si>
    <t xml:space="preserve">Duckie </t>
  </si>
  <si>
    <t xml:space="preserve">Duckman: Private Dick/Family Man </t>
  </si>
  <si>
    <t xml:space="preserve">DuckTales </t>
  </si>
  <si>
    <t xml:space="preserve">Duel Masters </t>
  </si>
  <si>
    <t xml:space="preserve">Duets </t>
  </si>
  <si>
    <t xml:space="preserve">Dungeons &amp; Dragons </t>
  </si>
  <si>
    <t xml:space="preserve">Durarara!! </t>
  </si>
  <si>
    <t xml:space="preserve">Durham County </t>
  </si>
  <si>
    <t xml:space="preserve">Duty of Facebook </t>
  </si>
  <si>
    <t xml:space="preserve">Dva tátové </t>
  </si>
  <si>
    <t xml:space="preserve">Dying to Belong </t>
  </si>
  <si>
    <t xml:space="preserve">Dynamo: Magician Impossible </t>
  </si>
  <si>
    <t xml:space="preserve">Dynasty </t>
  </si>
  <si>
    <t xml:space="preserve">E! True Hollywood Story </t>
  </si>
  <si>
    <t xml:space="preserve">E/R </t>
  </si>
  <si>
    <t xml:space="preserve">EastEnders </t>
  </si>
  <si>
    <t xml:space="preserve">Eastsiders </t>
  </si>
  <si>
    <t xml:space="preserve">Eaux troubles du crime </t>
  </si>
  <si>
    <t xml:space="preserve">ECW Wrestling TNN </t>
  </si>
  <si>
    <t xml:space="preserve">Ed </t>
  </si>
  <si>
    <t xml:space="preserve">Ed, Edd n Eddy </t>
  </si>
  <si>
    <t xml:space="preserve">Eda, ya lyublyu tebya! </t>
  </si>
  <si>
    <t xml:space="preserve">Eden </t>
  </si>
  <si>
    <t xml:space="preserve">Eden of the East </t>
  </si>
  <si>
    <t xml:space="preserve">Eden's Bowy </t>
  </si>
  <si>
    <t xml:space="preserve">Edge of Desire </t>
  </si>
  <si>
    <t xml:space="preserve">El auténtico Rodrigo Leal </t>
  </si>
  <si>
    <t xml:space="preserve">El Cazador de la Bruja </t>
  </si>
  <si>
    <t xml:space="preserve">El Chapo </t>
  </si>
  <si>
    <t xml:space="preserve">El Peyero Enmascarado </t>
  </si>
  <si>
    <t xml:space="preserve">El privilegio de amar </t>
  </si>
  <si>
    <t xml:space="preserve">El Rostro de la Venganza </t>
  </si>
  <si>
    <t xml:space="preserve">El secreto de Puente Viejo </t>
  </si>
  <si>
    <t xml:space="preserve">El Señor de la Querencia </t>
  </si>
  <si>
    <t xml:space="preserve">El Shahroura </t>
  </si>
  <si>
    <t xml:space="preserve">El Show de Marquez &amp; Montero and Company </t>
  </si>
  <si>
    <t xml:space="preserve">El siguiente programa </t>
  </si>
  <si>
    <t xml:space="preserve">Elementary </t>
  </si>
  <si>
    <t xml:space="preserve">Eleventh Hour </t>
  </si>
  <si>
    <t xml:space="preserve">Eli Roth's History of Horror </t>
  </si>
  <si>
    <t xml:space="preserve">Elisa di Rivombrosa </t>
  </si>
  <si>
    <t xml:space="preserve">Elite </t>
  </si>
  <si>
    <t xml:space="preserve">Ellen </t>
  </si>
  <si>
    <t xml:space="preserve">Elly &amp; Jools </t>
  </si>
  <si>
    <t xml:space="preserve">Emil Fitness </t>
  </si>
  <si>
    <t xml:space="preserve">Empire </t>
  </si>
  <si>
    <t xml:space="preserve">Empty Nest </t>
  </si>
  <si>
    <t xml:space="preserve">En prácticas </t>
  </si>
  <si>
    <t xml:space="preserve">Encore! </t>
  </si>
  <si>
    <t xml:space="preserve">Enlightened </t>
  </si>
  <si>
    <t xml:space="preserve">Enterprice </t>
  </si>
  <si>
    <t xml:space="preserve">Entourage </t>
  </si>
  <si>
    <t xml:space="preserve">Epic Meal Empire </t>
  </si>
  <si>
    <t xml:space="preserve">Episodes </t>
  </si>
  <si>
    <t xml:space="preserve">Epitafios </t>
  </si>
  <si>
    <t xml:space="preserve">ER </t>
  </si>
  <si>
    <t xml:space="preserve">Ergo Proxy </t>
  </si>
  <si>
    <t xml:space="preserve">Erotic Confessions </t>
  </si>
  <si>
    <t xml:space="preserve">Escaflowne </t>
  </si>
  <si>
    <t xml:space="preserve">Escape Routes </t>
  </si>
  <si>
    <t xml:space="preserve">Escape to River Cottage </t>
  </si>
  <si>
    <t xml:space="preserve">Escape to the Chateau </t>
  </si>
  <si>
    <t xml:space="preserve">Etaten </t>
  </si>
  <si>
    <t xml:space="preserve">Euphoria </t>
  </si>
  <si>
    <t xml:space="preserve">Eureka </t>
  </si>
  <si>
    <t xml:space="preserve">Eurotrash </t>
  </si>
  <si>
    <t xml:space="preserve">Eve </t>
  </si>
  <si>
    <t xml:space="preserve">Even Stevens </t>
  </si>
  <si>
    <t xml:space="preserve">Ever Decreasing Circles </t>
  </si>
  <si>
    <t xml:space="preserve">Every Witch Way </t>
  </si>
  <si>
    <t xml:space="preserve">Everybody Hates Chris </t>
  </si>
  <si>
    <t xml:space="preserve">Everybody Loves Raymond </t>
  </si>
  <si>
    <t xml:space="preserve">Everything Sucks! </t>
  </si>
  <si>
    <t xml:space="preserve">Everything Wrong with... </t>
  </si>
  <si>
    <t xml:space="preserve">Everything's Rosie </t>
  </si>
  <si>
    <t xml:space="preserve">Evil Con Carne </t>
  </si>
  <si>
    <t xml:space="preserve">Evil Twins </t>
  </si>
  <si>
    <t xml:space="preserve">Ewoks </t>
  </si>
  <si>
    <t xml:space="preserve">Ex on the Beach </t>
  </si>
  <si>
    <t xml:space="preserve">Excel Saga </t>
  </si>
  <si>
    <t xml:space="preserve">Exit 57 </t>
  </si>
  <si>
    <t xml:space="preserve">Expedition Overland </t>
  </si>
  <si>
    <t xml:space="preserve">Exploring China: A Culinary Adventure </t>
  </si>
  <si>
    <t xml:space="preserve">Extant </t>
  </si>
  <si>
    <t xml:space="preserve">Extras </t>
  </si>
  <si>
    <t xml:space="preserve">Extreme Dinosaurs </t>
  </si>
  <si>
    <t xml:space="preserve">Extreme Makeover </t>
  </si>
  <si>
    <t xml:space="preserve">Extreme Makeover: Home Edition </t>
  </si>
  <si>
    <t xml:space="preserve">Extreme Schools </t>
  </si>
  <si>
    <t xml:space="preserve">Extreme Weight Loss </t>
  </si>
  <si>
    <t xml:space="preserve">Eyes on the Prize </t>
  </si>
  <si>
    <t xml:space="preserve">Eyewitness </t>
  </si>
  <si>
    <t xml:space="preserve">EZ Streets </t>
  </si>
  <si>
    <t xml:space="preserve">Fabulous Cakes </t>
  </si>
  <si>
    <t xml:space="preserve">Face Off </t>
  </si>
  <si>
    <t xml:space="preserve">Facing Evil </t>
  </si>
  <si>
    <t xml:space="preserve">Fact or Faked: Paranormal Files </t>
  </si>
  <si>
    <t xml:space="preserve">Failepsik </t>
  </si>
  <si>
    <t xml:space="preserve">Fair City </t>
  </si>
  <si>
    <t xml:space="preserve">Fairly Legal </t>
  </si>
  <si>
    <t xml:space="preserve">Fairy Tale Police Department </t>
  </si>
  <si>
    <t xml:space="preserve">Faithful Word Baptist Church </t>
  </si>
  <si>
    <t xml:space="preserve">Faithfully </t>
  </si>
  <si>
    <t xml:space="preserve">Falcon Beach </t>
  </si>
  <si>
    <t xml:space="preserve">Fallet </t>
  </si>
  <si>
    <t xml:space="preserve">Falling in Sabei Well </t>
  </si>
  <si>
    <t xml:space="preserve">Falling Skies </t>
  </si>
  <si>
    <t xml:space="preserve">False Flag </t>
  </si>
  <si>
    <t xml:space="preserve">Fam </t>
  </si>
  <si>
    <t xml:space="preserve">Family Business </t>
  </si>
  <si>
    <t xml:space="preserve">Family Food Fight </t>
  </si>
  <si>
    <t xml:space="preserve">Family Guy </t>
  </si>
  <si>
    <t xml:space="preserve">Family Matters </t>
  </si>
  <si>
    <t xml:space="preserve">Family Ties </t>
  </si>
  <si>
    <t xml:space="preserve">Family Tools </t>
  </si>
  <si>
    <t xml:space="preserve">Famous in Love </t>
  </si>
  <si>
    <t xml:space="preserve">Fangbone! </t>
  </si>
  <si>
    <t xml:space="preserve">Fantastic Four: The Animated Series </t>
  </si>
  <si>
    <t xml:space="preserve">Fantastic Four: World's Greatest Heroes </t>
  </si>
  <si>
    <t xml:space="preserve">Fantastico 10 </t>
  </si>
  <si>
    <t xml:space="preserve">Fantastico 12 </t>
  </si>
  <si>
    <t xml:space="preserve">Fantastico 6 </t>
  </si>
  <si>
    <t xml:space="preserve">Fantastico 90 </t>
  </si>
  <si>
    <t xml:space="preserve">Fantomcat </t>
  </si>
  <si>
    <t xml:space="preserve">Fargo </t>
  </si>
  <si>
    <t xml:space="preserve">Farouk Omar </t>
  </si>
  <si>
    <t xml:space="preserve">Farscape </t>
  </si>
  <si>
    <t xml:space="preserve">Fashion Star </t>
  </si>
  <si>
    <t xml:space="preserve">Fast Layne </t>
  </si>
  <si>
    <t xml:space="preserve">Fast N' Loud </t>
  </si>
  <si>
    <t xml:space="preserve">Fat and Back </t>
  </si>
  <si>
    <t xml:space="preserve">Fat Families </t>
  </si>
  <si>
    <t xml:space="preserve">Fatal Attraction </t>
  </si>
  <si>
    <t xml:space="preserve">Fatal Vows </t>
  </si>
  <si>
    <t xml:space="preserve">Fatih </t>
  </si>
  <si>
    <t xml:space="preserve">Fauda </t>
  </si>
  <si>
    <t xml:space="preserve">FBI </t>
  </si>
  <si>
    <t xml:space="preserve">Fear Factor </t>
  </si>
  <si>
    <t xml:space="preserve">Fear the Walking Dead </t>
  </si>
  <si>
    <t xml:space="preserve">Félix </t>
  </si>
  <si>
    <t xml:space="preserve">Fellowship Baptist Church Coney Island </t>
  </si>
  <si>
    <t xml:space="preserve">Femme Fatales </t>
  </si>
  <si>
    <t xml:space="preserve">Fifty and Embarrassing </t>
  </si>
  <si>
    <t xml:space="preserve">Fight Quest </t>
  </si>
  <si>
    <t xml:space="preserve">Fíkus </t>
  </si>
  <si>
    <t xml:space="preserve">Filthy Rich &amp; Catflap </t>
  </si>
  <si>
    <t xml:space="preserve">Final Days of Planet Earth </t>
  </si>
  <si>
    <t xml:space="preserve">Find Me in Paris </t>
  </si>
  <si>
    <t xml:space="preserve">Finders Keepers </t>
  </si>
  <si>
    <t xml:space="preserve">Finding Bigfoot </t>
  </si>
  <si>
    <t xml:space="preserve">Finding Carter </t>
  </si>
  <si>
    <t xml:space="preserve">Finding Stuff Out </t>
  </si>
  <si>
    <t xml:space="preserve">Finding Your Roots with Henry Louis Gates, Jr. </t>
  </si>
  <si>
    <t xml:space="preserve">Firefly </t>
  </si>
  <si>
    <t xml:space="preserve">First Dates </t>
  </si>
  <si>
    <t xml:space="preserve">First Dates Abroad </t>
  </si>
  <si>
    <t xml:space="preserve">First Dates Hotel </t>
  </si>
  <si>
    <t xml:space="preserve">First Team: Juventus </t>
  </si>
  <si>
    <t xml:space="preserve">First United Pentecostal Church of Augusta, Maine </t>
  </si>
  <si>
    <t xml:space="preserve">First Wave </t>
  </si>
  <si>
    <t xml:space="preserve">Fish Police </t>
  </si>
  <si>
    <t xml:space="preserve">Fist of the North Star </t>
  </si>
  <si>
    <t xml:space="preserve">Fist of the North Star 2 </t>
  </si>
  <si>
    <t xml:space="preserve">Fixer Upper </t>
  </si>
  <si>
    <t xml:space="preserve">Flack </t>
  </si>
  <si>
    <t xml:space="preserve">Flame of Recca </t>
  </si>
  <si>
    <t xml:space="preserve">Flashforward </t>
  </si>
  <si>
    <t xml:space="preserve">Flashing Lives </t>
  </si>
  <si>
    <t xml:space="preserve">Flashpoint </t>
  </si>
  <si>
    <t xml:space="preserve">Fleabag </t>
  </si>
  <si>
    <t xml:space="preserve">Flickers! </t>
  </si>
  <si>
    <t xml:space="preserve">Flight of the Conchords </t>
  </si>
  <si>
    <t xml:space="preserve">Flint Town </t>
  </si>
  <si>
    <t xml:space="preserve">Flip or Flop </t>
  </si>
  <si>
    <t xml:space="preserve">Flipper &amp; Lopaka </t>
  </si>
  <si>
    <t xml:space="preserve">Flipping Out </t>
  </si>
  <si>
    <t xml:space="preserve">Floating Kitchen </t>
  </si>
  <si>
    <t xml:space="preserve">Florrie's Dragons </t>
  </si>
  <si>
    <t xml:space="preserve">Flowers of Evil </t>
  </si>
  <si>
    <t xml:space="preserve">Floyd on Britain &amp; Ireland </t>
  </si>
  <si>
    <t xml:space="preserve">Floyd on Fish </t>
  </si>
  <si>
    <t xml:space="preserve">Floyd on Food </t>
  </si>
  <si>
    <t xml:space="preserve">Floyd on France </t>
  </si>
  <si>
    <t xml:space="preserve">Follow the Money </t>
  </si>
  <si>
    <t xml:space="preserve">Fonejacker </t>
  </si>
  <si>
    <t xml:space="preserve">Food and Drink </t>
  </si>
  <si>
    <t xml:space="preserve">Food Fighters </t>
  </si>
  <si>
    <t xml:space="preserve">Food Unwrapped </t>
  </si>
  <si>
    <t xml:space="preserve">Food: Fact or Fiction? </t>
  </si>
  <si>
    <t xml:space="preserve">Fool Britannia </t>
  </si>
  <si>
    <t xml:space="preserve">Footballers' Wives </t>
  </si>
  <si>
    <t xml:space="preserve">Forbidden Island </t>
  </si>
  <si>
    <t xml:space="preserve">Foreign Exchange </t>
  </si>
  <si>
    <t xml:space="preserve">Forensic Files </t>
  </si>
  <si>
    <t xml:space="preserve">Forensic Investigators </t>
  </si>
  <si>
    <t xml:space="preserve">Forever </t>
  </si>
  <si>
    <t xml:space="preserve">Forever Knight </t>
  </si>
  <si>
    <t xml:space="preserve">Forever Summer with Nigella </t>
  </si>
  <si>
    <t xml:space="preserve">Fornemmelse for snyd </t>
  </si>
  <si>
    <t xml:space="preserve">Forty Weight </t>
  </si>
  <si>
    <t xml:space="preserve">Foster's Home for Imaginary Friends </t>
  </si>
  <si>
    <t xml:space="preserve">Four in a Bed </t>
  </si>
  <si>
    <t xml:space="preserve">Four on the Floor </t>
  </si>
  <si>
    <t xml:space="preserve">Four Weddings </t>
  </si>
  <si>
    <t xml:space="preserve">Four Weddings and a Funeral </t>
  </si>
  <si>
    <t xml:space="preserve">Foursome </t>
  </si>
  <si>
    <t xml:space="preserve">Foyle's War </t>
  </si>
  <si>
    <t xml:space="preserve">Framed </t>
  </si>
  <si>
    <t xml:space="preserve">Francisco the Mathematician </t>
  </si>
  <si>
    <t xml:space="preserve">Frankie Drake Mysteries </t>
  </si>
  <si>
    <t xml:space="preserve">Franklin &amp; Bash </t>
  </si>
  <si>
    <t xml:space="preserve">Franny's Feet </t>
  </si>
  <si>
    <t xml:space="preserve">Frasier </t>
  </si>
  <si>
    <t xml:space="preserve">Freakish </t>
  </si>
  <si>
    <t xml:space="preserve">Freaks and Geeks </t>
  </si>
  <si>
    <t xml:space="preserve">Fred </t>
  </si>
  <si>
    <t xml:space="preserve">Fred: The Show </t>
  </si>
  <si>
    <t xml:space="preserve">Freddy's Nightmares </t>
  </si>
  <si>
    <t xml:space="preserve">Fredrikssons fabrikk </t>
  </si>
  <si>
    <t xml:space="preserve">Free Rein </t>
  </si>
  <si>
    <t xml:space="preserve">Freemove Honza </t>
  </si>
  <si>
    <t xml:space="preserve">Freemove Miky </t>
  </si>
  <si>
    <t xml:space="preserve">Freescoot Official </t>
  </si>
  <si>
    <t xml:space="preserve">French Fields </t>
  </si>
  <si>
    <t xml:space="preserve">Fresh Fields </t>
  </si>
  <si>
    <t xml:space="preserve">Fresh Hell </t>
  </si>
  <si>
    <t xml:space="preserve">Fresh Meat </t>
  </si>
  <si>
    <t xml:space="preserve">Fresh Off the Boat </t>
  </si>
  <si>
    <t xml:space="preserve">Freshers </t>
  </si>
  <si>
    <t xml:space="preserve">Friday Night Lights </t>
  </si>
  <si>
    <t xml:space="preserve">Friends </t>
  </si>
  <si>
    <t xml:space="preserve">Friends from College </t>
  </si>
  <si>
    <t xml:space="preserve">Fringe </t>
  </si>
  <si>
    <t xml:space="preserve">FrivolousFox ASMR </t>
  </si>
  <si>
    <t xml:space="preserve">From Dusk Till Dawn: The Series </t>
  </si>
  <si>
    <t xml:space="preserve">Frontier </t>
  </si>
  <si>
    <t xml:space="preserve">Frozen Heart </t>
  </si>
  <si>
    <t xml:space="preserve">Full House </t>
  </si>
  <si>
    <t xml:space="preserve">Fuller House </t>
  </si>
  <si>
    <t xml:space="preserve">Fullmetal Alchemist </t>
  </si>
  <si>
    <t xml:space="preserve">Fullmetal Alchemist: Brotherhood </t>
  </si>
  <si>
    <t xml:space="preserve">Fungus the Bogeyman </t>
  </si>
  <si>
    <t xml:space="preserve">Funny or Die Presents... </t>
  </si>
  <si>
    <t xml:space="preserve">Further Back in Time for Dinner </t>
  </si>
  <si>
    <t xml:space="preserve">Fushigi YûgiThe Mysterious Play </t>
  </si>
  <si>
    <t xml:space="preserve">Futurama </t>
  </si>
  <si>
    <t xml:space="preserve">Future Man </t>
  </si>
  <si>
    <t xml:space="preserve">Future-Worm! </t>
  </si>
  <si>
    <t xml:space="preserve">FutureWeapons </t>
  </si>
  <si>
    <t xml:space="preserve">G String Divas </t>
  </si>
  <si>
    <t xml:space="preserve">G.I. Joe </t>
  </si>
  <si>
    <t xml:space="preserve">Ga-rei: Zero </t>
  </si>
  <si>
    <t xml:space="preserve">Gabrielle Clement </t>
  </si>
  <si>
    <t xml:space="preserve">Gabrielle Hecl </t>
  </si>
  <si>
    <t xml:space="preserve">Gakuen Alice </t>
  </si>
  <si>
    <t xml:space="preserve">Galtar and the Golden Lance </t>
  </si>
  <si>
    <t xml:space="preserve">Game Knights </t>
  </si>
  <si>
    <t xml:space="preserve">Game of Silence </t>
  </si>
  <si>
    <t xml:space="preserve">Game of Thrones </t>
  </si>
  <si>
    <t xml:space="preserve">Game Shakers </t>
  </si>
  <si>
    <t xml:space="preserve">Gang Related </t>
  </si>
  <si>
    <t xml:space="preserve">Gangland </t>
  </si>
  <si>
    <t xml:space="preserve">Gantz </t>
  </si>
  <si>
    <t xml:space="preserve">Garfield and Friends </t>
  </si>
  <si>
    <t xml:space="preserve">Gargoyles </t>
  </si>
  <si>
    <t xml:space="preserve">Gary the Rat </t>
  </si>
  <si>
    <t xml:space="preserve">Gaycation </t>
  </si>
  <si>
    <t xml:space="preserve">Gear Heads </t>
  </si>
  <si>
    <t xml:space="preserve">Genesis Week </t>
  </si>
  <si>
    <t xml:space="preserve">Gentleman Jack </t>
  </si>
  <si>
    <t xml:space="preserve">George Lopez </t>
  </si>
  <si>
    <t xml:space="preserve">Get Out Alive with Bear Grylls </t>
  </si>
  <si>
    <t xml:space="preserve">Get Shorty </t>
  </si>
  <si>
    <t xml:space="preserve">Get Up, Stand Up </t>
  </si>
  <si>
    <t xml:space="preserve">GetTheLouk </t>
  </si>
  <si>
    <t xml:space="preserve">Getting Doug with High </t>
  </si>
  <si>
    <t xml:space="preserve">Getting On </t>
  </si>
  <si>
    <t xml:space="preserve">Ghost Adventures </t>
  </si>
  <si>
    <t xml:space="preserve">Ghost Hound </t>
  </si>
  <si>
    <t xml:space="preserve">Ghost Hunters International </t>
  </si>
  <si>
    <t xml:space="preserve">Ghost in the Shell: Stand Alone Complex </t>
  </si>
  <si>
    <t xml:space="preserve">Ghost Lab </t>
  </si>
  <si>
    <t xml:space="preserve">Ghost Whisperer </t>
  </si>
  <si>
    <t xml:space="preserve">Ghosted </t>
  </si>
  <si>
    <t xml:space="preserve">Ghostwriter </t>
  </si>
  <si>
    <t xml:space="preserve">Gibi ASMR </t>
  </si>
  <si>
    <t xml:space="preserve">Gigantic </t>
  </si>
  <si>
    <t xml:space="preserve">Gigolos </t>
  </si>
  <si>
    <t xml:space="preserve">Gilmore Girls </t>
  </si>
  <si>
    <t xml:space="preserve">Gimme Sugar </t>
  </si>
  <si>
    <t xml:space="preserve">Ginger ASMR </t>
  </si>
  <si>
    <t xml:space="preserve">Girl Meets World </t>
  </si>
  <si>
    <t xml:space="preserve">Girlfriends' Guide to Divorce </t>
  </si>
  <si>
    <t xml:space="preserve">Girls </t>
  </si>
  <si>
    <t xml:space="preserve">Girls Bravo </t>
  </si>
  <si>
    <t xml:space="preserve">Girls on Top </t>
  </si>
  <si>
    <t xml:space="preserve">Gladiators </t>
  </si>
  <si>
    <t xml:space="preserve">Glee </t>
  </si>
  <si>
    <t xml:space="preserve">GLOW </t>
  </si>
  <si>
    <t xml:space="preserve">Goa Goals </t>
  </si>
  <si>
    <t xml:space="preserve">Godparents </t>
  </si>
  <si>
    <t xml:space="preserve">Golden Time </t>
  </si>
  <si>
    <t xml:space="preserve">Golden Years </t>
  </si>
  <si>
    <t xml:space="preserve">Golgo 13 </t>
  </si>
  <si>
    <t xml:space="preserve">Goliath </t>
  </si>
  <si>
    <t xml:space="preserve">Goliath Awaits </t>
  </si>
  <si>
    <t xml:space="preserve">Gone </t>
  </si>
  <si>
    <t xml:space="preserve">Gone Fishing </t>
  </si>
  <si>
    <t xml:space="preserve">Good Behavior </t>
  </si>
  <si>
    <t xml:space="preserve">Good Eats </t>
  </si>
  <si>
    <t xml:space="preserve">Good Girls </t>
  </si>
  <si>
    <t xml:space="preserve">Good Luck Charlie </t>
  </si>
  <si>
    <t xml:space="preserve">Good Trouble </t>
  </si>
  <si>
    <t xml:space="preserve">Good vs Evil </t>
  </si>
  <si>
    <t xml:space="preserve">Goodnight Sweetheart </t>
  </si>
  <si>
    <t xml:space="preserve">Goof Troop </t>
  </si>
  <si>
    <t xml:space="preserve">Gooische vrouwen </t>
  </si>
  <si>
    <t xml:space="preserve">Gortimer Gibbon's Life on Normal Street </t>
  </si>
  <si>
    <t xml:space="preserve">Gossip Girl </t>
  </si>
  <si>
    <t xml:space="preserve">Gotham </t>
  </si>
  <si>
    <t xml:space="preserve">Grace and Frankie </t>
  </si>
  <si>
    <t xml:space="preserve">Grace Under Fire </t>
  </si>
  <si>
    <t xml:space="preserve">Grandfathered </t>
  </si>
  <si>
    <t xml:space="preserve">Grave Secrets </t>
  </si>
  <si>
    <t xml:space="preserve">Graves </t>
  </si>
  <si>
    <t xml:space="preserve">Gravity </t>
  </si>
  <si>
    <t xml:space="preserve">Gravity Falls </t>
  </si>
  <si>
    <t xml:space="preserve">Greece Uncovered </t>
  </si>
  <si>
    <t xml:space="preserve">Greek Lessons for KJV-Only Baptists </t>
  </si>
  <si>
    <t xml:space="preserve">Green Wing </t>
  </si>
  <si>
    <t xml:space="preserve">Grey's Anatomy </t>
  </si>
  <si>
    <t xml:space="preserve">Großstadtrevier </t>
  </si>
  <si>
    <t xml:space="preserve">Grounded for Life </t>
  </si>
  <si>
    <t xml:space="preserve">Growing Pains </t>
  </si>
  <si>
    <t xml:space="preserve">Grown-ish </t>
  </si>
  <si>
    <t xml:space="preserve">GTO: Great Teacher Onizuka </t>
  </si>
  <si>
    <t xml:space="preserve">Gu Family Book </t>
  </si>
  <si>
    <t xml:space="preserve">Gumapang ka sa lusak </t>
  </si>
  <si>
    <t xml:space="preserve">Gungrave </t>
  </si>
  <si>
    <t xml:space="preserve">Gunslingers </t>
  </si>
  <si>
    <t xml:space="preserve">Guy Code </t>
  </si>
  <si>
    <t xml:space="preserve">Gwen ASMR </t>
  </si>
  <si>
    <t xml:space="preserve">Gypsy </t>
  </si>
  <si>
    <t xml:space="preserve">H£ir Hunt£rs </t>
  </si>
  <si>
    <t xml:space="preserve">H2o </t>
  </si>
  <si>
    <t xml:space="preserve">H2O: Just Add Water </t>
  </si>
  <si>
    <t xml:space="preserve">H2O: Mermaid Adventures </t>
  </si>
  <si>
    <t xml:space="preserve">h3h3Productions </t>
  </si>
  <si>
    <t xml:space="preserve">Hahamakin ang lahat </t>
  </si>
  <si>
    <t xml:space="preserve">Halt and Catch Fire </t>
  </si>
  <si>
    <t xml:space="preserve">Hamster in a Nightshirt </t>
  </si>
  <si>
    <t xml:space="preserve">Hand of God </t>
  </si>
  <si>
    <t xml:space="preserve">Hang Time </t>
  </si>
  <si>
    <t xml:space="preserve">Hank Zipzer </t>
  </si>
  <si>
    <t xml:space="preserve">Hanna </t>
  </si>
  <si>
    <t xml:space="preserve">Hannah Montana </t>
  </si>
  <si>
    <t xml:space="preserve">Hannibal </t>
  </si>
  <si>
    <t xml:space="preserve">Hap and Leonard </t>
  </si>
  <si>
    <t xml:space="preserve">Haplos </t>
  </si>
  <si>
    <t xml:space="preserve">Happily Divorced </t>
  </si>
  <si>
    <t xml:space="preserve">Happy Endings </t>
  </si>
  <si>
    <t xml:space="preserve">Happy Town </t>
  </si>
  <si>
    <t xml:space="preserve">Happy Tree Friends </t>
  </si>
  <si>
    <t xml:space="preserve">Happy Valley </t>
  </si>
  <si>
    <t xml:space="preserve">Happy! </t>
  </si>
  <si>
    <t xml:space="preserve">Hard Time on Planet Earth </t>
  </si>
  <si>
    <t xml:space="preserve">Hare+Guu </t>
  </si>
  <si>
    <t xml:space="preserve">Harley Quinn </t>
  </si>
  <si>
    <t xml:space="preserve">Harlots </t>
  </si>
  <si>
    <t xml:space="preserve">Harrow </t>
  </si>
  <si>
    <t xml:space="preserve">Harry </t>
  </si>
  <si>
    <t xml:space="preserve">Harry Enfield and Chums </t>
  </si>
  <si>
    <t xml:space="preserve">Harsh Realm </t>
  </si>
  <si>
    <t xml:space="preserve">Hart of Dixie </t>
  </si>
  <si>
    <t xml:space="preserve">Harvard Court </t>
  </si>
  <si>
    <t xml:space="preserve">Harvey Birdman, Attorney at Law </t>
  </si>
  <si>
    <t xml:space="preserve">Hasta que el dinero nos separe </t>
  </si>
  <si>
    <t xml:space="preserve">Hatched </t>
  </si>
  <si>
    <t xml:space="preserve">Haven </t>
  </si>
  <si>
    <t xml:space="preserve">Hawaii Five-0 </t>
  </si>
  <si>
    <t xml:space="preserve">Hawthorne </t>
  </si>
  <si>
    <t xml:space="preserve">He-Man and the Masters of the Universe </t>
  </si>
  <si>
    <t xml:space="preserve">Hear No Evil </t>
  </si>
  <si>
    <t xml:space="preserve">Heartbeat </t>
  </si>
  <si>
    <t xml:space="preserve">Heartbreak High </t>
  </si>
  <si>
    <t xml:space="preserve">Heavy Rescue: 401 </t>
  </si>
  <si>
    <t xml:space="preserve">Hebburn </t>
  </si>
  <si>
    <t xml:space="preserve">Heer </t>
  </si>
  <si>
    <t xml:space="preserve">Heimat 2: Chronicle of a Generation </t>
  </si>
  <si>
    <t xml:space="preserve">Helix </t>
  </si>
  <si>
    <t xml:space="preserve">Hell Girl </t>
  </si>
  <si>
    <t xml:space="preserve">Hell on Wheels </t>
  </si>
  <si>
    <t xml:space="preserve">Hell's Kitchen </t>
  </si>
  <si>
    <t xml:space="preserve">Hello Ladies </t>
  </si>
  <si>
    <t xml:space="preserve">Help! My House Is Haunted </t>
  </si>
  <si>
    <t xml:space="preserve">Hemlock Grove </t>
  </si>
  <si>
    <t xml:space="preserve">Hendysovo Doupe </t>
  </si>
  <si>
    <t xml:space="preserve">Henry Danger </t>
  </si>
  <si>
    <t xml:space="preserve">Henry Hugglemonster </t>
  </si>
  <si>
    <t xml:space="preserve">Hercules </t>
  </si>
  <si>
    <t xml:space="preserve">Hercules: The Legendary Journeys </t>
  </si>
  <si>
    <t xml:space="preserve">Here and Now </t>
  </si>
  <si>
    <t xml:space="preserve">Here Comes Honey Boo Boo </t>
  </si>
  <si>
    <t xml:space="preserve">Heritage Baptist Church </t>
  </si>
  <si>
    <t xml:space="preserve">Heroes </t>
  </si>
  <si>
    <t xml:space="preserve">Heroes of the Public Sector </t>
  </si>
  <si>
    <t xml:space="preserve">Hetalia: Axis Powers </t>
  </si>
  <si>
    <t xml:space="preserve">Hetty Feather </t>
  </si>
  <si>
    <t xml:space="preserve">Hetty Wainthropp Investigates </t>
  </si>
  <si>
    <t xml:space="preserve">Hey Arnold! </t>
  </si>
  <si>
    <t xml:space="preserve">Hey Dad..! </t>
  </si>
  <si>
    <t xml:space="preserve">Hey Meisha </t>
  </si>
  <si>
    <t xml:space="preserve">Hi-5 </t>
  </si>
  <si>
    <t xml:space="preserve">Hi-5 vs. Hi-5 House </t>
  </si>
  <si>
    <t xml:space="preserve">Hi-de-Hi! </t>
  </si>
  <si>
    <t xml:space="preserve">Hidden </t>
  </si>
  <si>
    <t xml:space="preserve">Hidden Truths </t>
  </si>
  <si>
    <t xml:space="preserve">High School Confidential </t>
  </si>
  <si>
    <t xml:space="preserve">High School DxD </t>
  </si>
  <si>
    <t xml:space="preserve">High School Musical: The Musical </t>
  </si>
  <si>
    <t xml:space="preserve">High Society </t>
  </si>
  <si>
    <t xml:space="preserve">Highlander </t>
  </si>
  <si>
    <t xml:space="preserve">Highlander: The Animated Series </t>
  </si>
  <si>
    <t xml:space="preserve">Highlander: The Raven </t>
  </si>
  <si>
    <t xml:space="preserve">Highway Thru Hell </t>
  </si>
  <si>
    <t xml:space="preserve">Hilda </t>
  </si>
  <si>
    <t xml:space="preserve">Hill Street Blues </t>
  </si>
  <si>
    <t xml:space="preserve">Hillbilly Handfishin' </t>
  </si>
  <si>
    <t xml:space="preserve">Him &amp; Her </t>
  </si>
  <si>
    <t xml:space="preserve">Himitsu: Top SecretThe Revelation </t>
  </si>
  <si>
    <t xml:space="preserve">Hinterland </t>
  </si>
  <si>
    <t xml:space="preserve">Hip-Hop Evolution </t>
  </si>
  <si>
    <t xml:space="preserve">His and Her Circumstances </t>
  </si>
  <si>
    <t xml:space="preserve">His Dark Materials </t>
  </si>
  <si>
    <t xml:space="preserve">History Bites </t>
  </si>
  <si>
    <t xml:space="preserve">History's Lost &amp; Found </t>
  </si>
  <si>
    <t xml:space="preserve">Hive Minds </t>
  </si>
  <si>
    <t xml:space="preserve">Hoarders </t>
  </si>
  <si>
    <t xml:space="preserve">Holby City </t>
  </si>
  <si>
    <t xml:space="preserve">Hold the Sunset </t>
  </si>
  <si>
    <t xml:space="preserve">Holey Moley </t>
  </si>
  <si>
    <t xml:space="preserve">Holiday Baking Championship </t>
  </si>
  <si>
    <t xml:space="preserve">Hollyoaks </t>
  </si>
  <si>
    <t xml:space="preserve">Hollywood Game Night </t>
  </si>
  <si>
    <t xml:space="preserve">Hollywood Horrors </t>
  </si>
  <si>
    <t xml:space="preserve">Hollywood Medium </t>
  </si>
  <si>
    <t xml:space="preserve">Hollywood the Golden Years: The RKO Story </t>
  </si>
  <si>
    <t xml:space="preserve">Home Alone </t>
  </si>
  <si>
    <t xml:space="preserve">Home and Away </t>
  </si>
  <si>
    <t xml:space="preserve">Home Brewed </t>
  </si>
  <si>
    <t xml:space="preserve">Home Cooking Made Easy </t>
  </si>
  <si>
    <t xml:space="preserve">Home Fires </t>
  </si>
  <si>
    <t xml:space="preserve">Home Free </t>
  </si>
  <si>
    <t xml:space="preserve">Home Improvement </t>
  </si>
  <si>
    <t xml:space="preserve">Home Movies </t>
  </si>
  <si>
    <t xml:space="preserve">Homefront </t>
  </si>
  <si>
    <t xml:space="preserve">Homeland </t>
  </si>
  <si>
    <t xml:space="preserve">Homicide City </t>
  </si>
  <si>
    <t xml:space="preserve">Homicide Hunter: Lt. Joe Kenda </t>
  </si>
  <si>
    <t xml:space="preserve">Honest </t>
  </si>
  <si>
    <t xml:space="preserve">Hoof and Safety with Nuzzle and Scratch </t>
  </si>
  <si>
    <t xml:space="preserve">Hope &amp; Faith </t>
  </si>
  <si>
    <t xml:space="preserve">Horizon </t>
  </si>
  <si>
    <t xml:space="preserve">Horror Hotel </t>
  </si>
  <si>
    <t xml:space="preserve">Hospital Central </t>
  </si>
  <si>
    <t xml:space="preserve">Hospital IT </t>
  </si>
  <si>
    <t xml:space="preserve">Hostages </t>
  </si>
  <si>
    <t xml:space="preserve">Hot in Cleveland </t>
  </si>
  <si>
    <t xml:space="preserve">Hot Line </t>
  </si>
  <si>
    <t xml:space="preserve">Hot Properties </t>
  </si>
  <si>
    <t xml:space="preserve">Hot Pursuit </t>
  </si>
  <si>
    <t xml:space="preserve">Hot Summer Down Under </t>
  </si>
  <si>
    <t xml:space="preserve">Hot Wheels Challenge Accepted </t>
  </si>
  <si>
    <t xml:space="preserve">Hotbox </t>
  </si>
  <si>
    <t xml:space="preserve">Hotel Babylon </t>
  </si>
  <si>
    <t xml:space="preserve">Hotel Cæsar </t>
  </si>
  <si>
    <t xml:space="preserve">Hotel Hell </t>
  </si>
  <si>
    <t xml:space="preserve">Hotel Impossible </t>
  </si>
  <si>
    <t xml:space="preserve">Hotel Transylvania: The Series </t>
  </si>
  <si>
    <t xml:space="preserve">House </t>
  </si>
  <si>
    <t xml:space="preserve">House Doctor </t>
  </si>
  <si>
    <t xml:space="preserve">House of Cards </t>
  </si>
  <si>
    <t xml:space="preserve">House of DMaaj </t>
  </si>
  <si>
    <t xml:space="preserve">House of Horrors: Kidnapped </t>
  </si>
  <si>
    <t xml:space="preserve">House of Lies </t>
  </si>
  <si>
    <t xml:space="preserve">House of Mouse </t>
  </si>
  <si>
    <t xml:space="preserve">House of Saud: A Family at War </t>
  </si>
  <si>
    <t xml:space="preserve">How Do I Look? </t>
  </si>
  <si>
    <t xml:space="preserve">How Do They Do It? </t>
  </si>
  <si>
    <t xml:space="preserve">How I Met Your Mother </t>
  </si>
  <si>
    <t xml:space="preserve">How It's Made </t>
  </si>
  <si>
    <t xml:space="preserve">How It's Made: American Made </t>
  </si>
  <si>
    <t xml:space="preserve">How the Universe Works </t>
  </si>
  <si>
    <t xml:space="preserve">How to Get Away with Murder </t>
  </si>
  <si>
    <t xml:space="preserve">How to Lose Weight Well </t>
  </si>
  <si>
    <t xml:space="preserve">How to Make It in America </t>
  </si>
  <si>
    <t xml:space="preserve">HowToBasic </t>
  </si>
  <si>
    <t xml:space="preserve">Huff </t>
  </si>
  <si>
    <t xml:space="preserve">Hulk and the Agents of S.M.A.S.H. </t>
  </si>
  <si>
    <t xml:space="preserve">Hull High </t>
  </si>
  <si>
    <t xml:space="preserve">Human Giant </t>
  </si>
  <si>
    <t xml:space="preserve">Human Target </t>
  </si>
  <si>
    <t xml:space="preserve">Human Weapon </t>
  </si>
  <si>
    <t xml:space="preserve">Hunderby </t>
  </si>
  <si>
    <t xml:space="preserve">Hung </t>
  </si>
  <si>
    <t xml:space="preserve">Hunted </t>
  </si>
  <si>
    <t xml:space="preserve">Hunter </t>
  </si>
  <si>
    <t xml:space="preserve">Hunter Street </t>
  </si>
  <si>
    <t xml:space="preserve">Hunting Hitler </t>
  </si>
  <si>
    <t xml:space="preserve">Hustle </t>
  </si>
  <si>
    <t xml:space="preserve">Hyperdimension Neptunia </t>
  </si>
  <si>
    <t xml:space="preserve">Hyvien ihmisten kylä </t>
  </si>
  <si>
    <t xml:space="preserve">I </t>
  </si>
  <si>
    <t xml:space="preserve">I Am Cait </t>
  </si>
  <si>
    <t xml:space="preserve">I Am Jazz </t>
  </si>
  <si>
    <t xml:space="preserve">I Am the Night </t>
  </si>
  <si>
    <t xml:space="preserve">I Didn't Do It </t>
  </si>
  <si>
    <t xml:space="preserve">I Didn't Know I Was Pregnant </t>
  </si>
  <si>
    <t xml:space="preserve">I Feel Bad </t>
  </si>
  <si>
    <t xml:space="preserve">I Hate Everything: the Search for the Worst </t>
  </si>
  <si>
    <t xml:space="preserve">I Married a Princess </t>
  </si>
  <si>
    <t xml:space="preserve">I Married Dora </t>
  </si>
  <si>
    <t xml:space="preserve">I Remember Nelson </t>
  </si>
  <si>
    <t xml:space="preserve">I Ship It </t>
  </si>
  <si>
    <t xml:space="preserve">I vse-taki ya lyublyu... </t>
  </si>
  <si>
    <t xml:space="preserve">I Wanna Marry 'Harry' </t>
  </si>
  <si>
    <t xml:space="preserve">I'll Fly Away </t>
  </si>
  <si>
    <t xml:space="preserve">I'll Get This </t>
  </si>
  <si>
    <t xml:space="preserve">I'm a Celebrity, Get Me Out of Here! </t>
  </si>
  <si>
    <t xml:space="preserve">I'm a Celebrity... Extra Camp </t>
  </si>
  <si>
    <t xml:space="preserve">I'm Alan Partridge </t>
  </si>
  <si>
    <t xml:space="preserve">I'm Dying Up Here </t>
  </si>
  <si>
    <t xml:space="preserve">I'm Having Their Baby </t>
  </si>
  <si>
    <t xml:space="preserve">I'm Pregnant and... </t>
  </si>
  <si>
    <t xml:space="preserve">I'm Sorry </t>
  </si>
  <si>
    <t xml:space="preserve">Ibiza Uncovered </t>
  </si>
  <si>
    <t xml:space="preserve">iCarly </t>
  </si>
  <si>
    <t xml:space="preserve">Ice Cold Gold </t>
  </si>
  <si>
    <t xml:space="preserve">Ice Cold Killers </t>
  </si>
  <si>
    <t xml:space="preserve">Ice Loves Coco </t>
  </si>
  <si>
    <t xml:space="preserve">Ice Pilots NWT </t>
  </si>
  <si>
    <t xml:space="preserve">Ice Road Truckers </t>
  </si>
  <si>
    <t xml:space="preserve">Içerde </t>
  </si>
  <si>
    <t xml:space="preserve">Ich bin ein Star, holt mich hier raus! </t>
  </si>
  <si>
    <t xml:space="preserve">Idiotsitter </t>
  </si>
  <si>
    <t xml:space="preserve">If Loving You Is Wrong </t>
  </si>
  <si>
    <t xml:space="preserve">Ika-5 utos </t>
  </si>
  <si>
    <t xml:space="preserve">Ikaro </t>
  </si>
  <si>
    <t xml:space="preserve">Ikki tôsen: Dragon Destiny </t>
  </si>
  <si>
    <t xml:space="preserve">Iljimae </t>
  </si>
  <si>
    <t xml:space="preserve">Imortal </t>
  </si>
  <si>
    <t xml:space="preserve">Important Things with Demetri Martin </t>
  </si>
  <si>
    <t xml:space="preserve">Imposters </t>
  </si>
  <si>
    <t xml:space="preserve">Impostora </t>
  </si>
  <si>
    <t xml:space="preserve">Impractical Jokers </t>
  </si>
  <si>
    <t xml:space="preserve">Impractical Jokers: Inside Jokes </t>
  </si>
  <si>
    <t xml:space="preserve">Impulse </t>
  </si>
  <si>
    <t xml:space="preserve">In Contempt </t>
  </si>
  <si>
    <t xml:space="preserve">In Kgantse &amp; Kenny's Paradise </t>
  </si>
  <si>
    <t xml:space="preserve">In Living Color </t>
  </si>
  <si>
    <t xml:space="preserve">In Our Lives </t>
  </si>
  <si>
    <t xml:space="preserve">In Plain Sight </t>
  </si>
  <si>
    <t xml:space="preserve">In Search of Perfection </t>
  </si>
  <si>
    <t xml:space="preserve">In the Big House </t>
  </si>
  <si>
    <t xml:space="preserve">In the Cut </t>
  </si>
  <si>
    <t xml:space="preserve">In the Flesh </t>
  </si>
  <si>
    <t xml:space="preserve">In the Long Run </t>
  </si>
  <si>
    <t xml:space="preserve">In the Name of Love </t>
  </si>
  <si>
    <t xml:space="preserve">In The Nick Of Time </t>
  </si>
  <si>
    <t xml:space="preserve">In Touch with Charles Stanley </t>
  </si>
  <si>
    <t xml:space="preserve">Independence Year 4 Kidz </t>
  </si>
  <si>
    <t xml:space="preserve">Indian Food Made Easy </t>
  </si>
  <si>
    <t xml:space="preserve">Infernal Realities </t>
  </si>
  <si>
    <t xml:space="preserve">Infested! </t>
  </si>
  <si>
    <t xml:space="preserve">Informer </t>
  </si>
  <si>
    <t xml:space="preserve">InHumanoids </t>
  </si>
  <si>
    <t xml:space="preserve">Ink Master </t>
  </si>
  <si>
    <t xml:space="preserve">Innocent Love </t>
  </si>
  <si>
    <t xml:space="preserve">Inocente de ti </t>
  </si>
  <si>
    <t xml:space="preserve">Insatiable </t>
  </si>
  <si>
    <t xml:space="preserve">Inside American Jail </t>
  </si>
  <si>
    <t xml:space="preserve">Inside Look: The Assassination of Gianni VersaceAmerican Crime Story </t>
  </si>
  <si>
    <t xml:space="preserve">Inside Look: The People v. O.J. SimpsonAmerican Crime Story </t>
  </si>
  <si>
    <t xml:space="preserve">Inside No. 9 </t>
  </si>
  <si>
    <t xml:space="preserve">Inside Windsor Castle </t>
  </si>
  <si>
    <t xml:space="preserve">Inspector Gadget </t>
  </si>
  <si>
    <t xml:space="preserve">Inspector George Gently </t>
  </si>
  <si>
    <t xml:space="preserve">Inspector Lewis </t>
  </si>
  <si>
    <t xml:space="preserve">Inspector Morse </t>
  </si>
  <si>
    <t xml:space="preserve">Instant Mom </t>
  </si>
  <si>
    <t xml:space="preserve">Instinct </t>
  </si>
  <si>
    <t xml:space="preserve">Instruktor </t>
  </si>
  <si>
    <t xml:space="preserve">Intelekt-shou LG Evryka! </t>
  </si>
  <si>
    <t xml:space="preserve">Intelligence </t>
  </si>
  <si>
    <t xml:space="preserve">Intervention </t>
  </si>
  <si>
    <t xml:space="preserve">Into the Dark </t>
  </si>
  <si>
    <t xml:space="preserve">Intruders </t>
  </si>
  <si>
    <t xml:space="preserve">Inuyasha </t>
  </si>
  <si>
    <t xml:space="preserve">Invader ZIM </t>
  </si>
  <si>
    <t xml:space="preserve">Invasion </t>
  </si>
  <si>
    <t xml:space="preserve">Invasion America </t>
  </si>
  <si>
    <t xml:space="preserve">Invisible Heroes </t>
  </si>
  <si>
    <t xml:space="preserve">Irgendwie und sowieso </t>
  </si>
  <si>
    <t xml:space="preserve">Iron Fist </t>
  </si>
  <si>
    <t xml:space="preserve">Iron Man </t>
  </si>
  <si>
    <t xml:space="preserve">Iron Man: Armored Adventures </t>
  </si>
  <si>
    <t xml:space="preserve">Irrational Heart </t>
  </si>
  <si>
    <t xml:space="preserve">Isabel </t>
  </si>
  <si>
    <t xml:space="preserve">Israel Moment </t>
  </si>
  <si>
    <t xml:space="preserve">Issues </t>
  </si>
  <si>
    <t xml:space="preserve">It Could Be Worse </t>
  </si>
  <si>
    <t xml:space="preserve">It Was Alright in the... </t>
  </si>
  <si>
    <t xml:space="preserve">It's a Hard Goth Life </t>
  </si>
  <si>
    <t xml:space="preserve">It's All Relative </t>
  </si>
  <si>
    <t xml:space="preserve">It's Always Sunny in Philadelphia </t>
  </si>
  <si>
    <t xml:space="preserve">It's Me or the Dog </t>
  </si>
  <si>
    <t xml:space="preserve">Iznogoud </t>
  </si>
  <si>
    <t xml:space="preserve">iZombie </t>
  </si>
  <si>
    <t xml:space="preserve">Ja'mie: Private School Girl </t>
  </si>
  <si>
    <t xml:space="preserve">Jack &amp; Bobby </t>
  </si>
  <si>
    <t xml:space="preserve">Jack of All Trades </t>
  </si>
  <si>
    <t xml:space="preserve">Jack Whitehall: Travels with My Father </t>
  </si>
  <si>
    <t xml:space="preserve">Jackass </t>
  </si>
  <si>
    <t xml:space="preserve">Jackie Chan Adventures </t>
  </si>
  <si>
    <t xml:space="preserve">JAG </t>
  </si>
  <si>
    <t xml:space="preserve">Jakers! The Adventures of Piggley Winks </t>
  </si>
  <si>
    <t xml:space="preserve">James Bond Jr. </t>
  </si>
  <si>
    <t xml:space="preserve">James May's Cars of the People </t>
  </si>
  <si>
    <t xml:space="preserve">James May's Man Lab </t>
  </si>
  <si>
    <t xml:space="preserve">James Patterson's Murder Is Forever </t>
  </si>
  <si>
    <t xml:space="preserve">Jamestown </t>
  </si>
  <si>
    <t xml:space="preserve">Jamie's 30 Minute Meals </t>
  </si>
  <si>
    <t xml:space="preserve">Jamie's Great Escape </t>
  </si>
  <si>
    <t xml:space="preserve">Jamie's Money Saving Meals </t>
  </si>
  <si>
    <t xml:space="preserve">Jamillah and Aladdin </t>
  </si>
  <si>
    <t xml:space="preserve">Jan Hanko </t>
  </si>
  <si>
    <t xml:space="preserve">Jana Kotysan </t>
  </si>
  <si>
    <t xml:space="preserve">Jane </t>
  </si>
  <si>
    <t xml:space="preserve">Jane the Virgin </t>
  </si>
  <si>
    <t xml:space="preserve">Janet King </t>
  </si>
  <si>
    <t xml:space="preserve">Jeeves and Wooster </t>
  </si>
  <si>
    <t xml:space="preserve">JellybeanASMR </t>
  </si>
  <si>
    <t xml:space="preserve">Jem </t>
  </si>
  <si>
    <t xml:space="preserve">Jericho </t>
  </si>
  <si>
    <t xml:space="preserve">Jersey Shore </t>
  </si>
  <si>
    <t xml:space="preserve">Jersey Shore Family Vacation </t>
  </si>
  <si>
    <t xml:space="preserve">Jerseylicious </t>
  </si>
  <si>
    <t xml:space="preserve">Jessica Jones </t>
  </si>
  <si>
    <t xml:space="preserve">Jessie </t>
  </si>
  <si>
    <t xml:space="preserve">Jesus &amp; Josefine </t>
  </si>
  <si>
    <t xml:space="preserve">Jetstream </t>
  </si>
  <si>
    <t xml:space="preserve">Jill &amp; Jessa Counting On </t>
  </si>
  <si>
    <t xml:space="preserve">Jimmy Two-Shoes </t>
  </si>
  <si>
    <t xml:space="preserve">Jitka Novácková </t>
  </si>
  <si>
    <t xml:space="preserve">Jmenuju Se Martin </t>
  </si>
  <si>
    <t xml:space="preserve">Joan of Arcadia </t>
  </si>
  <si>
    <t xml:space="preserve">Joaquin Bordado </t>
  </si>
  <si>
    <t xml:space="preserve">Joe Millionaire </t>
  </si>
  <si>
    <t xml:space="preserve">Joey </t>
  </si>
  <si>
    <t xml:space="preserve">John Safran vs. God </t>
  </si>
  <si>
    <t xml:space="preserve">Johnny Bravo </t>
  </si>
  <si>
    <t xml:space="preserve">Johnny Test </t>
  </si>
  <si>
    <t xml:space="preserve">Jon &amp; Kate Plus 8 </t>
  </si>
  <si>
    <t xml:space="preserve">Jon Benjamin Has a Van </t>
  </si>
  <si>
    <t xml:space="preserve">Jonah Hex: Motion Comics </t>
  </si>
  <si>
    <t xml:space="preserve">Jonathan Bird's Blue World </t>
  </si>
  <si>
    <t xml:space="preserve">Jonathan Creek </t>
  </si>
  <si>
    <t xml:space="preserve">Jonny Briggs </t>
  </si>
  <si>
    <t xml:space="preserve">Jordskott </t>
  </si>
  <si>
    <t xml:space="preserve">Judas Goat </t>
  </si>
  <si>
    <t xml:space="preserve">Judge John Deed </t>
  </si>
  <si>
    <t xml:space="preserve">Judge Judy </t>
  </si>
  <si>
    <t xml:space="preserve">Judge Rinder </t>
  </si>
  <si>
    <t xml:space="preserve">Judge Romesh </t>
  </si>
  <si>
    <t xml:space="preserve">Judging Amy </t>
  </si>
  <si>
    <t xml:space="preserve">Juliet Bravo </t>
  </si>
  <si>
    <t xml:space="preserve">Jumpers for Goalposts </t>
  </si>
  <si>
    <t xml:space="preserve">Jungle Junction </t>
  </si>
  <si>
    <t xml:space="preserve">Junior Doctors: Blood, Sweat and Tears </t>
  </si>
  <si>
    <t xml:space="preserve">Junk Food Flip </t>
  </si>
  <si>
    <t xml:space="preserve">Just a Minute </t>
  </si>
  <si>
    <t xml:space="preserve">Just Add Magic </t>
  </si>
  <si>
    <t xml:space="preserve">Just Good Friends </t>
  </si>
  <si>
    <t xml:space="preserve">Just Jordan </t>
  </si>
  <si>
    <t xml:space="preserve">Just Shoot Me! </t>
  </si>
  <si>
    <t xml:space="preserve">Just the Ten of Us </t>
  </si>
  <si>
    <t xml:space="preserve">Justice League </t>
  </si>
  <si>
    <t xml:space="preserve">Justice League Action </t>
  </si>
  <si>
    <t xml:space="preserve">Justice League Unlimited </t>
  </si>
  <si>
    <t xml:space="preserve">Justified </t>
  </si>
  <si>
    <t xml:space="preserve">K Street </t>
  </si>
  <si>
    <t xml:space="preserve">K-On! </t>
  </si>
  <si>
    <t xml:space="preserve">K.C. Undercover </t>
  </si>
  <si>
    <t xml:space="preserve">Kagaku Sentai Dynaman </t>
  </si>
  <si>
    <t xml:space="preserve">Kameleon de serie </t>
  </si>
  <si>
    <t xml:space="preserve">Kamen Whispers ASMR </t>
  </si>
  <si>
    <t xml:space="preserve">KamFit </t>
  </si>
  <si>
    <t xml:space="preserve">Kan kwok hiu hung chi Yee hoi ho ching </t>
  </si>
  <si>
    <t xml:space="preserve">Kanokon </t>
  </si>
  <si>
    <t xml:space="preserve">Karl &amp; Co </t>
  </si>
  <si>
    <t xml:space="preserve">Karlos Benda </t>
  </si>
  <si>
    <t xml:space="preserve">Karmbhoomi </t>
  </si>
  <si>
    <t xml:space="preserve">Kasimasi: Girl Meets Girl </t>
  </si>
  <si>
    <t xml:space="preserve">Kate &amp; Allie </t>
  </si>
  <si>
    <t xml:space="preserve">Katherine Mills: Mind Games </t>
  </si>
  <si>
    <t xml:space="preserve">Kathy Griffin: My Life on the D-List </t>
  </si>
  <si>
    <t xml:space="preserve">Katie Price: My Crazy Life </t>
  </si>
  <si>
    <t xml:space="preserve">Kavanagh QC </t>
  </si>
  <si>
    <t xml:space="preserve">Kea </t>
  </si>
  <si>
    <t xml:space="preserve">Keep It in the Family </t>
  </si>
  <si>
    <t xml:space="preserve">Keeping Faith </t>
  </si>
  <si>
    <t xml:space="preserve">Keeping Up Appearances </t>
  </si>
  <si>
    <t xml:space="preserve">Keeping Up with the Kardashians </t>
  </si>
  <si>
    <t xml:space="preserve">Kenan &amp; Kel </t>
  </si>
  <si>
    <t xml:space="preserve">Kesslers Expedition </t>
  </si>
  <si>
    <t xml:space="preserve">Kevin Can Wait </t>
  </si>
  <si>
    <t xml:space="preserve">Kevin Hill </t>
  </si>
  <si>
    <t xml:space="preserve">Kevin Spencer </t>
  </si>
  <si>
    <t xml:space="preserve">Kick </t>
  </si>
  <si>
    <t xml:space="preserve">Kickin' It </t>
  </si>
  <si>
    <t xml:space="preserve">Kicking &amp; Screaming </t>
  </si>
  <si>
    <t xml:space="preserve">Kidding </t>
  </si>
  <si>
    <t xml:space="preserve">Kidnap and Ransom </t>
  </si>
  <si>
    <t xml:space="preserve">Kids Unlimited </t>
  </si>
  <si>
    <t xml:space="preserve">Kidz Care </t>
  </si>
  <si>
    <t xml:space="preserve">KikOriki </t>
  </si>
  <si>
    <t xml:space="preserve">KILL La KILL </t>
  </si>
  <si>
    <t xml:space="preserve">Kill Me, Heal Me </t>
  </si>
  <si>
    <t xml:space="preserve">Killing Eve </t>
  </si>
  <si>
    <t xml:space="preserve">Kim Possible </t>
  </si>
  <si>
    <t xml:space="preserve">Kim Soo Ro </t>
  </si>
  <si>
    <t xml:space="preserve">Kim's Convenience </t>
  </si>
  <si>
    <t xml:space="preserve">King </t>
  </si>
  <si>
    <t xml:space="preserve">King &amp; Maxwell </t>
  </si>
  <si>
    <t xml:space="preserve">King Arthur and the Knights of Justice </t>
  </si>
  <si>
    <t xml:space="preserve">King Arthur's Disasters </t>
  </si>
  <si>
    <t xml:space="preserve">King of the Hill </t>
  </si>
  <si>
    <t xml:space="preserve">King of the Nerds </t>
  </si>
  <si>
    <t xml:space="preserve">Kingdom </t>
  </si>
  <si>
    <t xml:space="preserve">Kingdom Hospital </t>
  </si>
  <si>
    <t xml:space="preserve">Kino's Journey </t>
  </si>
  <si>
    <t xml:space="preserve">Kir Royal </t>
  </si>
  <si>
    <t xml:space="preserve">Kirstie &amp; Phil's Love It or List It </t>
  </si>
  <si>
    <t xml:space="preserve">Kirstie Allsopp's Home Style </t>
  </si>
  <si>
    <t xml:space="preserve">Kirstie's Handmade Christmas </t>
  </si>
  <si>
    <t xml:space="preserve">Kirstie's Vintage Gems </t>
  </si>
  <si>
    <t xml:space="preserve">Kiss of Death </t>
  </si>
  <si>
    <t xml:space="preserve">Kitchen Confidential </t>
  </si>
  <si>
    <t xml:space="preserve">Kitchen Nightmares </t>
  </si>
  <si>
    <t xml:space="preserve">Kitchen Showdown with Rosemary Shrager </t>
  </si>
  <si>
    <t xml:space="preserve">KJV Minute </t>
  </si>
  <si>
    <t xml:space="preserve">Klovn </t>
  </si>
  <si>
    <t xml:space="preserve">Knight Rider </t>
  </si>
  <si>
    <t xml:space="preserve">Knightfall </t>
  </si>
  <si>
    <t xml:space="preserve">Knightmare </t>
  </si>
  <si>
    <t xml:space="preserve">Knock Knock Live </t>
  </si>
  <si>
    <t xml:space="preserve">Knowing Me, Knowing You with Alan Partridge </t>
  </si>
  <si>
    <t xml:space="preserve">Koihime musô </t>
  </si>
  <si>
    <t xml:space="preserve">Kojak </t>
  </si>
  <si>
    <t xml:space="preserve">Kourtney &amp; Kim Take New York </t>
  </si>
  <si>
    <t xml:space="preserve">Kovy </t>
  </si>
  <si>
    <t xml:space="preserve">Kristine </t>
  </si>
  <si>
    <t xml:space="preserve">Kroll Show </t>
  </si>
  <si>
    <t xml:space="preserve">Krypto the Superdog </t>
  </si>
  <si>
    <t xml:space="preserve">Krypton </t>
  </si>
  <si>
    <t xml:space="preserve">Kung Fu Panda: Legends of Awesomeness </t>
  </si>
  <si>
    <t xml:space="preserve">Kung Fu: The Legend Continues </t>
  </si>
  <si>
    <t xml:space="preserve">Kyle XY </t>
  </si>
  <si>
    <t xml:space="preserve">L.A. Heat </t>
  </si>
  <si>
    <t xml:space="preserve">L.A. Law </t>
  </si>
  <si>
    <t xml:space="preserve">L.A.'s Finest </t>
  </si>
  <si>
    <t xml:space="preserve">La Bruja </t>
  </si>
  <si>
    <t xml:space="preserve">La corrida </t>
  </si>
  <si>
    <t xml:space="preserve">La Familia de al Lado </t>
  </si>
  <si>
    <t xml:space="preserve">La Femme Nikita </t>
  </si>
  <si>
    <t xml:space="preserve">LA Ink </t>
  </si>
  <si>
    <t xml:space="preserve">La mujer de Judas </t>
  </si>
  <si>
    <t xml:space="preserve">La que se avecina </t>
  </si>
  <si>
    <t xml:space="preserve">La Recta Provincia </t>
  </si>
  <si>
    <t xml:space="preserve">La saga: Negocio de familia </t>
  </si>
  <si>
    <t xml:space="preserve">LA to Vegas </t>
  </si>
  <si>
    <t xml:space="preserve">La vendetta </t>
  </si>
  <si>
    <t xml:space="preserve">Ladon Mein Pali </t>
  </si>
  <si>
    <t xml:space="preserve">Lady Zika </t>
  </si>
  <si>
    <t xml:space="preserve">Laguna Beach: The Real Orange County </t>
  </si>
  <si>
    <t xml:space="preserve">Land of the Lost </t>
  </si>
  <si>
    <t xml:space="preserve">Langt fra Las Vegas </t>
  </si>
  <si>
    <t xml:space="preserve">Lark Rise to Candleford </t>
  </si>
  <si>
    <t xml:space="preserve">Las Vega's </t>
  </si>
  <si>
    <t xml:space="preserve">Laser Fart </t>
  </si>
  <si>
    <t xml:space="preserve">Last Chance U </t>
  </si>
  <si>
    <t xml:space="preserve">Last Comic Standing </t>
  </si>
  <si>
    <t xml:space="preserve">Last Man Standing </t>
  </si>
  <si>
    <t xml:space="preserve">Laura Lemurex ASMR </t>
  </si>
  <si>
    <t xml:space="preserve">Law &amp; Order </t>
  </si>
  <si>
    <t xml:space="preserve">Law &amp; Order: Criminal Intent </t>
  </si>
  <si>
    <t xml:space="preserve">Law &amp; Order: Special Victims Unit </t>
  </si>
  <si>
    <t xml:space="preserve">Lazy Game Reviews </t>
  </si>
  <si>
    <t xml:space="preserve">Leah Remini: Scientology and the Aftermath </t>
  </si>
  <si>
    <t xml:space="preserve">Legend of the Seeker </t>
  </si>
  <si>
    <t xml:space="preserve">Legend Quest </t>
  </si>
  <si>
    <t xml:space="preserve">Legends </t>
  </si>
  <si>
    <t xml:space="preserve">Legends of Gaming Brasil </t>
  </si>
  <si>
    <t xml:space="preserve">Legion </t>
  </si>
  <si>
    <t xml:space="preserve">Legion of Super Heroes </t>
  </si>
  <si>
    <t xml:space="preserve">Lego Elves: Secrets of Elvendale </t>
  </si>
  <si>
    <t xml:space="preserve">Lego Friends </t>
  </si>
  <si>
    <t xml:space="preserve">Lego Star Wars: The Freemaker Adventures </t>
  </si>
  <si>
    <t xml:space="preserve">Leif Nygaard Vlog </t>
  </si>
  <si>
    <t xml:space="preserve">Les Dalton </t>
  </si>
  <si>
    <t xml:space="preserve">Les tropiques de l'amour </t>
  </si>
  <si>
    <t xml:space="preserve">Less Than Perfect </t>
  </si>
  <si>
    <t xml:space="preserve">Let's Dance </t>
  </si>
  <si>
    <t xml:space="preserve">Lethal Weapon </t>
  </si>
  <si>
    <t xml:space="preserve">Leverage </t>
  </si>
  <si>
    <t xml:space="preserve">Liberdade 21 </t>
  </si>
  <si>
    <t xml:space="preserve">Liberty's Kids: Est. 1776 </t>
  </si>
  <si>
    <t xml:space="preserve">Lie to Me </t>
  </si>
  <si>
    <t xml:space="preserve">Life </t>
  </si>
  <si>
    <t xml:space="preserve">Life After People </t>
  </si>
  <si>
    <t xml:space="preserve">Life Below Zero </t>
  </si>
  <si>
    <t xml:space="preserve">Life in Pieces </t>
  </si>
  <si>
    <t xml:space="preserve">Life on Mars </t>
  </si>
  <si>
    <t xml:space="preserve">Life Sentence </t>
  </si>
  <si>
    <t xml:space="preserve">Life Unexpected </t>
  </si>
  <si>
    <t xml:space="preserve">Life's a Zoo </t>
  </si>
  <si>
    <t xml:space="preserve">Life's Too Short </t>
  </si>
  <si>
    <t xml:space="preserve">Lifestories: Families in Crisis </t>
  </si>
  <si>
    <t xml:space="preserve">Light as a Feather </t>
  </si>
  <si>
    <t xml:space="preserve">Lighthouse Baptist Church </t>
  </si>
  <si>
    <t xml:space="preserve">Like, la leyenda </t>
  </si>
  <si>
    <t xml:space="preserve">Lil' Bush: Resident of the United States </t>
  </si>
  <si>
    <t xml:space="preserve">Linda Macáková </t>
  </si>
  <si>
    <t xml:space="preserve">Lindenstraße </t>
  </si>
  <si>
    <t xml:space="preserve">Line of Duty </t>
  </si>
  <si>
    <t xml:space="preserve">Line of Fire </t>
  </si>
  <si>
    <t xml:space="preserve">Little Big Shots </t>
  </si>
  <si>
    <t xml:space="preserve">Little Britain </t>
  </si>
  <si>
    <t xml:space="preserve">Little People, Big World </t>
  </si>
  <si>
    <t xml:space="preserve">Little People, Big World: Wedding Farm </t>
  </si>
  <si>
    <t xml:space="preserve">Littlest Pet Shop </t>
  </si>
  <si>
    <t xml:space="preserve">Live PD: Police Patrol </t>
  </si>
  <si>
    <t xml:space="preserve">Liverpool 1 </t>
  </si>
  <si>
    <t xml:space="preserve">Living Alaska </t>
  </si>
  <si>
    <t xml:space="preserve">Living the Dream </t>
  </si>
  <si>
    <t xml:space="preserve">Living with Yourself </t>
  </si>
  <si>
    <t xml:space="preserve">Lizi ASMR </t>
  </si>
  <si>
    <t xml:space="preserve">Lizzie McGuire </t>
  </si>
  <si>
    <t xml:space="preserve">Llamas De La Vida </t>
  </si>
  <si>
    <t xml:space="preserve">Lobo </t>
  </si>
  <si>
    <t xml:space="preserve">Locked Up </t>
  </si>
  <si>
    <t xml:space="preserve">Locked Up Abroad </t>
  </si>
  <si>
    <t xml:space="preserve">Lodge 49 </t>
  </si>
  <si>
    <t xml:space="preserve">Lois &amp; Clark: The New Adventures of Superman </t>
  </si>
  <si>
    <t xml:space="preserve">Loiter Squad </t>
  </si>
  <si>
    <t xml:space="preserve">London Kills </t>
  </si>
  <si>
    <t xml:space="preserve">London's Burning </t>
  </si>
  <si>
    <t xml:space="preserve">Long Island Medium </t>
  </si>
  <si>
    <t xml:space="preserve">Long Lost Family </t>
  </si>
  <si>
    <t xml:space="preserve">Longmire </t>
  </si>
  <si>
    <t xml:space="preserve">Looking </t>
  </si>
  <si>
    <t xml:space="preserve">Lore </t>
  </si>
  <si>
    <t xml:space="preserve">Lorraine's Fast, Fresh &amp; Easy Food </t>
  </si>
  <si>
    <t xml:space="preserve">Los elegidos </t>
  </si>
  <si>
    <t xml:space="preserve">Lost </t>
  </si>
  <si>
    <t xml:space="preserve">Lost Civilizations </t>
  </si>
  <si>
    <t xml:space="preserve">Lost Girl </t>
  </si>
  <si>
    <t xml:space="preserve">Lost in Space </t>
  </si>
  <si>
    <t xml:space="preserve">Lost Song </t>
  </si>
  <si>
    <t xml:space="preserve">Lost Tapes </t>
  </si>
  <si>
    <t xml:space="preserve">Loudermilk </t>
  </si>
  <si>
    <t xml:space="preserve">Love </t>
  </si>
  <si>
    <t xml:space="preserve">Love &amp; Hip Hop </t>
  </si>
  <si>
    <t xml:space="preserve">Love at First Kiss </t>
  </si>
  <si>
    <t xml:space="preserve">Love Connection </t>
  </si>
  <si>
    <t xml:space="preserve">Love Hina </t>
  </si>
  <si>
    <t xml:space="preserve">Love in the Wild </t>
  </si>
  <si>
    <t xml:space="preserve">Love Island </t>
  </si>
  <si>
    <t xml:space="preserve">Love Me If You Dare </t>
  </si>
  <si>
    <t xml:space="preserve">Love Monkey </t>
  </si>
  <si>
    <t xml:space="preserve">Love on the Spectrum </t>
  </si>
  <si>
    <t xml:space="preserve">Love Thy Neighbor </t>
  </si>
  <si>
    <t xml:space="preserve">Love Your Garden </t>
  </si>
  <si>
    <t xml:space="preserve">Love, Sidney </t>
  </si>
  <si>
    <t xml:space="preserve">Love/Hate </t>
  </si>
  <si>
    <t xml:space="preserve">Low Winter Sun </t>
  </si>
  <si>
    <t xml:space="preserve">Lucifer </t>
  </si>
  <si>
    <t xml:space="preserve">Lucky Dog </t>
  </si>
  <si>
    <t xml:space="preserve">Lucy: The Daughter of the Devil </t>
  </si>
  <si>
    <t xml:space="preserve">LucyPug </t>
  </si>
  <si>
    <t xml:space="preserve">Luis Miguel: The Series </t>
  </si>
  <si>
    <t xml:space="preserve">Luke Cage </t>
  </si>
  <si>
    <t xml:space="preserve">Luke Nguyen's Greater Mekong </t>
  </si>
  <si>
    <t xml:space="preserve">Luke Nguyen's Vietnam </t>
  </si>
  <si>
    <t xml:space="preserve">Lukynn </t>
  </si>
  <si>
    <t xml:space="preserve">Lunatics </t>
  </si>
  <si>
    <t xml:space="preserve">Lupin </t>
  </si>
  <si>
    <t xml:space="preserve">Luther </t>
  </si>
  <si>
    <t xml:space="preserve">Lync </t>
  </si>
  <si>
    <t xml:space="preserve">M jak milosc </t>
  </si>
  <si>
    <t xml:space="preserve">M.I.High </t>
  </si>
  <si>
    <t xml:space="preserve">Maburaho </t>
  </si>
  <si>
    <t xml:space="preserve">MacGyver </t>
  </si>
  <si>
    <t xml:space="preserve">Mad Men </t>
  </si>
  <si>
    <t xml:space="preserve">Madam Secretary </t>
  </si>
  <si>
    <t xml:space="preserve">Madame De Pompadour: The King's Favourite </t>
  </si>
  <si>
    <t xml:space="preserve">Made in Chelsea </t>
  </si>
  <si>
    <t xml:space="preserve">Made in Heaven </t>
  </si>
  <si>
    <t xml:space="preserve">Madlax </t>
  </si>
  <si>
    <t xml:space="preserve">Madness </t>
  </si>
  <si>
    <t xml:space="preserve">Magic City </t>
  </si>
  <si>
    <t xml:space="preserve">Magical Angel Creamy Mami </t>
  </si>
  <si>
    <t xml:space="preserve">Magkaribal </t>
  </si>
  <si>
    <t xml:space="preserve">Magnum P.I. </t>
  </si>
  <si>
    <t xml:space="preserve">Magnum, P.I. </t>
  </si>
  <si>
    <t xml:space="preserve">Mahabharatham </t>
  </si>
  <si>
    <t xml:space="preserve">Mai otome </t>
  </si>
  <si>
    <t xml:space="preserve">Mai-HiME </t>
  </si>
  <si>
    <t xml:space="preserve">Maid Marian and Her Merry Men </t>
  </si>
  <si>
    <t xml:space="preserve">Maisie Raine </t>
  </si>
  <si>
    <t xml:space="preserve">Major Crimes </t>
  </si>
  <si>
    <t xml:space="preserve">Make It or Break It </t>
  </si>
  <si>
    <t xml:space="preserve">Make It Pop </t>
  </si>
  <si>
    <t xml:space="preserve">Making a Murderer </t>
  </si>
  <si>
    <t xml:space="preserve">Making History </t>
  </si>
  <si>
    <t xml:space="preserve">Making It </t>
  </si>
  <si>
    <t xml:space="preserve">Mako Mermaids </t>
  </si>
  <si>
    <t xml:space="preserve">Makyna's Life </t>
  </si>
  <si>
    <t xml:space="preserve">Malcolm in the Middle </t>
  </si>
  <si>
    <t xml:space="preserve">Malibu, CA </t>
  </si>
  <si>
    <t xml:space="preserve">Mama Lifestyle </t>
  </si>
  <si>
    <t xml:space="preserve">Man Down </t>
  </si>
  <si>
    <t xml:space="preserve">Man Seeking Woman </t>
  </si>
  <si>
    <t xml:space="preserve">Man v. Food </t>
  </si>
  <si>
    <t xml:space="preserve">Man with a Plan </t>
  </si>
  <si>
    <t xml:space="preserve">Manhunt </t>
  </si>
  <si>
    <t xml:space="preserve">Manifest </t>
  </si>
  <si>
    <t xml:space="preserve">Manny's Movie Macabre </t>
  </si>
  <si>
    <t xml:space="preserve">Maple Town </t>
  </si>
  <si>
    <t xml:space="preserve">Mara Clara </t>
  </si>
  <si>
    <t xml:space="preserve">Marcella </t>
  </si>
  <si>
    <t xml:space="preserve">Marco Polo </t>
  </si>
  <si>
    <t xml:space="preserve">MareTV </t>
  </si>
  <si>
    <t xml:space="preserve">Maria Watches Over Us </t>
  </si>
  <si>
    <t xml:space="preserve">Marianne the First </t>
  </si>
  <si>
    <t xml:space="preserve">Marimar </t>
  </si>
  <si>
    <t xml:space="preserve">Mark Tyban </t>
  </si>
  <si>
    <t xml:space="preserve">Married </t>
  </si>
  <si>
    <t xml:space="preserve">Married to Medicine </t>
  </si>
  <si>
    <t xml:space="preserve">Married... with Children </t>
  </si>
  <si>
    <t xml:space="preserve">Marry Me </t>
  </si>
  <si>
    <t xml:space="preserve">Marta a Vera </t>
  </si>
  <si>
    <t xml:space="preserve">Martial Law </t>
  </si>
  <si>
    <t xml:space="preserve">Martin </t>
  </si>
  <si>
    <t xml:space="preserve">Martin Donát </t>
  </si>
  <si>
    <t xml:space="preserve">Marvel Disk Wars: The Avengers </t>
  </si>
  <si>
    <t xml:space="preserve">Marvel's Hero Project </t>
  </si>
  <si>
    <t xml:space="preserve">Mary Berry Everyday </t>
  </si>
  <si>
    <t xml:space="preserve">Mary Kills People </t>
  </si>
  <si>
    <t xml:space="preserve">Mary Lou </t>
  </si>
  <si>
    <t xml:space="preserve">Master of None </t>
  </si>
  <si>
    <t xml:space="preserve">Masterchef </t>
  </si>
  <si>
    <t xml:space="preserve">MasterChef Junior </t>
  </si>
  <si>
    <t xml:space="preserve">Masters of Illusion </t>
  </si>
  <si>
    <t xml:space="preserve">Masters of Sex </t>
  </si>
  <si>
    <t xml:space="preserve">Masters of the Universe vs. the Snake Men </t>
  </si>
  <si>
    <t xml:space="preserve">Match Game </t>
  </si>
  <si>
    <t xml:space="preserve">Matlock </t>
  </si>
  <si>
    <t xml:space="preserve">Matous Kacanos </t>
  </si>
  <si>
    <t xml:space="preserve">Max Headroom </t>
  </si>
  <si>
    <t xml:space="preserve">Maxim Hrabanec </t>
  </si>
  <si>
    <t xml:space="preserve">Mayans M.C. </t>
  </si>
  <si>
    <t xml:space="preserve">McLeod's Daughters </t>
  </si>
  <si>
    <t xml:space="preserve">McMafia </t>
  </si>
  <si>
    <t xml:space="preserve">Me &amp; My Monsters </t>
  </si>
  <si>
    <t xml:space="preserve">Me Too </t>
  </si>
  <si>
    <t xml:space="preserve">Meadowlands </t>
  </si>
  <si>
    <t xml:space="preserve">Meanwhile... </t>
  </si>
  <si>
    <t xml:space="preserve">Mechakko Dotakon </t>
  </si>
  <si>
    <t xml:space="preserve">Medal of Honor </t>
  </si>
  <si>
    <t xml:space="preserve">Medici </t>
  </si>
  <si>
    <t xml:space="preserve">Medium </t>
  </si>
  <si>
    <t xml:space="preserve">Meego </t>
  </si>
  <si>
    <t xml:space="preserve">Mega Babies </t>
  </si>
  <si>
    <t xml:space="preserve">Mega Man </t>
  </si>
  <si>
    <t xml:space="preserve">Megas XLR </t>
  </si>
  <si>
    <t xml:space="preserve">Megazone 23 III </t>
  </si>
  <si>
    <t xml:space="preserve">Mei-chan's Butler </t>
  </si>
  <si>
    <t xml:space="preserve">Melissa &amp; Joey </t>
  </si>
  <si>
    <t xml:space="preserve">Melrose Place </t>
  </si>
  <si>
    <t xml:space="preserve">Memories of the Alhambra </t>
  </si>
  <si>
    <t xml:space="preserve">Memphis Beat </t>
  </si>
  <si>
    <t xml:space="preserve">Men Behaving Badly </t>
  </si>
  <si>
    <t xml:space="preserve">Mercy </t>
  </si>
  <si>
    <t xml:space="preserve">Mercy Street </t>
  </si>
  <si>
    <t xml:space="preserve">Meri Zaat Zarrae Benishan </t>
  </si>
  <si>
    <t xml:space="preserve">Merlin </t>
  </si>
  <si>
    <t xml:space="preserve">Metal Evolution </t>
  </si>
  <si>
    <t xml:space="preserve">Metalocalypse </t>
  </si>
  <si>
    <t xml:space="preserve">Meteor Garden </t>
  </si>
  <si>
    <t xml:space="preserve">Metrosexuality </t>
  </si>
  <si>
    <t xml:space="preserve">Mga mata ni Anghelita </t>
  </si>
  <si>
    <t xml:space="preserve">Miami Guns </t>
  </si>
  <si>
    <t xml:space="preserve">Miami Ink </t>
  </si>
  <si>
    <t xml:space="preserve">Miami Vice </t>
  </si>
  <si>
    <t xml:space="preserve">Micawber </t>
  </si>
  <si>
    <t xml:space="preserve">Michael &amp; Michael Have Issues </t>
  </si>
  <si>
    <t xml:space="preserve">Mickey and the Roadster Racers </t>
  </si>
  <si>
    <t xml:space="preserve">Mickey Mouse </t>
  </si>
  <si>
    <t xml:space="preserve">Mickey Mouse Clubhouse </t>
  </si>
  <si>
    <t xml:space="preserve">Mickey Mouse Works </t>
  </si>
  <si>
    <t xml:space="preserve">Midnight Sun </t>
  </si>
  <si>
    <t xml:space="preserve">Midnight, Texas </t>
  </si>
  <si>
    <t xml:space="preserve">Midsomer Murders </t>
  </si>
  <si>
    <t xml:space="preserve">Mighty Morphin Power Rangers </t>
  </si>
  <si>
    <t xml:space="preserve">Miimu iro iro yume no tabi </t>
  </si>
  <si>
    <t xml:space="preserve">Mike &amp; Molly </t>
  </si>
  <si>
    <t xml:space="preserve">Mike Tyson Mysteries </t>
  </si>
  <si>
    <t xml:space="preserve">Mile High </t>
  </si>
  <si>
    <t xml:space="preserve">Miles from Tomorrowland </t>
  </si>
  <si>
    <t xml:space="preserve">Millennium </t>
  </si>
  <si>
    <t xml:space="preserve">Million Dollar Listing Los Angeles </t>
  </si>
  <si>
    <t xml:space="preserve">Million Dollar Listing New York </t>
  </si>
  <si>
    <t xml:space="preserve">Milly, Molly </t>
  </si>
  <si>
    <t xml:space="preserve">Mind Field </t>
  </si>
  <si>
    <t xml:space="preserve">Mind of Mencia </t>
  </si>
  <si>
    <t xml:space="preserve">Mindhunter </t>
  </si>
  <si>
    <t xml:space="preserve">Minority Report </t>
  </si>
  <si>
    <t xml:space="preserve">Mira lo que has hecho </t>
  </si>
  <si>
    <t xml:space="preserve">Miraculous: Tales of Ladybug &amp; Cat Noir </t>
  </si>
  <si>
    <t xml:space="preserve">Miranda </t>
  </si>
  <si>
    <t xml:space="preserve">Miranda Sings </t>
  </si>
  <si>
    <t xml:space="preserve">Mirror, Mirror </t>
  </si>
  <si>
    <t xml:space="preserve">Mirzapur </t>
  </si>
  <si>
    <t xml:space="preserve">Misfits </t>
  </si>
  <si>
    <t xml:space="preserve">Misija majora Atertona </t>
  </si>
  <si>
    <t xml:space="preserve">Miss Fisher's Murder Mysteries </t>
  </si>
  <si>
    <t xml:space="preserve">Missing </t>
  </si>
  <si>
    <t xml:space="preserve">Mission Selfie </t>
  </si>
  <si>
    <t xml:space="preserve">Mission: Impossible </t>
  </si>
  <si>
    <t xml:space="preserve">Mister Tachyon </t>
  </si>
  <si>
    <t xml:space="preserve">Mistresses </t>
  </si>
  <si>
    <t xml:space="preserve">Mob Wives </t>
  </si>
  <si>
    <t xml:space="preserve">Mobbed </t>
  </si>
  <si>
    <t xml:space="preserve">Mobile Fighter G Gundam </t>
  </si>
  <si>
    <t xml:space="preserve">Mobile Suit Gundam Seed </t>
  </si>
  <si>
    <t xml:space="preserve">Mobile Suit Gundam Seed Destiny </t>
  </si>
  <si>
    <t xml:space="preserve">Mobile Suit Gundam Wing </t>
  </si>
  <si>
    <t xml:space="preserve">Mobile Suit Gundam ZZ </t>
  </si>
  <si>
    <t xml:space="preserve">Mobile Suit Zeta Gundam </t>
  </si>
  <si>
    <t xml:space="preserve">Modeling with Ishah Wright Produced in Full HD </t>
  </si>
  <si>
    <t xml:space="preserve">Modern Family </t>
  </si>
  <si>
    <t xml:space="preserve">Modern Love </t>
  </si>
  <si>
    <t xml:space="preserve">Mom </t>
  </si>
  <si>
    <t xml:space="preserve">Mom &amp; Me </t>
  </si>
  <si>
    <t xml:space="preserve">Mona the Vampire </t>
  </si>
  <si>
    <t xml:space="preserve">Monarch of the Glen </t>
  </si>
  <si>
    <t xml:space="preserve">Money Heist </t>
  </si>
  <si>
    <t xml:space="preserve">Mongrels </t>
  </si>
  <si>
    <t xml:space="preserve">Monk </t>
  </si>
  <si>
    <t xml:space="preserve">Monstar </t>
  </si>
  <si>
    <t xml:space="preserve">Monster </t>
  </si>
  <si>
    <t xml:space="preserve">Monster Musume: Everyday Life with Monster Girls </t>
  </si>
  <si>
    <t xml:space="preserve">Monsuno </t>
  </si>
  <si>
    <t xml:space="preserve">Moon Dreamers </t>
  </si>
  <si>
    <t xml:space="preserve">Moon Lovers: Scarlet Heart Ryeo </t>
  </si>
  <si>
    <t xml:space="preserve">Moone Boy </t>
  </si>
  <si>
    <t xml:space="preserve">Moonlighting </t>
  </si>
  <si>
    <t xml:space="preserve">Moonshiners </t>
  </si>
  <si>
    <t xml:space="preserve">Moral Orel </t>
  </si>
  <si>
    <t xml:space="preserve">Morangos com Açúcar </t>
  </si>
  <si>
    <t xml:space="preserve">More Than a River </t>
  </si>
  <si>
    <t xml:space="preserve">More Zoella </t>
  </si>
  <si>
    <t xml:space="preserve">Mortal Kombat: Conquest </t>
  </si>
  <si>
    <t xml:space="preserve">Mortal Kombat: Defenders of the Realm </t>
  </si>
  <si>
    <t xml:space="preserve">Mortal Kombat: Legacy </t>
  </si>
  <si>
    <t xml:space="preserve">Moshi koukou yakyuu no joshi manêjâ ga Dorakkâ no 'Manejimento' wo yondara </t>
  </si>
  <si>
    <t xml:space="preserve">Most Evil </t>
  </si>
  <si>
    <t xml:space="preserve">Most Haunted </t>
  </si>
  <si>
    <t xml:space="preserve">Mot i brøstet </t>
  </si>
  <si>
    <t xml:space="preserve">Motherland </t>
  </si>
  <si>
    <t xml:space="preserve">Motive </t>
  </si>
  <si>
    <t xml:space="preserve">Moya Prechistenka </t>
  </si>
  <si>
    <t xml:space="preserve">Mr &amp; Mrs Murder </t>
  </si>
  <si>
    <t xml:space="preserve">Mr Selfridge </t>
  </si>
  <si>
    <t xml:space="preserve">Mr. Bean </t>
  </si>
  <si>
    <t xml:space="preserve">Mr. Mercedes </t>
  </si>
  <si>
    <t xml:space="preserve">Mr. Pickles </t>
  </si>
  <si>
    <t xml:space="preserve">Mr. Robot </t>
  </si>
  <si>
    <t xml:space="preserve">Mr. Show with Bob and David </t>
  </si>
  <si>
    <t xml:space="preserve">Mr. Sloane </t>
  </si>
  <si>
    <t xml:space="preserve">Mr. Sunshine </t>
  </si>
  <si>
    <t xml:space="preserve">Mrs. Brown's Boys </t>
  </si>
  <si>
    <t xml:space="preserve">Mrs. Fletcher </t>
  </si>
  <si>
    <t xml:space="preserve">MrTomcatCZ </t>
  </si>
  <si>
    <t xml:space="preserve">Ms. Monologue </t>
  </si>
  <si>
    <t xml:space="preserve">Mt. Emmanuel Missionary Baptist Church </t>
  </si>
  <si>
    <t xml:space="preserve">MTV Floribama Shore </t>
  </si>
  <si>
    <t xml:space="preserve">Mujeres de nadie </t>
  </si>
  <si>
    <t xml:space="preserve">Mula sa puso </t>
  </si>
  <si>
    <t xml:space="preserve">Mulawin </t>
  </si>
  <si>
    <t xml:space="preserve">Mummies Alive! </t>
  </si>
  <si>
    <t xml:space="preserve">Mundo de fieras </t>
  </si>
  <si>
    <t xml:space="preserve">Munting heredera </t>
  </si>
  <si>
    <t xml:space="preserve">Muppet Babies </t>
  </si>
  <si>
    <t xml:space="preserve">Murder Call </t>
  </si>
  <si>
    <t xml:space="preserve">Murder, She Wrote </t>
  </si>
  <si>
    <t xml:space="preserve">Murdoch Mysteries </t>
  </si>
  <si>
    <t xml:space="preserve">Murphy Brown </t>
  </si>
  <si>
    <t xml:space="preserve">Musée Eden </t>
  </si>
  <si>
    <t xml:space="preserve">Mutant X </t>
  </si>
  <si>
    <t xml:space="preserve">My 600-lb Life </t>
  </si>
  <si>
    <t xml:space="preserve">My Big Fat Fabulous Life </t>
  </si>
  <si>
    <t xml:space="preserve">My Big Fat Obnoxious Fiance </t>
  </si>
  <si>
    <t xml:space="preserve">My Brilliant Friend </t>
  </si>
  <si>
    <t xml:space="preserve">My Cat from Hell </t>
  </si>
  <si>
    <t xml:space="preserve">My Crazy Ex </t>
  </si>
  <si>
    <t xml:space="preserve">My Diet Is Better Than Yours </t>
  </si>
  <si>
    <t xml:space="preserve">My Family </t>
  </si>
  <si>
    <t xml:space="preserve">My Girlfriend Is a Gumiho </t>
  </si>
  <si>
    <t xml:space="preserve">My Guardian Characters </t>
  </si>
  <si>
    <t xml:space="preserve">My Gym Partner's a Monkey </t>
  </si>
  <si>
    <t xml:space="preserve">My Hero Academia </t>
  </si>
  <si>
    <t xml:space="preserve">My Little Pony: Friendship Is Magic </t>
  </si>
  <si>
    <t xml:space="preserve">My Lovely Sam-Soon </t>
  </si>
  <si>
    <t xml:space="preserve">My Mad Fat Diary </t>
  </si>
  <si>
    <t xml:space="preserve">My Name Is Earl </t>
  </si>
  <si>
    <t xml:space="preserve">My Parents Are Aliens </t>
  </si>
  <si>
    <t xml:space="preserve">My Secret Identity </t>
  </si>
  <si>
    <t xml:space="preserve">My So-Called Life </t>
  </si>
  <si>
    <t xml:space="preserve">My Strange Addiction </t>
  </si>
  <si>
    <t xml:space="preserve">My Super Sweet 16 </t>
  </si>
  <si>
    <t xml:space="preserve">My Two Dads </t>
  </si>
  <si>
    <t xml:space="preserve">My Virgin Kitchen </t>
  </si>
  <si>
    <t xml:space="preserve">My Wife and Kids </t>
  </si>
  <si>
    <t xml:space="preserve">Mystery Science Theater 3000 </t>
  </si>
  <si>
    <t xml:space="preserve">Mystery!: Cadfael </t>
  </si>
  <si>
    <t xml:space="preserve">Mystic Knights of Tir Na Nog </t>
  </si>
  <si>
    <t xml:space="preserve">MythBusters </t>
  </si>
  <si>
    <t xml:space="preserve">MythQuest </t>
  </si>
  <si>
    <t xml:space="preserve">Naagin </t>
  </si>
  <si>
    <t xml:space="preserve">Nadia: The Secret of Blue Water </t>
  </si>
  <si>
    <t xml:space="preserve">Nadiya's British Food Adventure </t>
  </si>
  <si>
    <t xml:space="preserve">Nadrazí </t>
  </si>
  <si>
    <t xml:space="preserve">Nailed It! </t>
  </si>
  <si>
    <t xml:space="preserve">Najica: Blitz Tactics </t>
  </si>
  <si>
    <t xml:space="preserve">Naked and Afraid </t>
  </si>
  <si>
    <t xml:space="preserve">Naked and Marooned with Ed Stafford </t>
  </si>
  <si>
    <t xml:space="preserve">Naked Attraction </t>
  </si>
  <si>
    <t xml:space="preserve">Namoos </t>
  </si>
  <si>
    <t xml:space="preserve">Nancy Drew </t>
  </si>
  <si>
    <t xml:space="preserve">Narcos </t>
  </si>
  <si>
    <t xml:space="preserve">Narcos: Mexico </t>
  </si>
  <si>
    <t xml:space="preserve">Naruto </t>
  </si>
  <si>
    <t xml:space="preserve">Naruto: Shippûden </t>
  </si>
  <si>
    <t xml:space="preserve">Nasaan ka, Elisa? </t>
  </si>
  <si>
    <t xml:space="preserve">Nash Bridges </t>
  </si>
  <si>
    <t xml:space="preserve">Nashville </t>
  </si>
  <si>
    <t xml:space="preserve">Nasi </t>
  </si>
  <si>
    <t xml:space="preserve">Nate Is Late </t>
  </si>
  <si>
    <t xml:space="preserve">Natsume's Book of Friends </t>
  </si>
  <si>
    <t xml:space="preserve">Natyla </t>
  </si>
  <si>
    <t xml:space="preserve">NCIS </t>
  </si>
  <si>
    <t xml:space="preserve">NCIS: Los Angeles </t>
  </si>
  <si>
    <t xml:space="preserve">NCIS: New Orleans </t>
  </si>
  <si>
    <t xml:space="preserve">Ne Vremya </t>
  </si>
  <si>
    <t xml:space="preserve">Necessary Roughness </t>
  </si>
  <si>
    <t xml:space="preserve">Neighbours </t>
  </si>
  <si>
    <t xml:space="preserve">Nejhater </t>
  </si>
  <si>
    <t xml:space="preserve">Neon Genesis Evangelion </t>
  </si>
  <si>
    <t xml:space="preserve">Neon Joe, Werewolf Hunter </t>
  </si>
  <si>
    <t xml:space="preserve">New Amsterdam </t>
  </si>
  <si>
    <t xml:space="preserve">New Blood </t>
  </si>
  <si>
    <t xml:space="preserve">New Fist of the North Star </t>
  </si>
  <si>
    <t xml:space="preserve">New Hope Apostolic Church </t>
  </si>
  <si>
    <t xml:space="preserve">New Looney Tunes </t>
  </si>
  <si>
    <t xml:space="preserve">NewsRadio </t>
  </si>
  <si>
    <t xml:space="preserve">Newzoids </t>
  </si>
  <si>
    <t xml:space="preserve">Nexo Knights </t>
  </si>
  <si>
    <t xml:space="preserve">Nickelodeon Presents: Inside-Out Boy </t>
  </si>
  <si>
    <t xml:space="preserve">Nigella Bites </t>
  </si>
  <si>
    <t xml:space="preserve">Night club </t>
  </si>
  <si>
    <t xml:space="preserve">Night Court </t>
  </si>
  <si>
    <t xml:space="preserve">Night Shift Nurses </t>
  </si>
  <si>
    <t xml:space="preserve">Night Stalker </t>
  </si>
  <si>
    <t xml:space="preserve">Nightflyers </t>
  </si>
  <si>
    <t xml:space="preserve">Nightmare Next Door </t>
  </si>
  <si>
    <t xml:space="preserve">Nightwalker: Midnight Detective </t>
  </si>
  <si>
    <t xml:space="preserve">Nikita </t>
  </si>
  <si>
    <t xml:space="preserve">Ninja Scroll: The Series </t>
  </si>
  <si>
    <t xml:space="preserve">Ninja Turtles: The Next Mutation </t>
  </si>
  <si>
    <t xml:space="preserve">Nip/Tuck </t>
  </si>
  <si>
    <t xml:space="preserve">Nirvana in Fire </t>
  </si>
  <si>
    <t xml:space="preserve">Nitro Rad </t>
  </si>
  <si>
    <t xml:space="preserve">No Angels </t>
  </si>
  <si>
    <t xml:space="preserve">No Evil </t>
  </si>
  <si>
    <t xml:space="preserve">No Offence </t>
  </si>
  <si>
    <t xml:space="preserve">No Ordinary Family </t>
  </si>
  <si>
    <t xml:space="preserve">No Place Like Home </t>
  </si>
  <si>
    <t xml:space="preserve">Noah's Arc </t>
  </si>
  <si>
    <t xml:space="preserve">Noah's Island </t>
  </si>
  <si>
    <t xml:space="preserve">Nobody's Looking </t>
  </si>
  <si>
    <t xml:space="preserve">Noir </t>
  </si>
  <si>
    <t xml:space="preserve">Non Non Biyori </t>
  </si>
  <si>
    <t xml:space="preserve">Northern Exposure </t>
  </si>
  <si>
    <t xml:space="preserve">Notes on a Scene </t>
  </si>
  <si>
    <t xml:space="preserve">Now and Then, Here and There </t>
  </si>
  <si>
    <t xml:space="preserve">Nowhere to Hide </t>
  </si>
  <si>
    <t xml:space="preserve">NTSF:SD:SUV </t>
  </si>
  <si>
    <t xml:space="preserve">Nu </t>
  </si>
  <si>
    <t xml:space="preserve">Numb3rs </t>
  </si>
  <si>
    <t xml:space="preserve">Nurse Angel Ririka SOS </t>
  </si>
  <si>
    <t xml:space="preserve">Nurse Jackie </t>
  </si>
  <si>
    <t xml:space="preserve">NYPD Blue </t>
  </si>
  <si>
    <t xml:space="preserve">Occupation: Adventurer </t>
  </si>
  <si>
    <t xml:space="preserve">Ocean Ave. </t>
  </si>
  <si>
    <t xml:space="preserve">October Road </t>
  </si>
  <si>
    <t xml:space="preserve">Odd Job Jack </t>
  </si>
  <si>
    <t xml:space="preserve">Odiens </t>
  </si>
  <si>
    <t xml:space="preserve">Odlazak ratnika, povratak marsala </t>
  </si>
  <si>
    <t xml:space="preserve">Odyssey 5 </t>
  </si>
  <si>
    <t xml:space="preserve">Ohara </t>
  </si>
  <si>
    <t xml:space="preserve">Ohnivý kure </t>
  </si>
  <si>
    <t xml:space="preserve">Oi aparadektoi </t>
  </si>
  <si>
    <t xml:space="preserve">OK K.O.! Let's Be Heroes </t>
  </si>
  <si>
    <t xml:space="preserve">Old Paths Baptist Church MN </t>
  </si>
  <si>
    <t xml:space="preserve">Olhos nos Olhos </t>
  </si>
  <si>
    <t xml:space="preserve">Oly's Fun </t>
  </si>
  <si>
    <t xml:space="preserve">Omer et le fils de l'étoile </t>
  </si>
  <si>
    <t xml:space="preserve">On Becoming a God in Central Florida </t>
  </si>
  <si>
    <t xml:space="preserve">On Death Row </t>
  </si>
  <si>
    <t xml:space="preserve">On je zena! </t>
  </si>
  <si>
    <t xml:space="preserve">On Killing </t>
  </si>
  <si>
    <t xml:space="preserve">On My Block </t>
  </si>
  <si>
    <t xml:space="preserve">Once Upon a Time </t>
  </si>
  <si>
    <t xml:space="preserve">Once Upon a Time in Cabramatta </t>
  </si>
  <si>
    <t xml:space="preserve">Once Upon a Time in Wonderland </t>
  </si>
  <si>
    <t xml:space="preserve">One Day at a Time </t>
  </si>
  <si>
    <t xml:space="preserve">One Foot in the Grave </t>
  </si>
  <si>
    <t xml:space="preserve">One Strange Rock </t>
  </si>
  <si>
    <t xml:space="preserve">One Tree Hill </t>
  </si>
  <si>
    <t xml:space="preserve">One Week Friends </t>
  </si>
  <si>
    <t xml:space="preserve">Only Fools and Horses.... </t>
  </si>
  <si>
    <t xml:space="preserve">Opal Fever </t>
  </si>
  <si>
    <t xml:space="preserve">Open Air Outreach </t>
  </si>
  <si>
    <t xml:space="preserve">Optimus Gang </t>
  </si>
  <si>
    <t xml:space="preserve">Orange Is the New Black </t>
  </si>
  <si>
    <t xml:space="preserve">Origin </t>
  </si>
  <si>
    <t xml:space="preserve">Orphan Black </t>
  </si>
  <si>
    <t xml:space="preserve">Orson &amp; Olivia </t>
  </si>
  <si>
    <t xml:space="preserve">Oscar's Orchestra </t>
  </si>
  <si>
    <t xml:space="preserve">Other art </t>
  </si>
  <si>
    <t xml:space="preserve">Otkroveniya </t>
  </si>
  <si>
    <t xml:space="preserve">Our House </t>
  </si>
  <si>
    <t xml:space="preserve">Ouran High School Host Club </t>
  </si>
  <si>
    <t xml:space="preserve">Out of This World </t>
  </si>
  <si>
    <t xml:space="preserve">Outdaughtered </t>
  </si>
  <si>
    <t xml:space="preserve">Outlander </t>
  </si>
  <si>
    <t xml:space="preserve">Outlaw Star </t>
  </si>
  <si>
    <t xml:space="preserve">Outnumbered </t>
  </si>
  <si>
    <t xml:space="preserve">Outrageous Fortune </t>
  </si>
  <si>
    <t xml:space="preserve">Oz </t>
  </si>
  <si>
    <t xml:space="preserve">Ozark </t>
  </si>
  <si>
    <t xml:space="preserve">Pablo Escobar: El Patrón del Mal </t>
  </si>
  <si>
    <t xml:space="preserve">Pacific Palisades </t>
  </si>
  <si>
    <t xml:space="preserve">Packed to the Rafters </t>
  </si>
  <si>
    <t xml:space="preserve">Pan Am </t>
  </si>
  <si>
    <t xml:space="preserve">Pandemic </t>
  </si>
  <si>
    <t xml:space="preserve">Pandora </t>
  </si>
  <si>
    <t xml:space="preserve">Panty &amp; Stocking with Garterbelt </t>
  </si>
  <si>
    <t xml:space="preserve">Paradise </t>
  </si>
  <si>
    <t xml:space="preserve">Paradise Falls </t>
  </si>
  <si>
    <t xml:space="preserve">Paranormal Witness </t>
  </si>
  <si>
    <t xml:space="preserve">Parásitos </t>
  </si>
  <si>
    <t xml:space="preserve">Parks and Recreation </t>
  </si>
  <si>
    <t xml:space="preserve">Partners </t>
  </si>
  <si>
    <t xml:space="preserve">Party of Five </t>
  </si>
  <si>
    <t xml:space="preserve">Passione </t>
  </si>
  <si>
    <t xml:space="preserve">Past Life </t>
  </si>
  <si>
    <t xml:space="preserve">Pé Na Porta </t>
  </si>
  <si>
    <t xml:space="preserve">Peaky Blinders </t>
  </si>
  <si>
    <t xml:space="preserve">Pee-wee's Playhouse </t>
  </si>
  <si>
    <t xml:space="preserve">Pelagea ASMR </t>
  </si>
  <si>
    <t xml:space="preserve">Pelswick </t>
  </si>
  <si>
    <t xml:space="preserve">PEN15 </t>
  </si>
  <si>
    <t xml:space="preserve">Penn &amp; Teller: Bullshit! </t>
  </si>
  <si>
    <t xml:space="preserve">Penny Dreadful </t>
  </si>
  <si>
    <t xml:space="preserve">People Just Do Nothing </t>
  </si>
  <si>
    <t xml:space="preserve">People Magazine Investigates </t>
  </si>
  <si>
    <t xml:space="preserve">People of Earth </t>
  </si>
  <si>
    <t xml:space="preserve">Peppa Pig </t>
  </si>
  <si>
    <t xml:space="preserve">Pepper Chocolate </t>
  </si>
  <si>
    <t xml:space="preserve">Perfect World </t>
  </si>
  <si>
    <t xml:space="preserve">Person of Interest </t>
  </si>
  <si>
    <t xml:space="preserve">Petscop </t>
  </si>
  <si>
    <t xml:space="preserve">Phantom: Requiem for the Phantom </t>
  </si>
  <si>
    <t xml:space="preserve">Phil of the Future </t>
  </si>
  <si>
    <t xml:space="preserve">Philip Marlowe, Private Eye </t>
  </si>
  <si>
    <t xml:space="preserve">Phineas and Ferb </t>
  </si>
  <si>
    <t xml:space="preserve">Pick Me! </t>
  </si>
  <si>
    <t xml:space="preserve">Picket Fences </t>
  </si>
  <si>
    <t xml:space="preserve">Pierre and Isa </t>
  </si>
  <si>
    <t xml:space="preserve">Pinheads </t>
  </si>
  <si>
    <t xml:space="preserve">Pinky and the Brain </t>
  </si>
  <si>
    <t xml:space="preserve">Pinulot ka lang sa lupa </t>
  </si>
  <si>
    <t xml:space="preserve">Pirlimpimpim </t>
  </si>
  <si>
    <t xml:space="preserve">Planetes </t>
  </si>
  <si>
    <t xml:space="preserve">Play by Play </t>
  </si>
  <si>
    <t xml:space="preserve">Playboy Cyber Girls </t>
  </si>
  <si>
    <t xml:space="preserve">Playing the Field </t>
  </si>
  <si>
    <t xml:space="preserve">Pleasant Green Baptist Church of Omaha Nebraska </t>
  </si>
  <si>
    <t xml:space="preserve">Please Like Me </t>
  </si>
  <si>
    <t xml:space="preserve">Please Save My Earth </t>
  </si>
  <si>
    <t xml:space="preserve">Please Teacher! </t>
  </si>
  <si>
    <t xml:space="preserve">Please Twins! </t>
  </si>
  <si>
    <t xml:space="preserve">Plebania </t>
  </si>
  <si>
    <t xml:space="preserve">Plebs </t>
  </si>
  <si>
    <t xml:space="preserve">Plus belle la vie </t>
  </si>
  <si>
    <t xml:space="preserve">Pochtoviy chetverg </t>
  </si>
  <si>
    <t xml:space="preserve">Point Blank </t>
  </si>
  <si>
    <t xml:space="preserve">Point Pleasant </t>
  </si>
  <si>
    <t xml:space="preserve">Pokémon </t>
  </si>
  <si>
    <t xml:space="preserve">Poldark </t>
  </si>
  <si>
    <t xml:space="preserve">Police Academy: The Series </t>
  </si>
  <si>
    <t xml:space="preserve">Police Rescue </t>
  </si>
  <si>
    <t xml:space="preserve">Police Squad! </t>
  </si>
  <si>
    <t xml:space="preserve">Police Videos </t>
  </si>
  <si>
    <t xml:space="preserve">Popcultured </t>
  </si>
  <si>
    <t xml:space="preserve">Popples </t>
  </si>
  <si>
    <t xml:space="preserve">Popular </t>
  </si>
  <si>
    <t xml:space="preserve">Port Charles </t>
  </si>
  <si>
    <t xml:space="preserve">Portlandia </t>
  </si>
  <si>
    <t xml:space="preserve">Pose </t>
  </si>
  <si>
    <t xml:space="preserve">Poslednji cin </t>
  </si>
  <si>
    <t xml:space="preserve">Post-Trib Moments </t>
  </si>
  <si>
    <t xml:space="preserve">Power </t>
  </si>
  <si>
    <t xml:space="preserve">Power Lunch </t>
  </si>
  <si>
    <t xml:space="preserve">Power Rangers DinoThunder </t>
  </si>
  <si>
    <t xml:space="preserve">Power Rangers in Space </t>
  </si>
  <si>
    <t xml:space="preserve">Power Rangers Jungle Fury </t>
  </si>
  <si>
    <t xml:space="preserve">Power Rangers Ninja Steel </t>
  </si>
  <si>
    <t xml:space="preserve">Power Rangers Ninja Storm </t>
  </si>
  <si>
    <t xml:space="preserve">Power Rangers Samurai </t>
  </si>
  <si>
    <t xml:space="preserve">Power Rangers Wild Force </t>
  </si>
  <si>
    <t xml:space="preserve">Power Rangers Zeo </t>
  </si>
  <si>
    <t xml:space="preserve">Powerless </t>
  </si>
  <si>
    <t xml:space="preserve">PP Studio's Communal Universes </t>
  </si>
  <si>
    <t xml:space="preserve">PragueMan </t>
  </si>
  <si>
    <t xml:space="preserve">Pravidlo sesti </t>
  </si>
  <si>
    <t xml:space="preserve">Pretend Time </t>
  </si>
  <si>
    <t xml:space="preserve">Pretty Little Liars </t>
  </si>
  <si>
    <t xml:space="preserve">Pretty the Series </t>
  </si>
  <si>
    <t xml:space="preserve">Prettykittymiaos </t>
  </si>
  <si>
    <t xml:space="preserve">Prey </t>
  </si>
  <si>
    <t xml:space="preserve">Prickly Heat </t>
  </si>
  <si>
    <t xml:space="preserve">Primetime Glick </t>
  </si>
  <si>
    <t xml:space="preserve">Princess Tutu </t>
  </si>
  <si>
    <t xml:space="preserve">Prison Break </t>
  </si>
  <si>
    <t xml:space="preserve">Private Practice </t>
  </si>
  <si>
    <t xml:space="preserve">Private Schulz </t>
  </si>
  <si>
    <t xml:space="preserve">Prodigal Son </t>
  </si>
  <si>
    <t xml:space="preserve">Profiler </t>
  </si>
  <si>
    <t xml:space="preserve">Project Runway </t>
  </si>
  <si>
    <t xml:space="preserve">Project Runway Canada </t>
  </si>
  <si>
    <t xml:space="preserve">Proven Innocent </t>
  </si>
  <si>
    <t xml:space="preserve">Providence </t>
  </si>
  <si>
    <t xml:space="preserve">Psych </t>
  </si>
  <si>
    <t xml:space="preserve">Psychic Detective Yakumo </t>
  </si>
  <si>
    <t xml:space="preserve">Psychic Kids: Children of the Paranormal </t>
  </si>
  <si>
    <t xml:space="preserve">Psycho-Pass </t>
  </si>
  <si>
    <t xml:space="preserve">Psychopat Bejr </t>
  </si>
  <si>
    <t xml:space="preserve">Pugwall </t>
  </si>
  <si>
    <t xml:space="preserve">Pulp Horror </t>
  </si>
  <si>
    <t xml:space="preserve">Punched Up </t>
  </si>
  <si>
    <t xml:space="preserve">Punky Brewster </t>
  </si>
  <si>
    <t xml:space="preserve">Pupa </t>
  </si>
  <si>
    <t xml:space="preserve">Pushing Daisies </t>
  </si>
  <si>
    <t xml:space="preserve">Put on Francella </t>
  </si>
  <si>
    <t xml:space="preserve">Qeios </t>
  </si>
  <si>
    <t xml:space="preserve">QSN with Helene Ellford </t>
  </si>
  <si>
    <t xml:space="preserve">Quack Pack </t>
  </si>
  <si>
    <t xml:space="preserve">Quantico </t>
  </si>
  <si>
    <t xml:space="preserve">Quantum Leap </t>
  </si>
  <si>
    <t xml:space="preserve">Quarry </t>
  </si>
  <si>
    <t xml:space="preserve">Queen of Swords </t>
  </si>
  <si>
    <t xml:space="preserve">Queen of the South </t>
  </si>
  <si>
    <t xml:space="preserve">Queen Sugar </t>
  </si>
  <si>
    <t xml:space="preserve">Queen's Blade: Wandering Warrior </t>
  </si>
  <si>
    <t xml:space="preserve">Queen's English </t>
  </si>
  <si>
    <t xml:space="preserve">Queer as Folk </t>
  </si>
  <si>
    <t xml:space="preserve">Queer Eye </t>
  </si>
  <si>
    <t xml:space="preserve">Quicksand </t>
  </si>
  <si>
    <t xml:space="preserve">Rab C. Nesbitt </t>
  </si>
  <si>
    <t xml:space="preserve">Race: The Power of an Illusion </t>
  </si>
  <si>
    <t xml:space="preserve">Racing Wives </t>
  </si>
  <si>
    <t xml:space="preserve">Raging Planet </t>
  </si>
  <si>
    <t xml:space="preserve">Rainbow Brite </t>
  </si>
  <si>
    <t xml:space="preserve">Rake </t>
  </si>
  <si>
    <t xml:space="preserve">Rambo </t>
  </si>
  <si>
    <t xml:space="preserve">Random Acts of Flyness </t>
  </si>
  <si>
    <t xml:space="preserve">Randy ASMR </t>
  </si>
  <si>
    <t xml:space="preserve">Ranjenik </t>
  </si>
  <si>
    <t xml:space="preserve">Ranma 1⁄2 </t>
  </si>
  <si>
    <t xml:space="preserve">Ranma 1⁄2: Nettô-hen </t>
  </si>
  <si>
    <t xml:space="preserve">Ransom </t>
  </si>
  <si>
    <t xml:space="preserve">Rapunzel ASMR </t>
  </si>
  <si>
    <t xml:space="preserve">Raven's Home </t>
  </si>
  <si>
    <t xml:space="preserve">Ravenwolf Towers </t>
  </si>
  <si>
    <t xml:space="preserve">Ray Donovan </t>
  </si>
  <si>
    <t xml:space="preserve">Rayes Korso </t>
  </si>
  <si>
    <t xml:space="preserve">Re\Visioned: Tomb Raider Animated Series </t>
  </si>
  <si>
    <t xml:space="preserve">Ready for Love </t>
  </si>
  <si>
    <t xml:space="preserve">Real Detective </t>
  </si>
  <si>
    <t xml:space="preserve">Real Love </t>
  </si>
  <si>
    <t xml:space="preserve">Real Sex </t>
  </si>
  <si>
    <t xml:space="preserve">Really Random Rants </t>
  </si>
  <si>
    <t xml:space="preserve">Reaper </t>
  </si>
  <si>
    <t xml:space="preserve">Reba </t>
  </si>
  <si>
    <t xml:space="preserve">Rebelde </t>
  </si>
  <si>
    <t xml:space="preserve">ReBoot </t>
  </si>
  <si>
    <t xml:space="preserve">Recess </t>
  </si>
  <si>
    <t xml:space="preserve">Reckless </t>
  </si>
  <si>
    <t xml:space="preserve">Rectify </t>
  </si>
  <si>
    <t xml:space="preserve">Red Dwarf </t>
  </si>
  <si>
    <t xml:space="preserve">Rederiet </t>
  </si>
  <si>
    <t xml:space="preserve">Redwall </t>
  </si>
  <si>
    <t xml:space="preserve">Reef Break </t>
  </si>
  <si>
    <t xml:space="preserve">Regal Academy </t>
  </si>
  <si>
    <t xml:space="preserve">ReGenesis </t>
  </si>
  <si>
    <t xml:space="preserve">Regular Show </t>
  </si>
  <si>
    <t xml:space="preserve">Reign </t>
  </si>
  <si>
    <t xml:space="preserve">Reign: The Conqueror </t>
  </si>
  <si>
    <t xml:space="preserve">Rel </t>
  </si>
  <si>
    <t xml:space="preserve">Related </t>
  </si>
  <si>
    <t xml:space="preserve">Remember: War of the Son </t>
  </si>
  <si>
    <t xml:space="preserve">Remodeled </t>
  </si>
  <si>
    <t xml:space="preserve">Remontti </t>
  </si>
  <si>
    <t xml:space="preserve">Ren &amp; Stimpy 'Adult Party Cartoon' </t>
  </si>
  <si>
    <t xml:space="preserve">Renegade </t>
  </si>
  <si>
    <t xml:space="preserve">Renford Rejects </t>
  </si>
  <si>
    <t xml:space="preserve">Reno 911! </t>
  </si>
  <si>
    <t xml:space="preserve">Rent-a-Goalie </t>
  </si>
  <si>
    <t xml:space="preserve">Reputasyon </t>
  </si>
  <si>
    <t xml:space="preserve">Rescue 911 </t>
  </si>
  <si>
    <t xml:space="preserve">Rescue Me </t>
  </si>
  <si>
    <t xml:space="preserve">Restoration Australia </t>
  </si>
  <si>
    <t xml:space="preserve">Retrato de familia </t>
  </si>
  <si>
    <t xml:space="preserve">Revelation Decoded </t>
  </si>
  <si>
    <t xml:space="preserve">Revenge </t>
  </si>
  <si>
    <t xml:space="preserve">Revenge Body with Khloé Kardashian </t>
  </si>
  <si>
    <t xml:space="preserve">Revenge of the Sock </t>
  </si>
  <si>
    <t xml:space="preserve">Reverie </t>
  </si>
  <si>
    <t xml:space="preserve">Revolution </t>
  </si>
  <si>
    <t xml:space="preserve">Revolutionary Girl Utena </t>
  </si>
  <si>
    <t xml:space="preserve">Richie Rich </t>
  </si>
  <si>
    <t xml:space="preserve">Rick and Morty </t>
  </si>
  <si>
    <t xml:space="preserve">Ridiculousness </t>
  </si>
  <si>
    <t xml:space="preserve">Ringer </t>
  </si>
  <si>
    <t xml:space="preserve">Rising Star </t>
  </si>
  <si>
    <t xml:space="preserve">Rita Rocks </t>
  </si>
  <si>
    <t xml:space="preserve">River Monsters </t>
  </si>
  <si>
    <t xml:space="preserve">Riverdale </t>
  </si>
  <si>
    <t xml:space="preserve">Riviera </t>
  </si>
  <si>
    <t xml:space="preserve">Rizzoli &amp; Isles </t>
  </si>
  <si>
    <t xml:space="preserve">Robin Hood: Mischief in Sherwood </t>
  </si>
  <si>
    <t xml:space="preserve">Robo Story </t>
  </si>
  <si>
    <t xml:space="preserve">RoboCop: Prime Directives </t>
  </si>
  <si>
    <t xml:space="preserve">Robokop </t>
  </si>
  <si>
    <t xml:space="preserve">Robot Chicken </t>
  </si>
  <si>
    <t xml:space="preserve">Rock Suomi </t>
  </si>
  <si>
    <t xml:space="preserve">Rock the Cradle </t>
  </si>
  <si>
    <t xml:space="preserve">Rock the Park </t>
  </si>
  <si>
    <t xml:space="preserve">Rocket Power </t>
  </si>
  <si>
    <t xml:space="preserve">Rocko's Modern Life </t>
  </si>
  <si>
    <t xml:space="preserve">Rolling Love </t>
  </si>
  <si>
    <t xml:space="preserve">Roman Empire </t>
  </si>
  <si>
    <t xml:space="preserve">Rome </t>
  </si>
  <si>
    <t xml:space="preserve">Ronin Warriors </t>
  </si>
  <si>
    <t xml:space="preserve">Ronny Chieng: International Student </t>
  </si>
  <si>
    <t xml:space="preserve">Rookie Agent Rouge </t>
  </si>
  <si>
    <t xml:space="preserve">Room 104 </t>
  </si>
  <si>
    <t xml:space="preserve">Rosa salvaje </t>
  </si>
  <si>
    <t xml:space="preserve">Rosario + Vampire </t>
  </si>
  <si>
    <t xml:space="preserve">Roseanne </t>
  </si>
  <si>
    <t xml:space="preserve">Rosewood </t>
  </si>
  <si>
    <t xml:space="preserve">Roswell </t>
  </si>
  <si>
    <t xml:space="preserve">Roswell, New Mexico </t>
  </si>
  <si>
    <t xml:space="preserve">Rotten </t>
  </si>
  <si>
    <t xml:space="preserve">Rotterdammers van Formaat </t>
  </si>
  <si>
    <t xml:space="preserve">Royal Canadian Air Farce </t>
  </si>
  <si>
    <t xml:space="preserve">Royal Pains </t>
  </si>
  <si>
    <t xml:space="preserve">Rubicon </t>
  </si>
  <si>
    <t xml:space="preserve">Rude Awakening </t>
  </si>
  <si>
    <t xml:space="preserve">Rugrats </t>
  </si>
  <si>
    <t xml:space="preserve">Rules of Engagement </t>
  </si>
  <si>
    <t xml:space="preserve">Rumbling Hearts </t>
  </si>
  <si>
    <t xml:space="preserve">Running the Shop </t>
  </si>
  <si>
    <t xml:space="preserve">Running Wild with Bear Grylls </t>
  </si>
  <si>
    <t xml:space="preserve">RuPaul's Drag Race </t>
  </si>
  <si>
    <t xml:space="preserve">Rurouni Kenshin: Wandering Samurai </t>
  </si>
  <si>
    <t xml:space="preserve">Russell Coight's All Aussie Adventures </t>
  </si>
  <si>
    <t xml:space="preserve">Russian Doll </t>
  </si>
  <si>
    <t xml:space="preserve">Ryan Hansen Solves Crimes on Television </t>
  </si>
  <si>
    <t xml:space="preserve">S-style Show II </t>
  </si>
  <si>
    <t xml:space="preserve">S.T.R.O.N.G. </t>
  </si>
  <si>
    <t xml:space="preserve">S.W.A.T. </t>
  </si>
  <si>
    <t xml:space="preserve">Saber Rider and the Star Sheriffs </t>
  </si>
  <si>
    <t xml:space="preserve">Sabrina, the Animated Series </t>
  </si>
  <si>
    <t xml:space="preserve">Sabrina, the Teenage Witch </t>
  </si>
  <si>
    <t xml:space="preserve">Sacred Games </t>
  </si>
  <si>
    <t xml:space="preserve">Safe House </t>
  </si>
  <si>
    <t xml:space="preserve">Safety Geeks: SVI </t>
  </si>
  <si>
    <t xml:space="preserve">Sailor Moon </t>
  </si>
  <si>
    <t xml:space="preserve">Saint Seiya </t>
  </si>
  <si>
    <t xml:space="preserve">Salvage Hunters </t>
  </si>
  <si>
    <t xml:space="preserve">Salvation </t>
  </si>
  <si>
    <t xml:space="preserve">Sam &amp; Cat </t>
  </si>
  <si>
    <t xml:space="preserve">Samantha Who? </t>
  </si>
  <si>
    <t xml:space="preserve">Samson en Gert </t>
  </si>
  <si>
    <t xml:space="preserve">Samurai Champloo </t>
  </si>
  <si>
    <t xml:space="preserve">Samurai Jack </t>
  </si>
  <si>
    <t xml:space="preserve">Sanctuary </t>
  </si>
  <si>
    <t xml:space="preserve">Santa Clarita Diet </t>
  </si>
  <si>
    <t xml:space="preserve">Santo Bugito </t>
  </si>
  <si>
    <t xml:space="preserve">Sarabhai vs Sarabhai </t>
  </si>
  <si>
    <t xml:space="preserve">Savage </t>
  </si>
  <si>
    <t xml:space="preserve">Save Me </t>
  </si>
  <si>
    <t xml:space="preserve">Saved by the Bell </t>
  </si>
  <si>
    <t xml:space="preserve">Saved by the Bell: The College Years </t>
  </si>
  <si>
    <t xml:space="preserve">Saved by the Bell: The New Class </t>
  </si>
  <si>
    <t xml:space="preserve">Saving Hope </t>
  </si>
  <si>
    <t xml:space="preserve">Say What </t>
  </si>
  <si>
    <t xml:space="preserve">Say Yes to the Dress </t>
  </si>
  <si>
    <t xml:space="preserve">Scam City </t>
  </si>
  <si>
    <t xml:space="preserve">Scandal </t>
  </si>
  <si>
    <t xml:space="preserve">Scariest Places on Earth </t>
  </si>
  <si>
    <t xml:space="preserve">Scarlet Heart </t>
  </si>
  <si>
    <t xml:space="preserve">Scarred </t>
  </si>
  <si>
    <t xml:space="preserve">Scene of the Crime with Tony Harris </t>
  </si>
  <si>
    <t xml:space="preserve">Schitt's Creek </t>
  </si>
  <si>
    <t xml:space="preserve">Scholar Who Walks the Night </t>
  </si>
  <si>
    <t xml:space="preserve">School Days </t>
  </si>
  <si>
    <t xml:space="preserve">School-Live! </t>
  </si>
  <si>
    <t xml:space="preserve">Scooby-Doo! Mystery Incorporated </t>
  </si>
  <si>
    <t xml:space="preserve">Scottish Murmurs ASMR </t>
  </si>
  <si>
    <t xml:space="preserve">Scream Queens </t>
  </si>
  <si>
    <t xml:space="preserve">Scream: The TV Series </t>
  </si>
  <si>
    <t xml:space="preserve">Screenwipe </t>
  </si>
  <si>
    <t xml:space="preserve">Scrubs </t>
  </si>
  <si>
    <t xml:space="preserve">SCTV Channel </t>
  </si>
  <si>
    <t xml:space="preserve">SCTV Network </t>
  </si>
  <si>
    <t xml:space="preserve">SEAL Team </t>
  </si>
  <si>
    <t xml:space="preserve">Sealab 2021 </t>
  </si>
  <si>
    <t xml:space="preserve">SeaQuest 2032 </t>
  </si>
  <si>
    <t xml:space="preserve">Search Party </t>
  </si>
  <si>
    <t xml:space="preserve">Seattle Creation Conference </t>
  </si>
  <si>
    <t xml:space="preserve">Second City's Next Comedy Legend </t>
  </si>
  <si>
    <t xml:space="preserve">Secret Garden </t>
  </si>
  <si>
    <t xml:space="preserve">Secret History </t>
  </si>
  <si>
    <t xml:space="preserve">Secretos en el Jardín </t>
  </si>
  <si>
    <t xml:space="preserve">Secrets &amp; Lies </t>
  </si>
  <si>
    <t xml:space="preserve">Secrets and Lies </t>
  </si>
  <si>
    <t xml:space="preserve">Secrets of the Dead </t>
  </si>
  <si>
    <t xml:space="preserve">See </t>
  </si>
  <si>
    <t xml:space="preserve">Seed </t>
  </si>
  <si>
    <t xml:space="preserve">Seeyou at night </t>
  </si>
  <si>
    <t xml:space="preserve">Seinfeld </t>
  </si>
  <si>
    <t xml:space="preserve">Seitokai yakuindomo </t>
  </si>
  <si>
    <t xml:space="preserve">Selling Sunset </t>
  </si>
  <si>
    <t xml:space="preserve">Sense8 </t>
  </si>
  <si>
    <t xml:space="preserve">Sentenced to Suburbia </t>
  </si>
  <si>
    <t xml:space="preserve">Servant </t>
  </si>
  <si>
    <t xml:space="preserve">Sex and the City </t>
  </si>
  <si>
    <t xml:space="preserve">Sex Education </t>
  </si>
  <si>
    <t xml:space="preserve">Sex, Lies &amp; Murder </t>
  </si>
  <si>
    <t xml:space="preserve">Sex/Life </t>
  </si>
  <si>
    <t xml:space="preserve">SexTV </t>
  </si>
  <si>
    <t xml:space="preserve">Shadow Star Narutaru </t>
  </si>
  <si>
    <t xml:space="preserve">Shadowhunters </t>
  </si>
  <si>
    <t xml:space="preserve">Shahs of Sunset </t>
  </si>
  <si>
    <t xml:space="preserve">Shake It Up </t>
  </si>
  <si>
    <t xml:space="preserve">Shakespeare &amp; Hathaway: Private Investigators </t>
  </si>
  <si>
    <t xml:space="preserve">Shameless </t>
  </si>
  <si>
    <t xml:space="preserve">Shane Dawson TV </t>
  </si>
  <si>
    <t xml:space="preserve">Shark </t>
  </si>
  <si>
    <t xml:space="preserve">Shark Tank </t>
  </si>
  <si>
    <t xml:space="preserve">Shattered City: The Halifax Explosion </t>
  </si>
  <si>
    <t xml:space="preserve">She-Ra and the Princesses of Power </t>
  </si>
  <si>
    <t xml:space="preserve">She-Ra: Princess of Power </t>
  </si>
  <si>
    <t xml:space="preserve">She-Wolf of London </t>
  </si>
  <si>
    <t xml:space="preserve">She, the Ultimate Weapon </t>
  </si>
  <si>
    <t xml:space="preserve">Shed Seven: Live at Leeds Academy </t>
  </si>
  <si>
    <t xml:space="preserve">Shed Seven: Live at O2 Academy Liverpool </t>
  </si>
  <si>
    <t xml:space="preserve">Shed Seven: Live at York Fibbers </t>
  </si>
  <si>
    <t xml:space="preserve">Sheriff Callie's Wild West </t>
  </si>
  <si>
    <t xml:space="preserve">Sherlock </t>
  </si>
  <si>
    <t xml:space="preserve">Sherman Oaks </t>
  </si>
  <si>
    <t xml:space="preserve">Shetland </t>
  </si>
  <si>
    <t xml:space="preserve">Shigurui: Death Frenzy </t>
  </si>
  <si>
    <t xml:space="preserve">Shiki </t>
  </si>
  <si>
    <t xml:space="preserve">Shoebox Zoo </t>
  </si>
  <si>
    <t xml:space="preserve">Shopaholic Nicol </t>
  </si>
  <si>
    <t xml:space="preserve">Shot in the Dark </t>
  </si>
  <si>
    <t xml:space="preserve">Shots Fired </t>
  </si>
  <si>
    <t xml:space="preserve">Showtime at the Apollo </t>
  </si>
  <si>
    <t xml:space="preserve">Shut Eye </t>
  </si>
  <si>
    <t xml:space="preserve">Shut Up Flower Boy Band </t>
  </si>
  <si>
    <t xml:space="preserve">Sidekick </t>
  </si>
  <si>
    <t xml:space="preserve">Sideswiped </t>
  </si>
  <si>
    <t xml:space="preserve">Siesta Key </t>
  </si>
  <si>
    <t xml:space="preserve">Silent Möbius </t>
  </si>
  <si>
    <t xml:space="preserve">Silver Fang </t>
  </si>
  <si>
    <t xml:space="preserve">Simi a Jirka </t>
  </si>
  <si>
    <t xml:space="preserve">Simoun </t>
  </si>
  <si>
    <t xml:space="preserve">Simply Nigella </t>
  </si>
  <si>
    <t xml:space="preserve">Sing Your Face Off </t>
  </si>
  <si>
    <t xml:space="preserve">Single in the Hamptons </t>
  </si>
  <si>
    <t xml:space="preserve">Single Parents </t>
  </si>
  <si>
    <t xml:space="preserve">Siren </t>
  </si>
  <si>
    <t xml:space="preserve">Sirens </t>
  </si>
  <si>
    <t xml:space="preserve">Sister Wives </t>
  </si>
  <si>
    <t xml:space="preserve">Sister, Sister </t>
  </si>
  <si>
    <t xml:space="preserve">Sisterhood of Hip Hop </t>
  </si>
  <si>
    <t xml:space="preserve">Six </t>
  </si>
  <si>
    <t xml:space="preserve">Six Feet Under </t>
  </si>
  <si>
    <t xml:space="preserve">Six Flying Dragons </t>
  </si>
  <si>
    <t xml:space="preserve">Sjätte dagen </t>
  </si>
  <si>
    <t xml:space="preserve">Skam </t>
  </si>
  <si>
    <t xml:space="preserve">Skeleton Warriors </t>
  </si>
  <si>
    <t xml:space="preserve">SketchersonsTV </t>
  </si>
  <si>
    <t xml:space="preserve">Skint </t>
  </si>
  <si>
    <t xml:space="preserve">Sky Dancers </t>
  </si>
  <si>
    <t xml:space="preserve">Slacker Cats </t>
  </si>
  <si>
    <t xml:space="preserve">Sleeper Cell </t>
  </si>
  <si>
    <t xml:space="preserve">Sleepwalkers </t>
  </si>
  <si>
    <t xml:space="preserve">Sleepy Hollow </t>
  </si>
  <si>
    <t xml:space="preserve">Slings and Arrows </t>
  </si>
  <si>
    <t xml:space="preserve">Sloggers </t>
  </si>
  <si>
    <t xml:space="preserve">Slozna braca </t>
  </si>
  <si>
    <t xml:space="preserve">Small Town Security </t>
  </si>
  <si>
    <t xml:space="preserve">Smallville </t>
  </si>
  <si>
    <t xml:space="preserve">Sneaky Pete </t>
  </si>
  <si>
    <t xml:space="preserve">Snobs </t>
  </si>
  <si>
    <t xml:space="preserve">Snowfall </t>
  </si>
  <si>
    <t xml:space="preserve">Snupsters Sidetracked </t>
  </si>
  <si>
    <t xml:space="preserve">So You Think You Can Dance </t>
  </si>
  <si>
    <t xml:space="preserve">So You Think You Can Dance Canada </t>
  </si>
  <si>
    <t xml:space="preserve">Sofia the First </t>
  </si>
  <si>
    <t xml:space="preserve">Soft Anna PL </t>
  </si>
  <si>
    <t xml:space="preserve">Some Girls </t>
  </si>
  <si>
    <t xml:space="preserve">Somebody Feed Phil </t>
  </si>
  <si>
    <t xml:space="preserve">Somewhere Between </t>
  </si>
  <si>
    <t xml:space="preserve">Son of the Beach </t>
  </si>
  <si>
    <t xml:space="preserve">Son'ka </t>
  </si>
  <si>
    <t xml:space="preserve">Song of Wend </t>
  </si>
  <si>
    <t xml:space="preserve">Songland </t>
  </si>
  <si>
    <t xml:space="preserve">Sonic Boom </t>
  </si>
  <si>
    <t xml:space="preserve">Sonic the Hedgehog </t>
  </si>
  <si>
    <t xml:space="preserve">Sonic Underground </t>
  </si>
  <si>
    <t xml:space="preserve">Sonic X </t>
  </si>
  <si>
    <t xml:space="preserve">Sonny Soufflé chok show </t>
  </si>
  <si>
    <t xml:space="preserve">Sons of Anarchy </t>
  </si>
  <si>
    <t xml:space="preserve">Sons of Thunder </t>
  </si>
  <si>
    <t xml:space="preserve">SophieMichelle ASMR </t>
  </si>
  <si>
    <t xml:space="preserve">Sordid Lives: The Series </t>
  </si>
  <si>
    <t xml:space="preserve">Sorority Girls </t>
  </si>
  <si>
    <t xml:space="preserve">Sorry for Your Loss </t>
  </si>
  <si>
    <t xml:space="preserve">Soul Mate </t>
  </si>
  <si>
    <t xml:space="preserve">Soulmate </t>
  </si>
  <si>
    <t xml:space="preserve">Sound! Euphonium </t>
  </si>
  <si>
    <t xml:space="preserve">South of Nowhere </t>
  </si>
  <si>
    <t xml:space="preserve">South Park </t>
  </si>
  <si>
    <t xml:space="preserve">Southern Charm </t>
  </si>
  <si>
    <t xml:space="preserve">Southland </t>
  </si>
  <si>
    <t xml:space="preserve">Southwest: The Series </t>
  </si>
  <si>
    <t xml:space="preserve">Space Cobra </t>
  </si>
  <si>
    <t xml:space="preserve">Space Ghost Coast to Coast </t>
  </si>
  <si>
    <t xml:space="preserve">Space: Above and Beyond </t>
  </si>
  <si>
    <t xml:space="preserve">Spaced </t>
  </si>
  <si>
    <t xml:space="preserve">Spanac </t>
  </si>
  <si>
    <t xml:space="preserve">Spartacus </t>
  </si>
  <si>
    <t xml:space="preserve">Special Collector's Edition </t>
  </si>
  <si>
    <t xml:space="preserve">Special Unit 2 </t>
  </si>
  <si>
    <t xml:space="preserve">Speechless </t>
  </si>
  <si>
    <t xml:space="preserve">SphinxGeheimnisse der Geschichte </t>
  </si>
  <si>
    <t xml:space="preserve">Spice and Wolf </t>
  </si>
  <si>
    <t xml:space="preserve">Spicy City </t>
  </si>
  <si>
    <t xml:space="preserve">Spider-Man </t>
  </si>
  <si>
    <t xml:space="preserve">Spider-Man and His Amazing Friends </t>
  </si>
  <si>
    <t xml:space="preserve">Spider-Man Unlimited </t>
  </si>
  <si>
    <t xml:space="preserve">Spider-Man: The Animated Series </t>
  </si>
  <si>
    <t xml:space="preserve">Spirit Riding Free </t>
  </si>
  <si>
    <t xml:space="preserve">Spirited </t>
  </si>
  <si>
    <t xml:space="preserve">Splash </t>
  </si>
  <si>
    <t xml:space="preserve">Splitting Up Together </t>
  </si>
  <si>
    <t xml:space="preserve">SpongeBob SquarePants </t>
  </si>
  <si>
    <t xml:space="preserve">Spooks </t>
  </si>
  <si>
    <t xml:space="preserve">Spotless </t>
  </si>
  <si>
    <t xml:space="preserve">Squinters </t>
  </si>
  <si>
    <t xml:space="preserve">Squirrel Boy </t>
  </si>
  <si>
    <t xml:space="preserve">Stan Against Evil </t>
  </si>
  <si>
    <t xml:space="preserve">Stan Lee's Lucky Man </t>
  </si>
  <si>
    <t xml:space="preserve">Stan Lee's Superhumans </t>
  </si>
  <si>
    <t xml:space="preserve">Standoff </t>
  </si>
  <si>
    <t xml:space="preserve">Star </t>
  </si>
  <si>
    <t xml:space="preserve">Star Trek: Deep Space Nine </t>
  </si>
  <si>
    <t xml:space="preserve">Star Trek: Enterprise </t>
  </si>
  <si>
    <t xml:space="preserve">Star Trek: The Next Generation </t>
  </si>
  <si>
    <t xml:space="preserve">Star Trek: Voyager </t>
  </si>
  <si>
    <t xml:space="preserve">Star vs. the Forces of Evil </t>
  </si>
  <si>
    <t xml:space="preserve">Star Wars Rebels </t>
  </si>
  <si>
    <t xml:space="preserve">Star Wars: Clone Wars </t>
  </si>
  <si>
    <t xml:space="preserve">Star Wars: Droids </t>
  </si>
  <si>
    <t xml:space="preserve">Star Wars: The Clone Wars </t>
  </si>
  <si>
    <t xml:space="preserve">Stargate Origins </t>
  </si>
  <si>
    <t xml:space="preserve">Stargate SG-1 </t>
  </si>
  <si>
    <t xml:space="preserve">Stargate Universe </t>
  </si>
  <si>
    <t xml:space="preserve">Stargate: Atlantis </t>
  </si>
  <si>
    <t xml:space="preserve">Starhunter </t>
  </si>
  <si>
    <t xml:space="preserve">Starla and the Jewel Riders </t>
  </si>
  <si>
    <t xml:space="preserve">Starri ASMR </t>
  </si>
  <si>
    <t xml:space="preserve">Stars Earn Stripes </t>
  </si>
  <si>
    <t xml:space="preserve">StartUp </t>
  </si>
  <si>
    <t xml:space="preserve">State of the Union </t>
  </si>
  <si>
    <t xml:space="preserve">Static Shock </t>
  </si>
  <si>
    <t xml:space="preserve">STC: The Falkenhorst Chronicles </t>
  </si>
  <si>
    <t xml:space="preserve">Stedfast Baptist Church </t>
  </si>
  <si>
    <t xml:space="preserve">Steins;Gate </t>
  </si>
  <si>
    <t xml:space="preserve">Stejk </t>
  </si>
  <si>
    <t xml:space="preserve">Stella </t>
  </si>
  <si>
    <t xml:space="preserve">Stella and Sam </t>
  </si>
  <si>
    <t xml:space="preserve">Stella Blómkvist </t>
  </si>
  <si>
    <t xml:space="preserve">Stellar Firma </t>
  </si>
  <si>
    <t xml:space="preserve">Stellenbosch </t>
  </si>
  <si>
    <t xml:space="preserve">Step by Step </t>
  </si>
  <si>
    <t xml:space="preserve">Steve Harvey's Funderdome </t>
  </si>
  <si>
    <t xml:space="preserve">Steven Seagal: Lawman </t>
  </si>
  <si>
    <t xml:space="preserve">Steven Universe </t>
  </si>
  <si>
    <t xml:space="preserve">Stevie and Zoya </t>
  </si>
  <si>
    <t xml:space="preserve">Still Open All Hours </t>
  </si>
  <si>
    <t xml:space="preserve">Still Standing </t>
  </si>
  <si>
    <t xml:space="preserve">Stokes Twins </t>
  </si>
  <si>
    <t xml:space="preserve">Storage Hunters </t>
  </si>
  <si>
    <t xml:space="preserve">Storage Hunters UK </t>
  </si>
  <si>
    <t xml:space="preserve">Storage Wars </t>
  </si>
  <si>
    <t xml:space="preserve">Storm Chasers </t>
  </si>
  <si>
    <t xml:space="preserve">Strange Angel </t>
  </si>
  <si>
    <t xml:space="preserve">Strange Love </t>
  </si>
  <si>
    <t xml:space="preserve">Strange World </t>
  </si>
  <si>
    <t xml:space="preserve">Stranger Things </t>
  </si>
  <si>
    <t xml:space="preserve">Strangers </t>
  </si>
  <si>
    <t xml:space="preserve">Strangers with Candy </t>
  </si>
  <si>
    <t xml:space="preserve">Strawberry Night Saga </t>
  </si>
  <si>
    <t xml:space="preserve">Street Hawk </t>
  </si>
  <si>
    <t xml:space="preserve">Stretch Armstrong &amp; the Flex Fighters </t>
  </si>
  <si>
    <t xml:space="preserve">Strictly Confidential </t>
  </si>
  <si>
    <t xml:space="preserve">Strike Back </t>
  </si>
  <si>
    <t xml:space="preserve">Stripperella </t>
  </si>
  <si>
    <t xml:space="preserve">Stroker and Hoop </t>
  </si>
  <si>
    <t xml:space="preserve">Student Abroad </t>
  </si>
  <si>
    <t xml:space="preserve">Stupidface </t>
  </si>
  <si>
    <t xml:space="preserve">Submission </t>
  </si>
  <si>
    <t xml:space="preserve">Succession </t>
  </si>
  <si>
    <t xml:space="preserve">Sugar Rush </t>
  </si>
  <si>
    <t xml:space="preserve">Suits </t>
  </si>
  <si>
    <t xml:space="preserve">Summer Camp Island </t>
  </si>
  <si>
    <t xml:space="preserve">Summer House </t>
  </si>
  <si>
    <t xml:space="preserve">Sungkyunkwan Scandal </t>
  </si>
  <si>
    <t xml:space="preserve">Sunset Beach </t>
  </si>
  <si>
    <t xml:space="preserve">Super Dave </t>
  </si>
  <si>
    <t xml:space="preserve">Super Dimensional Fortress Macross </t>
  </si>
  <si>
    <t xml:space="preserve">Super Girl </t>
  </si>
  <si>
    <t xml:space="preserve">Super Mario World </t>
  </si>
  <si>
    <t xml:space="preserve">Supergirl </t>
  </si>
  <si>
    <t xml:space="preserve">Superior Donuts </t>
  </si>
  <si>
    <t xml:space="preserve">Superjail! </t>
  </si>
  <si>
    <t xml:space="preserve">Superman: Red Son </t>
  </si>
  <si>
    <t xml:space="preserve">Superman: The Animated Series </t>
  </si>
  <si>
    <t xml:space="preserve">Supermarket Sweep </t>
  </si>
  <si>
    <t xml:space="preserve">Supermax </t>
  </si>
  <si>
    <t xml:space="preserve">Supernanny </t>
  </si>
  <si>
    <t xml:space="preserve">Supernatural </t>
  </si>
  <si>
    <t xml:space="preserve">Superstore </t>
  </si>
  <si>
    <t xml:space="preserve">SuperTed </t>
  </si>
  <si>
    <t xml:space="preserve">Supreme Court Oral Arguments </t>
  </si>
  <si>
    <t xml:space="preserve">Survival of the Fittest </t>
  </si>
  <si>
    <t xml:space="preserve">Survivor </t>
  </si>
  <si>
    <t xml:space="preserve">Survivor's Remorse </t>
  </si>
  <si>
    <t xml:space="preserve">Survivorman </t>
  </si>
  <si>
    <t xml:space="preserve">Sushant Pradhan </t>
  </si>
  <si>
    <t xml:space="preserve">Svédská trojka </t>
  </si>
  <si>
    <t xml:space="preserve">Svengoolie </t>
  </si>
  <si>
    <t xml:space="preserve">Svet pod Hlavou </t>
  </si>
  <si>
    <t xml:space="preserve">Svet podle Katky </t>
  </si>
  <si>
    <t xml:space="preserve">Swamp Murders </t>
  </si>
  <si>
    <t xml:space="preserve">Swamp People </t>
  </si>
  <si>
    <t xml:space="preserve">Swedish Dicks </t>
  </si>
  <si>
    <t xml:space="preserve">Sweet Blue Flowers </t>
  </si>
  <si>
    <t xml:space="preserve">Sweetbitter </t>
  </si>
  <si>
    <t xml:space="preserve">Sweethearts </t>
  </si>
  <si>
    <t xml:space="preserve">Sweetiemarket </t>
  </si>
  <si>
    <t xml:space="preserve">Swingtown </t>
  </si>
  <si>
    <t xml:space="preserve">Switched at Birth </t>
  </si>
  <si>
    <t xml:space="preserve">Sword Art Online </t>
  </si>
  <si>
    <t xml:space="preserve">Sym-Bionic Titan </t>
  </si>
  <si>
    <t xml:space="preserve">T.U.F.F. Puppy </t>
  </si>
  <si>
    <t xml:space="preserve">Taboo </t>
  </si>
  <si>
    <t xml:space="preserve">Taken </t>
  </si>
  <si>
    <t xml:space="preserve">Takkay Ki Ayegi Baraat </t>
  </si>
  <si>
    <t xml:space="preserve">Tales by Light </t>
  </si>
  <si>
    <t xml:space="preserve">Tales from the Crypt </t>
  </si>
  <si>
    <t xml:space="preserve">Tales from the Cryptkeeper </t>
  </si>
  <si>
    <t xml:space="preserve">Tales from the Neverending Story </t>
  </si>
  <si>
    <t xml:space="preserve">Tales of the Gold Monkey </t>
  </si>
  <si>
    <t xml:space="preserve">TaleSpin </t>
  </si>
  <si>
    <t xml:space="preserve">Talk to Me </t>
  </si>
  <si>
    <t xml:space="preserve">Talking Tom and Friends </t>
  </si>
  <si>
    <t xml:space="preserve">Tarzan: The Epic Adventures </t>
  </si>
  <si>
    <t xml:space="preserve">Taylor ASMR </t>
  </si>
  <si>
    <t xml:space="preserve">Teachers </t>
  </si>
  <si>
    <t xml:space="preserve">Team Umizoomi </t>
  </si>
  <si>
    <t xml:space="preserve">Technic Players </t>
  </si>
  <si>
    <t xml:space="preserve">Teen Mom </t>
  </si>
  <si>
    <t xml:space="preserve">Teen Mom 2 </t>
  </si>
  <si>
    <t xml:space="preserve">Teen Titans </t>
  </si>
  <si>
    <t xml:space="preserve">Teen Titans Go! </t>
  </si>
  <si>
    <t xml:space="preserve">Teen Wolf </t>
  </si>
  <si>
    <t xml:space="preserve">Teenage Mutant Ninja Turtles </t>
  </si>
  <si>
    <t xml:space="preserve">Tell Me a Story </t>
  </si>
  <si>
    <t xml:space="preserve">Tell Me You Love Me </t>
  </si>
  <si>
    <t xml:space="preserve">Temný kraj </t>
  </si>
  <si>
    <t xml:space="preserve">Temptation Island </t>
  </si>
  <si>
    <t xml:space="preserve">Tenchi Muyô! </t>
  </si>
  <si>
    <t xml:space="preserve">Tengen toppa gurren lagann </t>
  </si>
  <si>
    <t xml:space="preserve">Tenko </t>
  </si>
  <si>
    <t xml:space="preserve">Tequila and Bonetti </t>
  </si>
  <si>
    <t xml:space="preserve">Teri </t>
  </si>
  <si>
    <t xml:space="preserve">Teri Blitzen </t>
  </si>
  <si>
    <t xml:space="preserve">Terminator Salvation: The Machinima Series </t>
  </si>
  <si>
    <t xml:space="preserve">Terminator: The Sarah Connor Chronicles </t>
  </si>
  <si>
    <t xml:space="preserve">Terra Nova </t>
  </si>
  <si>
    <t xml:space="preserve">Terriers </t>
  </si>
  <si>
    <t xml:space="preserve">Terry Crews Saves Christmas </t>
  </si>
  <si>
    <t xml:space="preserve">Texhnolyze </t>
  </si>
  <si>
    <t xml:space="preserve">That '70s Show </t>
  </si>
  <si>
    <t xml:space="preserve">That's My Bush! </t>
  </si>
  <si>
    <t xml:space="preserve">That's So Raven </t>
  </si>
  <si>
    <t xml:space="preserve">That's Warner Bros.! </t>
  </si>
  <si>
    <t xml:space="preserve">The $100,000 Pyramid </t>
  </si>
  <si>
    <t xml:space="preserve">The 1980s: The Deadliest Decade </t>
  </si>
  <si>
    <t xml:space="preserve">The 1st Shop of Coffee Prince </t>
  </si>
  <si>
    <t xml:space="preserve">The 4 Musketeers </t>
  </si>
  <si>
    <t xml:space="preserve">The 4400 </t>
  </si>
  <si>
    <t xml:space="preserve">The 5th Quadrant </t>
  </si>
  <si>
    <t xml:space="preserve">The 7D </t>
  </si>
  <si>
    <t xml:space="preserve">The A Word </t>
  </si>
  <si>
    <t xml:space="preserve">The A-List: Dallas </t>
  </si>
  <si>
    <t xml:space="preserve">The A-List: New York </t>
  </si>
  <si>
    <t xml:space="preserve">The A-Team </t>
  </si>
  <si>
    <t xml:space="preserve">The Act </t>
  </si>
  <si>
    <t xml:space="preserve">The Adventures of Brisco County, Jr. </t>
  </si>
  <si>
    <t xml:space="preserve">The Adventures of Jimmy Neutron: Boy Genius </t>
  </si>
  <si>
    <t xml:space="preserve">The Adventures of Pete &amp; Pete </t>
  </si>
  <si>
    <t xml:space="preserve">The Adventures of Sinbad </t>
  </si>
  <si>
    <t xml:space="preserve">The Adventures of Super Mario Bros. 3 </t>
  </si>
  <si>
    <t xml:space="preserve">The Adventures of Swiss Family Robinson </t>
  </si>
  <si>
    <t xml:space="preserve">The Adventures of Young Hillary </t>
  </si>
  <si>
    <t xml:space="preserve">The Advocates </t>
  </si>
  <si>
    <t xml:space="preserve">The Affair </t>
  </si>
  <si>
    <t xml:space="preserve">The Alienist </t>
  </si>
  <si>
    <t xml:space="preserve">The Allen and Craig Show </t>
  </si>
  <si>
    <t xml:space="preserve">The Amazing Race </t>
  </si>
  <si>
    <t xml:space="preserve">The Amazing World of Gumball </t>
  </si>
  <si>
    <t xml:space="preserve">The American Baking Competition </t>
  </si>
  <si>
    <t xml:space="preserve">The Americans </t>
  </si>
  <si>
    <t xml:space="preserve">The Angered Beast Reviewer </t>
  </si>
  <si>
    <t xml:space="preserve">The Angry Video Game Nerd </t>
  </si>
  <si>
    <t xml:space="preserve">The Animals of Farthing Wood </t>
  </si>
  <si>
    <t xml:space="preserve">The Anna Nicole Show </t>
  </si>
  <si>
    <t xml:space="preserve">The Apprentice </t>
  </si>
  <si>
    <t xml:space="preserve">The Arrangement </t>
  </si>
  <si>
    <t xml:space="preserve">The Atheism Tapes </t>
  </si>
  <si>
    <t xml:space="preserve">The Avengers: Earth's Mightiest Heroes </t>
  </si>
  <si>
    <t xml:space="preserve">The Awesomes </t>
  </si>
  <si>
    <t xml:space="preserve">The Bachelor </t>
  </si>
  <si>
    <t xml:space="preserve">The Bachelorette </t>
  </si>
  <si>
    <t xml:space="preserve">The Batman </t>
  </si>
  <si>
    <t xml:space="preserve">The Ben Stiller Show </t>
  </si>
  <si>
    <t xml:space="preserve">The Bernie Mac Show </t>
  </si>
  <si>
    <t xml:space="preserve">The Bible </t>
  </si>
  <si>
    <t xml:space="preserve">The Big Bang Theory </t>
  </si>
  <si>
    <t xml:space="preserve">The Big O </t>
  </si>
  <si>
    <t xml:space="preserve">The Biggest Loser </t>
  </si>
  <si>
    <t xml:space="preserve">The Bill </t>
  </si>
  <si>
    <t xml:space="preserve">The Bionic Vet </t>
  </si>
  <si>
    <t xml:space="preserve">The Birthday Boys </t>
  </si>
  <si>
    <t xml:space="preserve">The Bisexual </t>
  </si>
  <si>
    <t xml:space="preserve">The Biskitts </t>
  </si>
  <si>
    <t xml:space="preserve">The Black Adder </t>
  </si>
  <si>
    <t xml:space="preserve">The Black Donnellys </t>
  </si>
  <si>
    <t xml:space="preserve">The Black Forest Clinic </t>
  </si>
  <si>
    <t xml:space="preserve">The Blacklist </t>
  </si>
  <si>
    <t xml:space="preserve">The Blacklist: Redemption </t>
  </si>
  <si>
    <t xml:space="preserve">The Bletchley Circle </t>
  </si>
  <si>
    <t xml:space="preserve">The Bletchley Circle: San Francisco </t>
  </si>
  <si>
    <t xml:space="preserve">The Blubburbs </t>
  </si>
  <si>
    <t xml:space="preserve">The Boat </t>
  </si>
  <si>
    <t xml:space="preserve">The Bobby Brown Story </t>
  </si>
  <si>
    <t xml:space="preserve">The Bobroom </t>
  </si>
  <si>
    <t xml:space="preserve">The Bold and the Beautiful </t>
  </si>
  <si>
    <t xml:space="preserve">The Bold Type </t>
  </si>
  <si>
    <t xml:space="preserve">The Book of Revelation </t>
  </si>
  <si>
    <t xml:space="preserve">The Book of the Three Hans </t>
  </si>
  <si>
    <t xml:space="preserve">The Boondocks </t>
  </si>
  <si>
    <t xml:space="preserve">The Border </t>
  </si>
  <si>
    <t xml:space="preserve">The Borgias </t>
  </si>
  <si>
    <t xml:space="preserve">The Boys </t>
  </si>
  <si>
    <t xml:space="preserve">The Brak Show </t>
  </si>
  <si>
    <t xml:space="preserve">The Bridge </t>
  </si>
  <si>
    <t xml:space="preserve">The Briefcase </t>
  </si>
  <si>
    <t xml:space="preserve">The Brokenwood Mysteries </t>
  </si>
  <si>
    <t xml:space="preserve">The Bronx Zoo </t>
  </si>
  <si>
    <t xml:space="preserve">The Business </t>
  </si>
  <si>
    <t xml:space="preserve">The Call Girl </t>
  </si>
  <si>
    <t xml:space="preserve">The Campbells </t>
  </si>
  <si>
    <t xml:space="preserve">The Carrie Diaries </t>
  </si>
  <si>
    <t xml:space="preserve">The Catalina </t>
  </si>
  <si>
    <t xml:space="preserve">The Catch </t>
  </si>
  <si>
    <t xml:space="preserve">The Catlins </t>
  </si>
  <si>
    <t xml:space="preserve">The Chalet </t>
  </si>
  <si>
    <t xml:space="preserve">The Challenge </t>
  </si>
  <si>
    <t xml:space="preserve">The Chef Show </t>
  </si>
  <si>
    <t xml:space="preserve">The Chi </t>
  </si>
  <si>
    <t xml:space="preserve">The Choice </t>
  </si>
  <si>
    <t xml:space="preserve">The Cinema Snob </t>
  </si>
  <si>
    <t xml:space="preserve">The Class </t>
  </si>
  <si>
    <t xml:space="preserve">The Cleveland Show </t>
  </si>
  <si>
    <t xml:space="preserve">The Clone </t>
  </si>
  <si>
    <t xml:space="preserve">The Closer </t>
  </si>
  <si>
    <t xml:space="preserve">The Code </t>
  </si>
  <si>
    <t xml:space="preserve">The Colbys </t>
  </si>
  <si>
    <t xml:space="preserve">The Collection </t>
  </si>
  <si>
    <t xml:space="preserve">The Comeback </t>
  </si>
  <si>
    <t xml:space="preserve">The Comix Scrutinizer </t>
  </si>
  <si>
    <t xml:space="preserve">The Confession Tapes </t>
  </si>
  <si>
    <t xml:space="preserve">The Conners </t>
  </si>
  <si>
    <t xml:space="preserve">The Cool Kids </t>
  </si>
  <si>
    <t xml:space="preserve">The Cosby Show </t>
  </si>
  <si>
    <t xml:space="preserve">The Country Diary of an Edwardian Lady </t>
  </si>
  <si>
    <t xml:space="preserve">The Crimson Field </t>
  </si>
  <si>
    <t xml:space="preserve">The Critic </t>
  </si>
  <si>
    <t xml:space="preserve">The Crossing </t>
  </si>
  <si>
    <t xml:space="preserve">The Crow: Stairway to Heaven </t>
  </si>
  <si>
    <t xml:space="preserve">The Crown of the Kings </t>
  </si>
  <si>
    <t xml:space="preserve">The Crystal Maze </t>
  </si>
  <si>
    <t xml:space="preserve">The Curse of Oak Island </t>
  </si>
  <si>
    <t xml:space="preserve">The Dark Crystal: Age of Resistance </t>
  </si>
  <si>
    <t xml:space="preserve">The Day My Butt Went Psycho! </t>
  </si>
  <si>
    <t xml:space="preserve">The Days </t>
  </si>
  <si>
    <t xml:space="preserve">The Deuce </t>
  </si>
  <si>
    <t xml:space="preserve">The Disappearance of Madeleine McCann </t>
  </si>
  <si>
    <t xml:space="preserve">The Disguiser </t>
  </si>
  <si>
    <t xml:space="preserve">The Dream Team </t>
  </si>
  <si>
    <t xml:space="preserve">The Dreamstone </t>
  </si>
  <si>
    <t xml:space="preserve">The Drew Carey Show </t>
  </si>
  <si>
    <t xml:space="preserve">The Electric Company </t>
  </si>
  <si>
    <t xml:space="preserve">The Emperor of Taste </t>
  </si>
  <si>
    <t xml:space="preserve">The End of the F***ing World </t>
  </si>
  <si>
    <t xml:space="preserve">The Enemy Within </t>
  </si>
  <si>
    <t xml:space="preserve">The Equalizer </t>
  </si>
  <si>
    <t xml:space="preserve">The Event </t>
  </si>
  <si>
    <t xml:space="preserve">The Ex List </t>
  </si>
  <si>
    <t xml:space="preserve">The Exorcist </t>
  </si>
  <si>
    <t xml:space="preserve">The Expanse </t>
  </si>
  <si>
    <t xml:space="preserve">The Fairly OddParents </t>
  </si>
  <si>
    <t xml:space="preserve">The Fall </t>
  </si>
  <si>
    <t xml:space="preserve">The Family </t>
  </si>
  <si>
    <t xml:space="preserve">The Favorite </t>
  </si>
  <si>
    <t xml:space="preserve">The Finder </t>
  </si>
  <si>
    <t xml:space="preserve">The Firm </t>
  </si>
  <si>
    <t xml:space="preserve">The First 48 </t>
  </si>
  <si>
    <t xml:space="preserve">The Fix </t>
  </si>
  <si>
    <t xml:space="preserve">The Fixer </t>
  </si>
  <si>
    <t xml:space="preserve">The Flash </t>
  </si>
  <si>
    <t xml:space="preserve">The Flintstone Comedy Show </t>
  </si>
  <si>
    <t xml:space="preserve">The Flying Doctors </t>
  </si>
  <si>
    <t xml:space="preserve">The Following </t>
  </si>
  <si>
    <t xml:space="preserve">The Fonz and the Happy Days Gang </t>
  </si>
  <si>
    <t xml:space="preserve">The Forgotten </t>
  </si>
  <si>
    <t xml:space="preserve">The Forsyte Saga </t>
  </si>
  <si>
    <t xml:space="preserve">The Fosters </t>
  </si>
  <si>
    <t xml:space="preserve">The Four: Battle for Stardom </t>
  </si>
  <si>
    <t xml:space="preserve">The Frankenstein Chronicles </t>
  </si>
  <si>
    <t xml:space="preserve">The Fresh Prince of Bel-Air </t>
  </si>
  <si>
    <t xml:space="preserve">The Game </t>
  </si>
  <si>
    <t xml:space="preserve">The Garfield Show </t>
  </si>
  <si>
    <t xml:space="preserve">The Gates </t>
  </si>
  <si>
    <t xml:space="preserve">The Gavin Crawford Show </t>
  </si>
  <si>
    <t xml:space="preserve">The Gay Riviera </t>
  </si>
  <si>
    <t xml:space="preserve">The Gentle Touch </t>
  </si>
  <si>
    <t xml:space="preserve">The Get Along Gang </t>
  </si>
  <si>
    <t xml:space="preserve">The Get Down </t>
  </si>
  <si>
    <t xml:space="preserve">The Ghost Inside My Child </t>
  </si>
  <si>
    <t xml:space="preserve">The Girlfriend Experience </t>
  </si>
  <si>
    <t xml:space="preserve">The Girls Next Door </t>
  </si>
  <si>
    <t xml:space="preserve">The Glades </t>
  </si>
  <si>
    <t xml:space="preserve">The Godfather of Harlem </t>
  </si>
  <si>
    <t xml:space="preserve">The Goldbergs </t>
  </si>
  <si>
    <t xml:space="preserve">The Golden Girls </t>
  </si>
  <si>
    <t xml:space="preserve">The Golden Palace </t>
  </si>
  <si>
    <t xml:space="preserve">The Good Daughter </t>
  </si>
  <si>
    <t xml:space="preserve">The Good Doctor </t>
  </si>
  <si>
    <t xml:space="preserve">The Good Fight </t>
  </si>
  <si>
    <t xml:space="preserve">The Good Karma Hospital </t>
  </si>
  <si>
    <t xml:space="preserve">The Good Place </t>
  </si>
  <si>
    <t xml:space="preserve">The Good Wife </t>
  </si>
  <si>
    <t xml:space="preserve">The Grand </t>
  </si>
  <si>
    <t xml:space="preserve">The Great British Baking Show </t>
  </si>
  <si>
    <t xml:space="preserve">The Great Christmas Light Fight </t>
  </si>
  <si>
    <t xml:space="preserve">The Great Depression </t>
  </si>
  <si>
    <t xml:space="preserve">The Great Holiday Baking Show </t>
  </si>
  <si>
    <t xml:space="preserve">The Great Jang-Geum </t>
  </si>
  <si>
    <t xml:space="preserve">The Great Seer </t>
  </si>
  <si>
    <t xml:space="preserve">The Grim Adventures of Billy &amp; Mandy </t>
  </si>
  <si>
    <t xml:space="preserve">The Guardian </t>
  </si>
  <si>
    <t xml:space="preserve">The Guards </t>
  </si>
  <si>
    <t xml:space="preserve">The Guest Book </t>
  </si>
  <si>
    <t xml:space="preserve">The Ha!ifax Comedy Fest </t>
  </si>
  <si>
    <t xml:space="preserve">The Hackman </t>
  </si>
  <si>
    <t xml:space="preserve">The Halcyon </t>
  </si>
  <si>
    <t xml:space="preserve">The Handmaid's Tale </t>
  </si>
  <si>
    <t xml:space="preserve">The Head </t>
  </si>
  <si>
    <t xml:space="preserve">The Hills </t>
  </si>
  <si>
    <t xml:space="preserve">The Hills: New Beginnings </t>
  </si>
  <si>
    <t xml:space="preserve">The History of Comedy </t>
  </si>
  <si>
    <t xml:space="preserve">The Hitchhiker's Guide to the Galaxy </t>
  </si>
  <si>
    <t xml:space="preserve">The Holodeck </t>
  </si>
  <si>
    <t xml:space="preserve">The Horror Zone </t>
  </si>
  <si>
    <t xml:space="preserve">The Hot Zone </t>
  </si>
  <si>
    <t xml:space="preserve">The Hour </t>
  </si>
  <si>
    <t xml:space="preserve">The Human Condition </t>
  </si>
  <si>
    <t xml:space="preserve">The Hunger </t>
  </si>
  <si>
    <t xml:space="preserve">The InBetween </t>
  </si>
  <si>
    <t xml:space="preserve">The Inbetweeners </t>
  </si>
  <si>
    <t xml:space="preserve">The Increasingly Poor Decisions of Todd Margaret </t>
  </si>
  <si>
    <t xml:space="preserve">The Incredible Dr. Pol </t>
  </si>
  <si>
    <t xml:space="preserve">The Incredible Hulk </t>
  </si>
  <si>
    <t xml:space="preserve">The Inspectors </t>
  </si>
  <si>
    <t xml:space="preserve">The Investigator </t>
  </si>
  <si>
    <t xml:space="preserve">The Investigator: A British Crime Story </t>
  </si>
  <si>
    <t xml:space="preserve">The IT Crowd </t>
  </si>
  <si>
    <t xml:space="preserve">The Janice Dickinson Modeling Agency </t>
  </si>
  <si>
    <t xml:space="preserve">The Jim Gaffigan Show </t>
  </si>
  <si>
    <t xml:space="preserve">The Jon Dore Television Show </t>
  </si>
  <si>
    <t xml:space="preserve">The Joy of Painting </t>
  </si>
  <si>
    <t xml:space="preserve">The Julekalender </t>
  </si>
  <si>
    <t xml:space="preserve">The Jump </t>
  </si>
  <si>
    <t xml:space="preserve">The Jungle Book </t>
  </si>
  <si>
    <t xml:space="preserve">The Jury Speaks </t>
  </si>
  <si>
    <t xml:space="preserve">The Karate Kid </t>
  </si>
  <si>
    <t xml:space="preserve">The Keith Lemon Sketch Show </t>
  </si>
  <si>
    <t xml:space="preserve">The Kids Are Alright </t>
  </si>
  <si>
    <t xml:space="preserve">The Kids in the Hall </t>
  </si>
  <si>
    <t xml:space="preserve">The Killing </t>
  </si>
  <si>
    <t xml:space="preserve">The Killing of JonBenet: The Truth Uncovered </t>
  </si>
  <si>
    <t xml:space="preserve">The Killing Season </t>
  </si>
  <si>
    <t xml:space="preserve">The King 2 Hearts </t>
  </si>
  <si>
    <t xml:space="preserve">The King of Queens </t>
  </si>
  <si>
    <t xml:space="preserve">The Kingdom of the Winds </t>
  </si>
  <si>
    <t xml:space="preserve">The Kominsky Method </t>
  </si>
  <si>
    <t xml:space="preserve">The L Word </t>
  </si>
  <si>
    <t xml:space="preserve">The Lair </t>
  </si>
  <si>
    <t xml:space="preserve">The Larry Sanders Show </t>
  </si>
  <si>
    <t xml:space="preserve">The Last Kingdom </t>
  </si>
  <si>
    <t xml:space="preserve">The Last Man on Earth </t>
  </si>
  <si>
    <t xml:space="preserve">The Last Ship </t>
  </si>
  <si>
    <t xml:space="preserve">The Layover </t>
  </si>
  <si>
    <t xml:space="preserve">The Lazarus Man </t>
  </si>
  <si>
    <t xml:space="preserve">The League of Gentlemen </t>
  </si>
  <si>
    <t xml:space="preserve">The League of S.T.E.A.M. </t>
  </si>
  <si>
    <t xml:space="preserve">The Leftovers </t>
  </si>
  <si>
    <t xml:space="preserve">The Legend of Bruce Lee </t>
  </si>
  <si>
    <t xml:space="preserve">The Legend of Korra </t>
  </si>
  <si>
    <t xml:space="preserve">The Legend of Tarzan </t>
  </si>
  <si>
    <t xml:space="preserve">The Legend of Zelda </t>
  </si>
  <si>
    <t xml:space="preserve">The Legends of Treasure Island </t>
  </si>
  <si>
    <t xml:space="preserve">The Lens </t>
  </si>
  <si>
    <t xml:space="preserve">The Level </t>
  </si>
  <si>
    <t xml:space="preserve">The Librarians </t>
  </si>
  <si>
    <t xml:space="preserve">The Life &amp; Times of Tim </t>
  </si>
  <si>
    <t xml:space="preserve">The Life of Rock with Brian Pern </t>
  </si>
  <si>
    <t xml:space="preserve">The Line </t>
  </si>
  <si>
    <t xml:space="preserve">The Little Couple </t>
  </si>
  <si>
    <t xml:space="preserve">The Little Flying Bears </t>
  </si>
  <si>
    <t xml:space="preserve">The Little House </t>
  </si>
  <si>
    <t xml:space="preserve">The Little Mermaid </t>
  </si>
  <si>
    <t xml:space="preserve">The Looney Tunes Show </t>
  </si>
  <si>
    <t xml:space="preserve">The Lost Village </t>
  </si>
  <si>
    <t xml:space="preserve">The Loud House </t>
  </si>
  <si>
    <t xml:space="preserve">The LXD: The Legion of Extraordinary Dancers </t>
  </si>
  <si>
    <t xml:space="preserve">The Magic School Bus </t>
  </si>
  <si>
    <t xml:space="preserve">The Magicians </t>
  </si>
  <si>
    <t xml:space="preserve">The Magnus Archives </t>
  </si>
  <si>
    <t xml:space="preserve">The Making of the Mob </t>
  </si>
  <si>
    <t xml:space="preserve">The Man in the High Castle </t>
  </si>
  <si>
    <t xml:space="preserve">The Mandalorian </t>
  </si>
  <si>
    <t xml:space="preserve">The Marvelous Mrs. Maisel </t>
  </si>
  <si>
    <t xml:space="preserve">The Mask </t>
  </si>
  <si>
    <t xml:space="preserve">The masked avenger: Lagardère </t>
  </si>
  <si>
    <t xml:space="preserve">The Masked Singer </t>
  </si>
  <si>
    <t xml:space="preserve">The Master </t>
  </si>
  <si>
    <t xml:space="preserve">The Mentalist </t>
  </si>
  <si>
    <t xml:space="preserve">The Messengers </t>
  </si>
  <si>
    <t xml:space="preserve">The Michael J. Fox Show </t>
  </si>
  <si>
    <t xml:space="preserve">The Mick </t>
  </si>
  <si>
    <t xml:space="preserve">The Middle </t>
  </si>
  <si>
    <t xml:space="preserve">The Middleman </t>
  </si>
  <si>
    <t xml:space="preserve">The Mighty Boosh </t>
  </si>
  <si>
    <t xml:space="preserve">The Millers </t>
  </si>
  <si>
    <t xml:space="preserve">The Mind of a Chef </t>
  </si>
  <si>
    <t xml:space="preserve">The Mindy Project </t>
  </si>
  <si>
    <t xml:space="preserve">The Missing </t>
  </si>
  <si>
    <t xml:space="preserve">The Mist </t>
  </si>
  <si>
    <t xml:space="preserve">The Moaning of Life </t>
  </si>
  <si>
    <t xml:space="preserve">The Moment of Truth </t>
  </si>
  <si>
    <t xml:space="preserve">The Money $hot </t>
  </si>
  <si>
    <t xml:space="preserve">The Moon That Embraces the Sun </t>
  </si>
  <si>
    <t xml:space="preserve">The Morgana Show </t>
  </si>
  <si>
    <t xml:space="preserve">The Morning Show </t>
  </si>
  <si>
    <t xml:space="preserve">The Mutants: Ways of the Heart </t>
  </si>
  <si>
    <t xml:space="preserve">The Naked Chef </t>
  </si>
  <si>
    <t xml:space="preserve">The Name of the Rose </t>
  </si>
  <si>
    <t xml:space="preserve">The Nanny </t>
  </si>
  <si>
    <t xml:space="preserve">The Neddeaus of Duqesne Island </t>
  </si>
  <si>
    <t xml:space="preserve">The Neighborhood </t>
  </si>
  <si>
    <t xml:space="preserve">The NES Pursuit </t>
  </si>
  <si>
    <t xml:space="preserve">The New Addams Family </t>
  </si>
  <si>
    <t xml:space="preserve">The New Adventures of He-Man </t>
  </si>
  <si>
    <t xml:space="preserve">The New Adventures of Winnie the Pooh </t>
  </si>
  <si>
    <t xml:space="preserve">The New Adventures of Zorro </t>
  </si>
  <si>
    <t xml:space="preserve">The New Batman Adventures </t>
  </si>
  <si>
    <t xml:space="preserve">The New Legends of Monkey </t>
  </si>
  <si>
    <t xml:space="preserve">The New Normal </t>
  </si>
  <si>
    <t xml:space="preserve">The Newsroom </t>
  </si>
  <si>
    <t xml:space="preserve">The Nineties </t>
  </si>
  <si>
    <t xml:space="preserve">The O.C. </t>
  </si>
  <si>
    <t xml:space="preserve">The OA </t>
  </si>
  <si>
    <t xml:space="preserve">The Oblongs </t>
  </si>
  <si>
    <t xml:space="preserve">The Octopus </t>
  </si>
  <si>
    <t xml:space="preserve">The Office </t>
  </si>
  <si>
    <t xml:space="preserve">The One </t>
  </si>
  <si>
    <t xml:space="preserve">The Orville </t>
  </si>
  <si>
    <t xml:space="preserve">The Other Side of Paradise </t>
  </si>
  <si>
    <t xml:space="preserve">The Other Sport </t>
  </si>
  <si>
    <t xml:space="preserve">The Other Two </t>
  </si>
  <si>
    <t xml:space="preserve">The Others </t>
  </si>
  <si>
    <t xml:space="preserve">The Outer Limits </t>
  </si>
  <si>
    <t xml:space="preserve">The Outpost </t>
  </si>
  <si>
    <t xml:space="preserve">The Passage </t>
  </si>
  <si>
    <t xml:space="preserve">The Paynes </t>
  </si>
  <si>
    <t xml:space="preserve">The Peep Jeep </t>
  </si>
  <si>
    <t xml:space="preserve">The Ping-Pong Club </t>
  </si>
  <si>
    <t xml:space="preserve">The Pitts </t>
  </si>
  <si>
    <t xml:space="preserve">The PJs </t>
  </si>
  <si>
    <t xml:space="preserve">The Player </t>
  </si>
  <si>
    <t xml:space="preserve">The Politician </t>
  </si>
  <si>
    <t xml:space="preserve">The Powerpuff Girls </t>
  </si>
  <si>
    <t xml:space="preserve">The Practice </t>
  </si>
  <si>
    <t xml:space="preserve">The Pretender </t>
  </si>
  <si>
    <t xml:space="preserve">The Princess' Man </t>
  </si>
  <si>
    <t xml:space="preserve">The Proposal </t>
  </si>
  <si>
    <t xml:space="preserve">The Proud Family </t>
  </si>
  <si>
    <t xml:space="preserve">The Punisher </t>
  </si>
  <si>
    <t xml:space="preserve">The Purge </t>
  </si>
  <si>
    <t xml:space="preserve">The Puzzle Place </t>
  </si>
  <si>
    <t xml:space="preserve">The Quest </t>
  </si>
  <si>
    <t xml:space="preserve">The Raggy Dolls </t>
  </si>
  <si>
    <t xml:space="preserve">The Rain </t>
  </si>
  <si>
    <t xml:space="preserve">The Real Adventures of Jonny Quest </t>
  </si>
  <si>
    <t xml:space="preserve">The Real Ghostbusters </t>
  </si>
  <si>
    <t xml:space="preserve">The Real Housewives of Atlanta </t>
  </si>
  <si>
    <t xml:space="preserve">The Real Housewives of Beverly Hills </t>
  </si>
  <si>
    <t xml:space="preserve">The Real Housewives of New Jersey </t>
  </si>
  <si>
    <t xml:space="preserve">The Real Housewives of New York City </t>
  </si>
  <si>
    <t xml:space="preserve">The Real Hustle </t>
  </si>
  <si>
    <t xml:space="preserve">The Real L Word </t>
  </si>
  <si>
    <t xml:space="preserve">The Real Story with Maria Elena Salinas </t>
  </si>
  <si>
    <t xml:space="preserve">The Red Green Show </t>
  </si>
  <si>
    <t xml:space="preserve">The Ren &amp; Stimpy Show </t>
  </si>
  <si>
    <t xml:space="preserve">The Resolve </t>
  </si>
  <si>
    <t xml:space="preserve">The Riches </t>
  </si>
  <si>
    <t xml:space="preserve">The Rick Mercer Report </t>
  </si>
  <si>
    <t xml:space="preserve">The Righteous Gemstones </t>
  </si>
  <si>
    <t xml:space="preserve">The Romanoffs </t>
  </si>
  <si>
    <t xml:space="preserve">The Ron James Show </t>
  </si>
  <si>
    <t xml:space="preserve">The Rookie </t>
  </si>
  <si>
    <t xml:space="preserve">The Royle Family </t>
  </si>
  <si>
    <t xml:space="preserve">The Same Sky </t>
  </si>
  <si>
    <t xml:space="preserve">The Sarah Silverman Program. </t>
  </si>
  <si>
    <t xml:space="preserve">The Savage Dragon </t>
  </si>
  <si>
    <t xml:space="preserve">The Scarlet Pimpernel </t>
  </si>
  <si>
    <t xml:space="preserve">The Scoop </t>
  </si>
  <si>
    <t xml:space="preserve">The Seán Cullen Show </t>
  </si>
  <si>
    <t xml:space="preserve">The Secret Adventures of Jules Verne </t>
  </si>
  <si>
    <t xml:space="preserve">The Secret Circle </t>
  </si>
  <si>
    <t xml:space="preserve">The Secret Life of the American Teenager </t>
  </si>
  <si>
    <t xml:space="preserve">The Secret World of Alex Mack </t>
  </si>
  <si>
    <t xml:space="preserve">The Shannara Chronicles </t>
  </si>
  <si>
    <t xml:space="preserve">The Showbiz Show with David Spade </t>
  </si>
  <si>
    <t xml:space="preserve">The Silver Chair </t>
  </si>
  <si>
    <t xml:space="preserve">The Simple Life </t>
  </si>
  <si>
    <t xml:space="preserve">The Simpsons </t>
  </si>
  <si>
    <t xml:space="preserve">The Sin Reapers </t>
  </si>
  <si>
    <t xml:space="preserve">The Sinner </t>
  </si>
  <si>
    <t xml:space="preserve">The Sixties </t>
  </si>
  <si>
    <t xml:space="preserve">The Smurfs </t>
  </si>
  <si>
    <t xml:space="preserve">The Society </t>
  </si>
  <si>
    <t xml:space="preserve">The Son </t>
  </si>
  <si>
    <t xml:space="preserve">The Sopranos </t>
  </si>
  <si>
    <t xml:space="preserve">The Spectacular Spider-Man </t>
  </si>
  <si>
    <t xml:space="preserve">The Staircase </t>
  </si>
  <si>
    <t xml:space="preserve">The Standups </t>
  </si>
  <si>
    <t xml:space="preserve">The Startup Hour </t>
  </si>
  <si>
    <t xml:space="preserve">The State </t>
  </si>
  <si>
    <t xml:space="preserve">The Strain </t>
  </si>
  <si>
    <t xml:space="preserve">The Studio </t>
  </si>
  <si>
    <t xml:space="preserve">The Suite Life of Zack &amp; Cody </t>
  </si>
  <si>
    <t xml:space="preserve">The Super Hero Squad Show </t>
  </si>
  <si>
    <t xml:space="preserve">The Super Powers Team: Galactic Guardians </t>
  </si>
  <si>
    <t xml:space="preserve">The Supervet </t>
  </si>
  <si>
    <t xml:space="preserve">The Sylvester &amp; Tweety Mysteries </t>
  </si>
  <si>
    <t xml:space="preserve">The Syndicate </t>
  </si>
  <si>
    <t xml:space="preserve">The Task </t>
  </si>
  <si>
    <t xml:space="preserve">The Terror </t>
  </si>
  <si>
    <t xml:space="preserve">The Thorn Birds </t>
  </si>
  <si>
    <t xml:space="preserve">The Tick </t>
  </si>
  <si>
    <t xml:space="preserve">The Time in Between </t>
  </si>
  <si>
    <t xml:space="preserve">The Titan Games </t>
  </si>
  <si>
    <t xml:space="preserve">The Tom and Jerry Show </t>
  </si>
  <si>
    <t xml:space="preserve">The Tomorrow People </t>
  </si>
  <si>
    <t xml:space="preserve">The Torkelsons </t>
  </si>
  <si>
    <t xml:space="preserve">The Tower of DRUAGA:the Aegis of URUK </t>
  </si>
  <si>
    <t xml:space="preserve">The Toy Box </t>
  </si>
  <si>
    <t xml:space="preserve">The Toys That Made Us </t>
  </si>
  <si>
    <t xml:space="preserve">The Transformers </t>
  </si>
  <si>
    <t xml:space="preserve">The Trap Door </t>
  </si>
  <si>
    <t xml:space="preserve">The Tribe </t>
  </si>
  <si>
    <t xml:space="preserve">The Tripods </t>
  </si>
  <si>
    <t xml:space="preserve">The Trixie &amp; Katya Show </t>
  </si>
  <si>
    <t xml:space="preserve">The Tube: Going Underground </t>
  </si>
  <si>
    <t xml:space="preserve">The Tudors </t>
  </si>
  <si>
    <t xml:space="preserve">The Twilight Zone </t>
  </si>
  <si>
    <t xml:space="preserve">The Two Lives of Estela Carrillo </t>
  </si>
  <si>
    <t xml:space="preserve">The UCB Show </t>
  </si>
  <si>
    <t xml:space="preserve">The Ultimate Fighter </t>
  </si>
  <si>
    <t xml:space="preserve">The Umbrella Academy </t>
  </si>
  <si>
    <t xml:space="preserve">The Unicorn </t>
  </si>
  <si>
    <t xml:space="preserve">The Universe </t>
  </si>
  <si>
    <t xml:space="preserve">The Untouchables </t>
  </si>
  <si>
    <t xml:space="preserve">The Uptown Comedy Club </t>
  </si>
  <si>
    <t xml:space="preserve">The Vampire Diaries </t>
  </si>
  <si>
    <t xml:space="preserve">The Venture Bros. </t>
  </si>
  <si>
    <t xml:space="preserve">The Vicar of Dibley </t>
  </si>
  <si>
    <t xml:space="preserve">The Vice </t>
  </si>
  <si>
    <t xml:space="preserve">The Villa </t>
  </si>
  <si>
    <t xml:space="preserve">The Village </t>
  </si>
  <si>
    <t xml:space="preserve">The Visitors </t>
  </si>
  <si>
    <t xml:space="preserve">The Voice </t>
  </si>
  <si>
    <t xml:space="preserve">The Walking Dead </t>
  </si>
  <si>
    <t xml:space="preserve">The War at Home </t>
  </si>
  <si>
    <t xml:space="preserve">The Water Whispers </t>
  </si>
  <si>
    <t xml:space="preserve">The Wayans Bros. </t>
  </si>
  <si>
    <t xml:space="preserve">The West Wing </t>
  </si>
  <si>
    <t xml:space="preserve">The White Slave </t>
  </si>
  <si>
    <t xml:space="preserve">The Whitest Kids U'Know </t>
  </si>
  <si>
    <t xml:space="preserve">The Widow </t>
  </si>
  <si>
    <t xml:space="preserve">The Wild Thornberrys </t>
  </si>
  <si>
    <t xml:space="preserve">The Wine Trails of Australia </t>
  </si>
  <si>
    <t xml:space="preserve">The Winjin' Pom </t>
  </si>
  <si>
    <t xml:space="preserve">The Winner Is </t>
  </si>
  <si>
    <t xml:space="preserve">The Wire </t>
  </si>
  <si>
    <t xml:space="preserve">The Witcher </t>
  </si>
  <si>
    <t xml:space="preserve">The Wizard of Oz </t>
  </si>
  <si>
    <t xml:space="preserve">The Wonder Years </t>
  </si>
  <si>
    <t xml:space="preserve">The Wonderful Wizard of Oz </t>
  </si>
  <si>
    <t xml:space="preserve">The World According to Jeff Goldblum </t>
  </si>
  <si>
    <t xml:space="preserve">The World Wars </t>
  </si>
  <si>
    <t xml:space="preserve">The Worst Witch </t>
  </si>
  <si>
    <t xml:space="preserve">The Wretched </t>
  </si>
  <si>
    <t xml:space="preserve">The X Factor </t>
  </si>
  <si>
    <t xml:space="preserve">The X-Files </t>
  </si>
  <si>
    <t xml:space="preserve">The Young Indiana Jones Chronicles </t>
  </si>
  <si>
    <t xml:space="preserve">The Young Ones </t>
  </si>
  <si>
    <t xml:space="preserve">The Young Pope </t>
  </si>
  <si>
    <t xml:space="preserve">The Young Riders </t>
  </si>
  <si>
    <t xml:space="preserve">Theatre Fantastique </t>
  </si>
  <si>
    <t xml:space="preserve">Third Watch </t>
  </si>
  <si>
    <t xml:space="preserve">This Country </t>
  </si>
  <si>
    <t xml:space="preserve">This Is Us </t>
  </si>
  <si>
    <t xml:space="preserve">This Life </t>
  </si>
  <si>
    <t xml:space="preserve">This Movie Sucks! </t>
  </si>
  <si>
    <t xml:space="preserve">Those Who Can't </t>
  </si>
  <si>
    <t xml:space="preserve">Those Who Hunt Elves </t>
  </si>
  <si>
    <t xml:space="preserve">Through the Wormhole </t>
  </si>
  <si>
    <t xml:space="preserve">Thundarr the Barbarian </t>
  </si>
  <si>
    <t xml:space="preserve">Thundercats </t>
  </si>
  <si>
    <t xml:space="preserve">Thunderstone </t>
  </si>
  <si>
    <t xml:space="preserve">Tidelands </t>
  </si>
  <si>
    <t xml:space="preserve">Til Death </t>
  </si>
  <si>
    <t xml:space="preserve">Tim and Eric Awesome Show, Great Job! </t>
  </si>
  <si>
    <t xml:space="preserve">Tim and Eric Nite Live </t>
  </si>
  <si>
    <t xml:space="preserve">Time Gentlemen Please </t>
  </si>
  <si>
    <t xml:space="preserve">Time Team </t>
  </si>
  <si>
    <t xml:space="preserve">Time to Eat with Nadiya </t>
  </si>
  <si>
    <t xml:space="preserve">Timeless Love </t>
  </si>
  <si>
    <t xml:space="preserve">Tin Star </t>
  </si>
  <si>
    <t xml:space="preserve">Tiny Toon Adventures </t>
  </si>
  <si>
    <t xml:space="preserve">Titans </t>
  </si>
  <si>
    <t xml:space="preserve">Titus </t>
  </si>
  <si>
    <t xml:space="preserve">To Heart </t>
  </si>
  <si>
    <t xml:space="preserve">Today Is Maria's Day </t>
  </si>
  <si>
    <t xml:space="preserve">Todd and the Book of Pure Evil </t>
  </si>
  <si>
    <t xml:space="preserve">Todd McFarlane's Spawn </t>
  </si>
  <si>
    <t xml:space="preserve">Tôka gettan </t>
  </si>
  <si>
    <t xml:space="preserve">Tokio Private Police </t>
  </si>
  <si>
    <t xml:space="preserve">Toledo </t>
  </si>
  <si>
    <t xml:space="preserve">Tom Clancy's Jack Ryan </t>
  </si>
  <si>
    <t xml:space="preserve">Tom Daley </t>
  </si>
  <si>
    <t xml:space="preserve">Tomás Mike Pernica </t>
  </si>
  <si>
    <t xml:space="preserve">Toopy &amp; Binoo </t>
  </si>
  <si>
    <t xml:space="preserve">Top Chef </t>
  </si>
  <si>
    <t xml:space="preserve">Top Gear </t>
  </si>
  <si>
    <t xml:space="preserve">Top Gear USA </t>
  </si>
  <si>
    <t xml:space="preserve">Torchwood </t>
  </si>
  <si>
    <t xml:space="preserve">Tosh.0 </t>
  </si>
  <si>
    <t xml:space="preserve">Toshi densetsu shirizu </t>
  </si>
  <si>
    <t xml:space="preserve">Total Bellas </t>
  </si>
  <si>
    <t xml:space="preserve">Total Divas </t>
  </si>
  <si>
    <t xml:space="preserve">Total Onslaught </t>
  </si>
  <si>
    <t xml:space="preserve">Total Wipeout </t>
  </si>
  <si>
    <t xml:space="preserve">Totally Spies! </t>
  </si>
  <si>
    <t xml:space="preserve">Townsend Television </t>
  </si>
  <si>
    <t xml:space="preserve">Tracey Ullman's Show </t>
  </si>
  <si>
    <t xml:space="preserve">Trail of Lies </t>
  </si>
  <si>
    <t xml:space="preserve">Trailer Park Boys </t>
  </si>
  <si>
    <t xml:space="preserve">Transformers Prime </t>
  </si>
  <si>
    <t xml:space="preserve">Transformers: Armada </t>
  </si>
  <si>
    <t xml:space="preserve">Transformers: Energon </t>
  </si>
  <si>
    <t xml:space="preserve">Transformers: Robots in Disguise </t>
  </si>
  <si>
    <t xml:space="preserve">Travel Man: 48 Hours in... </t>
  </si>
  <si>
    <t xml:space="preserve">Travels By Narrowboat </t>
  </si>
  <si>
    <t xml:space="preserve">Treme </t>
  </si>
  <si>
    <t xml:space="preserve">Tresh-obzor </t>
  </si>
  <si>
    <t xml:space="preserve">Trigun </t>
  </si>
  <si>
    <t xml:space="preserve">Trinity </t>
  </si>
  <si>
    <t xml:space="preserve">Tripping the Rift </t>
  </si>
  <si>
    <t xml:space="preserve">Tropes vs. Women in Video Games </t>
  </si>
  <si>
    <t xml:space="preserve">Troy: Fall of a City </t>
  </si>
  <si>
    <t xml:space="preserve">Trpaslík </t>
  </si>
  <si>
    <t xml:space="preserve">Tru Calling </t>
  </si>
  <si>
    <t xml:space="preserve">True Blood </t>
  </si>
  <si>
    <t xml:space="preserve">True Detective </t>
  </si>
  <si>
    <t xml:space="preserve">True Jackson, VP </t>
  </si>
  <si>
    <t xml:space="preserve">True Justice </t>
  </si>
  <si>
    <t xml:space="preserve">True Women </t>
  </si>
  <si>
    <t xml:space="preserve">Trust </t>
  </si>
  <si>
    <t xml:space="preserve">Truthhorse </t>
  </si>
  <si>
    <t xml:space="preserve">Turn Up Charlie </t>
  </si>
  <si>
    <t xml:space="preserve">TURN: Washington's Spies </t>
  </si>
  <si>
    <t xml:space="preserve">TV Funhouse </t>
  </si>
  <si>
    <t xml:space="preserve">Twin Peaks </t>
  </si>
  <si>
    <t xml:space="preserve">Twin Turbos </t>
  </si>
  <si>
    <t xml:space="preserve">Twisted </t>
  </si>
  <si>
    <t xml:space="preserve">Two and a Half Men </t>
  </si>
  <si>
    <t xml:space="preserve">Two Doors Down </t>
  </si>
  <si>
    <t xml:space="preserve">Two Guys, a Girl and a Pizza Place </t>
  </si>
  <si>
    <t xml:space="preserve">Two Sentence Horror Stories </t>
  </si>
  <si>
    <t xml:space="preserve">Tyranny </t>
  </si>
  <si>
    <t xml:space="preserve">UCB Comedy Originals </t>
  </si>
  <si>
    <t xml:space="preserve">Uga Uga </t>
  </si>
  <si>
    <t xml:space="preserve">Ugly Americans </t>
  </si>
  <si>
    <t xml:space="preserve">Ugly Betty </t>
  </si>
  <si>
    <t xml:space="preserve">Ugly Delicious </t>
  </si>
  <si>
    <t xml:space="preserve">Ultimate Cake Off </t>
  </si>
  <si>
    <t xml:space="preserve">Ultimate Spider-Man </t>
  </si>
  <si>
    <t xml:space="preserve">Ultraviolet </t>
  </si>
  <si>
    <t xml:space="preserve">Ultraviolet: Code 044 </t>
  </si>
  <si>
    <t xml:space="preserve">Ulysses 31 </t>
  </si>
  <si>
    <t xml:space="preserve">Um Menino Muito Maluquinho </t>
  </si>
  <si>
    <t xml:space="preserve">Unan1mous </t>
  </si>
  <si>
    <t xml:space="preserve">Unbreakable Kimmy Schmidt </t>
  </si>
  <si>
    <t xml:space="preserve">Uncle Grandpa </t>
  </si>
  <si>
    <t xml:space="preserve">Undeclared </t>
  </si>
  <si>
    <t xml:space="preserve">Under the Dome </t>
  </si>
  <si>
    <t xml:space="preserve">Undercover Boss </t>
  </si>
  <si>
    <t xml:space="preserve">Undercover Boss Australia </t>
  </si>
  <si>
    <t xml:space="preserve">Undercover Boss Canada </t>
  </si>
  <si>
    <t xml:space="preserve">Undergrads </t>
  </si>
  <si>
    <t xml:space="preserve">Underground </t>
  </si>
  <si>
    <t xml:space="preserve">Undressed </t>
  </si>
  <si>
    <t xml:space="preserve">Unikitty! </t>
  </si>
  <si>
    <t xml:space="preserve">Union Church of La Harpe, Illinois </t>
  </si>
  <si>
    <t xml:space="preserve">United States of Tara </t>
  </si>
  <si>
    <t xml:space="preserve">Unnatural History </t>
  </si>
  <si>
    <t xml:space="preserve">Unsolved Mysteries </t>
  </si>
  <si>
    <t xml:space="preserve">Unsolved: The Murders of Tupac and the Notorious B.I.G. </t>
  </si>
  <si>
    <t xml:space="preserve">Unusual Suspects </t>
  </si>
  <si>
    <t xml:space="preserve">Upright Citizens Brigade </t>
  </si>
  <si>
    <t xml:space="preserve">Uranium: Twisting the Dragon's Tail </t>
  </si>
  <si>
    <t xml:space="preserve">Urban Gothic </t>
  </si>
  <si>
    <t xml:space="preserve">Utopia </t>
  </si>
  <si>
    <t xml:space="preserve">UUelcome </t>
  </si>
  <si>
    <t xml:space="preserve">V </t>
  </si>
  <si>
    <t xml:space="preserve">Valley Metro Church </t>
  </si>
  <si>
    <t xml:space="preserve">Valor </t>
  </si>
  <si>
    <t xml:space="preserve">Vampire Knight </t>
  </si>
  <si>
    <t xml:space="preserve">Vampires </t>
  </si>
  <si>
    <t xml:space="preserve">Van Helsing </t>
  </si>
  <si>
    <t xml:space="preserve">Vanderpump Rules </t>
  </si>
  <si>
    <t xml:space="preserve">Vasiliy Stalin </t>
  </si>
  <si>
    <t xml:space="preserve">Veep </t>
  </si>
  <si>
    <t xml:space="preserve">Vegas </t>
  </si>
  <si>
    <t xml:space="preserve">Velvet Collection </t>
  </si>
  <si>
    <t xml:space="preserve">Venus Versus Virus </t>
  </si>
  <si>
    <t xml:space="preserve">Vera </t>
  </si>
  <si>
    <t xml:space="preserve">Verbotene Liebe </t>
  </si>
  <si>
    <t xml:space="preserve">Vergüenza </t>
  </si>
  <si>
    <t xml:space="preserve">Verity Baptist Church </t>
  </si>
  <si>
    <t xml:space="preserve">Veronica Mars </t>
  </si>
  <si>
    <t xml:space="preserve">Veronika Spurná </t>
  </si>
  <si>
    <t xml:space="preserve">Versailles </t>
  </si>
  <si>
    <t xml:space="preserve">Vicious </t>
  </si>
  <si>
    <t xml:space="preserve">Victor &amp; Valentino </t>
  </si>
  <si>
    <t xml:space="preserve">Victoria </t>
  </si>
  <si>
    <t xml:space="preserve">Victoria &amp; Albert </t>
  </si>
  <si>
    <t xml:space="preserve">Victoria Wood </t>
  </si>
  <si>
    <t xml:space="preserve">Victorious </t>
  </si>
  <si>
    <t xml:space="preserve">Vida </t>
  </si>
  <si>
    <t xml:space="preserve">Video Girl Ai </t>
  </si>
  <si>
    <t xml:space="preserve">Vikings </t>
  </si>
  <si>
    <t xml:space="preserve">Vinari </t>
  </si>
  <si>
    <t xml:space="preserve">Vinyl </t>
  </si>
  <si>
    <t xml:space="preserve">Violetta </t>
  </si>
  <si>
    <t xml:space="preserve">Visionaries: Knights of the Magical Light </t>
  </si>
  <si>
    <t xml:space="preserve">Vital Signs </t>
  </si>
  <si>
    <t xml:space="preserve">Viva Variety </t>
  </si>
  <si>
    <t xml:space="preserve">Vixen </t>
  </si>
  <si>
    <t xml:space="preserve">Voltron: Legendary Defender </t>
  </si>
  <si>
    <t xml:space="preserve">Voltron: The Third Dimension </t>
  </si>
  <si>
    <t xml:space="preserve">Voyage of the Unicorn </t>
  </si>
  <si>
    <t xml:space="preserve">Vsechny moje lásky </t>
  </si>
  <si>
    <t xml:space="preserve">Vysehrad </t>
  </si>
  <si>
    <t xml:space="preserve">W.I.T.C.H. </t>
  </si>
  <si>
    <t xml:space="preserve">Wacky Races </t>
  </si>
  <si>
    <t xml:space="preserve">Wainy Days </t>
  </si>
  <si>
    <t xml:space="preserve">Waiting for God </t>
  </si>
  <si>
    <t xml:space="preserve">Wake, Rattle &amp; Roll </t>
  </si>
  <si>
    <t xml:space="preserve">Waking the Dead </t>
  </si>
  <si>
    <t xml:space="preserve">Walang hanggan </t>
  </si>
  <si>
    <t xml:space="preserve">Walker, Texas Ranger </t>
  </si>
  <si>
    <t xml:space="preserve">Walking the Amazon </t>
  </si>
  <si>
    <t xml:space="preserve">Wallander </t>
  </si>
  <si>
    <t xml:space="preserve">Wan pîsu </t>
  </si>
  <si>
    <t xml:space="preserve">Wander Over Yonder </t>
  </si>
  <si>
    <t xml:space="preserve">Wanderlust </t>
  </si>
  <si>
    <t xml:space="preserve">Wangzi bian qingwa </t>
  </si>
  <si>
    <t xml:space="preserve">Wanna Be the Strongest in the World </t>
  </si>
  <si>
    <t xml:space="preserve">Wanted </t>
  </si>
  <si>
    <t xml:space="preserve">War of the Worlds </t>
  </si>
  <si>
    <t xml:space="preserve">Warship </t>
  </si>
  <si>
    <t xml:space="preserve">Wat nu weer!? </t>
  </si>
  <si>
    <t xml:space="preserve">WataMote: No Matter How I Look at It, It's You Guys' Fault I'm Not Popular! </t>
  </si>
  <si>
    <t xml:space="preserve">Water Rats </t>
  </si>
  <si>
    <t xml:space="preserve">Wayne and Shuster in Black and White </t>
  </si>
  <si>
    <t xml:space="preserve">Ways of the Heart </t>
  </si>
  <si>
    <t xml:space="preserve">We Bare Bears </t>
  </si>
  <si>
    <t xml:space="preserve">Weather Report Girl </t>
  </si>
  <si>
    <t xml:space="preserve">Webdreams </t>
  </si>
  <si>
    <t xml:space="preserve">Weeds </t>
  </si>
  <si>
    <t xml:space="preserve">Welcome to Pooh Corner </t>
  </si>
  <si>
    <t xml:space="preserve">Wentworth </t>
  </si>
  <si>
    <t xml:space="preserve">Westenwind </t>
  </si>
  <si>
    <t xml:space="preserve">Westworld </t>
  </si>
  <si>
    <t xml:space="preserve">Wet Hot American Summer: Ten Years Later </t>
  </si>
  <si>
    <t xml:space="preserve">Whale Wars </t>
  </si>
  <si>
    <t xml:space="preserve">What About Brian </t>
  </si>
  <si>
    <t xml:space="preserve">What Happens in Kavos </t>
  </si>
  <si>
    <t xml:space="preserve">What We Do in the Shadows </t>
  </si>
  <si>
    <t xml:space="preserve">Wheeler Dealers </t>
  </si>
  <si>
    <t xml:space="preserve">When Heroes Fly </t>
  </si>
  <si>
    <t xml:space="preserve">When They Cry </t>
  </si>
  <si>
    <t xml:space="preserve">Whispering Jane ASMR </t>
  </si>
  <si>
    <t xml:space="preserve">White Collar </t>
  </si>
  <si>
    <t xml:space="preserve">White Gold </t>
  </si>
  <si>
    <t xml:space="preserve">Whitechapel </t>
  </si>
  <si>
    <t xml:space="preserve">WhiteMike193 </t>
  </si>
  <si>
    <t xml:space="preserve">Who Do You Think You Are? </t>
  </si>
  <si>
    <t xml:space="preserve">Who Is America? </t>
  </si>
  <si>
    <t xml:space="preserve">Who Is Shinobi RedEye? </t>
  </si>
  <si>
    <t xml:space="preserve">Who's Still Standing? </t>
  </si>
  <si>
    <t xml:space="preserve">Who's the Boss? </t>
  </si>
  <si>
    <t xml:space="preserve">Whoops Apocalypse </t>
  </si>
  <si>
    <t xml:space="preserve">Whose Line Is It Anyway? </t>
  </si>
  <si>
    <t xml:space="preserve">Wild 'N Out </t>
  </si>
  <si>
    <t xml:space="preserve">Wild Heart </t>
  </si>
  <si>
    <t xml:space="preserve">Wild Things with Dominic Monaghan </t>
  </si>
  <si>
    <t xml:space="preserve">Wildfire </t>
  </si>
  <si>
    <t xml:space="preserve">Wildflower </t>
  </si>
  <si>
    <t xml:space="preserve">Wilfred </t>
  </si>
  <si>
    <t xml:space="preserve">Will </t>
  </si>
  <si>
    <t xml:space="preserve">Will &amp; Grace </t>
  </si>
  <si>
    <t xml:space="preserve">William and Mary </t>
  </si>
  <si>
    <t xml:space="preserve">Wind Blows in Chang Lin </t>
  </si>
  <si>
    <t xml:space="preserve">Wing Commander Academy </t>
  </si>
  <si>
    <t xml:space="preserve">Winx Club </t>
  </si>
  <si>
    <t xml:space="preserve">Wipeout </t>
  </si>
  <si>
    <t xml:space="preserve">Wisdom of the Crowd </t>
  </si>
  <si>
    <t xml:space="preserve">Wishbone </t>
  </si>
  <si>
    <t xml:space="preserve">Witch Hunter Robin </t>
  </si>
  <si>
    <t xml:space="preserve">Witchblade </t>
  </si>
  <si>
    <t xml:space="preserve">Without a Trace </t>
  </si>
  <si>
    <t xml:space="preserve">Witless Protection Program </t>
  </si>
  <si>
    <t xml:space="preserve">Witnesses </t>
  </si>
  <si>
    <t xml:space="preserve">Wives with Knives </t>
  </si>
  <si>
    <t xml:space="preserve">Wizards of Waverly Place </t>
  </si>
  <si>
    <t xml:space="preserve">Wolf's Rain </t>
  </si>
  <si>
    <t xml:space="preserve">Wolkenfrei ASMR </t>
  </si>
  <si>
    <t xml:space="preserve">Wolverine and the X-Men </t>
  </si>
  <si>
    <t xml:space="preserve">Women Artists of Australia </t>
  </si>
  <si>
    <t xml:space="preserve">Women in Love </t>
  </si>
  <si>
    <t xml:space="preserve">Wonder Showzen </t>
  </si>
  <si>
    <t xml:space="preserve">Wonderfalls </t>
  </si>
  <si>
    <t xml:space="preserve">Wonderkids </t>
  </si>
  <si>
    <t xml:space="preserve">Wonderland </t>
  </si>
  <si>
    <t xml:space="preserve">Word of Truth Baptist Church </t>
  </si>
  <si>
    <t xml:space="preserve">Work of Art: The Next Great Artist </t>
  </si>
  <si>
    <t xml:space="preserve">Workin' Moms </t>
  </si>
  <si>
    <t xml:space="preserve">World of Dance </t>
  </si>
  <si>
    <t xml:space="preserve">WPC 56 </t>
  </si>
  <si>
    <t xml:space="preserve">Wrecked </t>
  </si>
  <si>
    <t xml:space="preserve">Wycliffe </t>
  </si>
  <si>
    <t xml:space="preserve">Wynonna Earp </t>
  </si>
  <si>
    <t xml:space="preserve">X </t>
  </si>
  <si>
    <t xml:space="preserve">X Avion: The Weird Day </t>
  </si>
  <si>
    <t xml:space="preserve">X Company </t>
  </si>
  <si>
    <t xml:space="preserve">X-Men: Evolution </t>
  </si>
  <si>
    <t xml:space="preserve">X-Men: The Animated Series </t>
  </si>
  <si>
    <t xml:space="preserve">Xena: Warrior Princess </t>
  </si>
  <si>
    <t xml:space="preserve">Xica da Silva </t>
  </si>
  <si>
    <t xml:space="preserve">XIII: The Series </t>
  </si>
  <si>
    <t xml:space="preserve">Xyber 9: New Dawn </t>
  </si>
  <si>
    <t xml:space="preserve">Yallahrup Færgeby </t>
  </si>
  <si>
    <t xml:space="preserve">Yanusunokagami </t>
  </si>
  <si>
    <t xml:space="preserve">Years of Living Dangerously </t>
  </si>
  <si>
    <t xml:space="preserve">Yeh Meri Family </t>
  </si>
  <si>
    <t xml:space="preserve">Yellowstone </t>
  </si>
  <si>
    <t xml:space="preserve">Yes Minister </t>
  </si>
  <si>
    <t xml:space="preserve">Yin Yang Yo! </t>
  </si>
  <si>
    <t xml:space="preserve">Yo soy Bea </t>
  </si>
  <si>
    <t xml:space="preserve">Yo Yogi! </t>
  </si>
  <si>
    <t xml:space="preserve">Yogi's Treasure Hunt </t>
  </si>
  <si>
    <t xml:space="preserve">Yokohama kaidashi kikô </t>
  </si>
  <si>
    <t xml:space="preserve">YooHoo and Friends </t>
  </si>
  <si>
    <t xml:space="preserve">You </t>
  </si>
  <si>
    <t xml:space="preserve">You Are Beautiful </t>
  </si>
  <si>
    <t xml:space="preserve">You Got Trumped: The First 100 Days </t>
  </si>
  <si>
    <t xml:space="preserve">You Me Her </t>
  </si>
  <si>
    <t xml:space="preserve">You Rang, M'Lord? </t>
  </si>
  <si>
    <t xml:space="preserve">You the Jury </t>
  </si>
  <si>
    <t xml:space="preserve">You Wrote It, You Watch It </t>
  </si>
  <si>
    <t xml:space="preserve">You're the Worst </t>
  </si>
  <si>
    <t xml:space="preserve">You're Under Arrest! </t>
  </si>
  <si>
    <t xml:space="preserve">Young &amp; Hungry </t>
  </si>
  <si>
    <t xml:space="preserve">Young &amp; Reckless </t>
  </si>
  <si>
    <t xml:space="preserve">Young Americans </t>
  </si>
  <si>
    <t xml:space="preserve">Young Hearts </t>
  </si>
  <si>
    <t xml:space="preserve">Young Hercules </t>
  </si>
  <si>
    <t xml:space="preserve">Young Justice </t>
  </si>
  <si>
    <t xml:space="preserve">Younger </t>
  </si>
  <si>
    <t xml:space="preserve">Your Pretty Face Is Going to Hell </t>
  </si>
  <si>
    <t xml:space="preserve">Yu Yu Hakusho: Ghost Files </t>
  </si>
  <si>
    <t xml:space="preserve">Yu-Gi-Oh! 5D's </t>
  </si>
  <si>
    <t xml:space="preserve">Yu-Gi-Oh! Arc-V </t>
  </si>
  <si>
    <t xml:space="preserve">Yu-Gi-Oh! GX </t>
  </si>
  <si>
    <t xml:space="preserve">Yu-Gi-Oh! Zexal </t>
  </si>
  <si>
    <t xml:space="preserve">Yuri!!! On Ice </t>
  </si>
  <si>
    <t xml:space="preserve">Z Nation </t>
  </si>
  <si>
    <t xml:space="preserve">Zakon buterbroda </t>
  </si>
  <si>
    <t xml:space="preserve">ZaumAndare a parare </t>
  </si>
  <si>
    <t xml:space="preserve">Zig and Sharko </t>
  </si>
  <si>
    <t xml:space="preserve">Zindagi Gulzar Hai </t>
  </si>
  <si>
    <t xml:space="preserve">Zoella </t>
  </si>
  <si>
    <t xml:space="preserve">Zoey 101 </t>
  </si>
  <si>
    <t xml:space="preserve">Zofka a spol </t>
  </si>
  <si>
    <t xml:space="preserve">Zombieland Saga </t>
  </si>
  <si>
    <t xml:space="preserve">Zoo </t>
  </si>
  <si>
    <t xml:space="preserve">Zorro </t>
  </si>
  <si>
    <t xml:space="preserve">Zyliara ASMR </t>
  </si>
  <si>
    <t xml:space="preserve">ZZZap! </t>
  </si>
  <si>
    <t>Paste Searched List</t>
  </si>
  <si>
    <t>based-on-tv-keywords</t>
  </si>
  <si>
    <t>based-on-book-novel-keywords</t>
  </si>
  <si>
    <t>adult-animation keywords</t>
  </si>
  <si>
    <t>based-on-movie keywords</t>
  </si>
  <si>
    <t>african/asian/natuve-protagonist-keywords</t>
  </si>
  <si>
    <t>Parsed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</si>
</sst>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"/>
  </numFmts>
  <fonts count="12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2"/>
      <color rgb="FF000000"/>
      <name val="Calibri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  <xf numFmtId="0" fontId="3" fillId="0" borderId="1" xfId="0" applyFont="1" applyBorder="1" applyAlignment="1"/>
    <xf numFmtId="0" fontId="3" fillId="0" borderId="0" xfId="0" quotePrefix="1" applyFont="1" applyAlignment="1"/>
    <xf numFmtId="0" fontId="4" fillId="0" borderId="0" xfId="0" applyFont="1"/>
    <xf numFmtId="0" fontId="2" fillId="0" borderId="0" xfId="0" applyFont="1" applyAlignment="1">
      <alignment horizontal="left" wrapText="1"/>
    </xf>
    <xf numFmtId="0" fontId="5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0" fontId="1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left" wrapText="1"/>
    </xf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571"/>
  <sheetViews>
    <sheetView workbookViewId="0">
      <pane xSplit="1" ySplit="1" topLeftCell="B748" activePane="bottomRight" state="frozen"/>
      <selection pane="topRight" activeCell="F1" sqref="F1"/>
      <selection pane="bottomLeft" activeCell="A2" sqref="A2"/>
      <selection pane="bottomRight" activeCell="A36" sqref="A36"/>
    </sheetView>
  </sheetViews>
  <sheetFormatPr baseColWidth="10" defaultColWidth="14.5" defaultRowHeight="15.75" customHeight="1" x14ac:dyDescent="0.15"/>
  <cols>
    <col min="1" max="1" width="45.1640625" customWidth="1"/>
  </cols>
  <sheetData>
    <row r="1" spans="1:1" ht="15.75" customHeight="1" x14ac:dyDescent="0.15">
      <c r="A1" s="1" t="s">
        <v>1</v>
      </c>
    </row>
    <row r="2" spans="1:1" ht="15.75" customHeight="1" x14ac:dyDescent="0.15">
      <c r="A2" s="2" t="s">
        <v>3</v>
      </c>
    </row>
    <row r="3" spans="1:1" ht="15.75" customHeight="1" x14ac:dyDescent="0.15">
      <c r="A3" s="2" t="s">
        <v>4</v>
      </c>
    </row>
    <row r="4" spans="1:1" ht="15.75" customHeight="1" x14ac:dyDescent="0.15">
      <c r="A4" s="2" t="s">
        <v>5</v>
      </c>
    </row>
    <row r="5" spans="1:1" ht="15.75" customHeight="1" x14ac:dyDescent="0.15">
      <c r="A5" s="2" t="s">
        <v>6</v>
      </c>
    </row>
    <row r="6" spans="1:1" ht="15.75" customHeight="1" x14ac:dyDescent="0.15">
      <c r="A6" s="2" t="s">
        <v>7</v>
      </c>
    </row>
    <row r="7" spans="1:1" ht="15.75" customHeight="1" x14ac:dyDescent="0.15">
      <c r="A7" s="2" t="s">
        <v>8</v>
      </c>
    </row>
    <row r="8" spans="1:1" ht="15.75" customHeight="1" x14ac:dyDescent="0.15">
      <c r="A8" s="2" t="s">
        <v>9</v>
      </c>
    </row>
    <row r="9" spans="1:1" ht="15.75" customHeight="1" x14ac:dyDescent="0.15">
      <c r="A9" s="2" t="s">
        <v>10</v>
      </c>
    </row>
    <row r="10" spans="1:1" ht="15.75" customHeight="1" x14ac:dyDescent="0.15">
      <c r="A10" s="2" t="s">
        <v>11</v>
      </c>
    </row>
    <row r="11" spans="1:1" ht="15.75" customHeight="1" x14ac:dyDescent="0.15">
      <c r="A11" s="2" t="s">
        <v>12</v>
      </c>
    </row>
    <row r="12" spans="1:1" ht="15.75" customHeight="1" x14ac:dyDescent="0.15">
      <c r="A12" s="2" t="s">
        <v>13</v>
      </c>
    </row>
    <row r="13" spans="1:1" ht="15.75" customHeight="1" x14ac:dyDescent="0.15">
      <c r="A13" s="2" t="s">
        <v>14</v>
      </c>
    </row>
    <row r="14" spans="1:1" ht="15.75" customHeight="1" x14ac:dyDescent="0.15">
      <c r="A14" s="2" t="s">
        <v>15</v>
      </c>
    </row>
    <row r="15" spans="1:1" ht="15.75" customHeight="1" x14ac:dyDescent="0.15">
      <c r="A15" s="2" t="s">
        <v>16</v>
      </c>
    </row>
    <row r="16" spans="1:1" ht="15.75" customHeight="1" x14ac:dyDescent="0.15">
      <c r="A16" s="2" t="s">
        <v>17</v>
      </c>
    </row>
    <row r="17" spans="1:1" ht="15.75" customHeight="1" x14ac:dyDescent="0.15">
      <c r="A17" s="2" t="s">
        <v>18</v>
      </c>
    </row>
    <row r="18" spans="1:1" ht="15.75" customHeight="1" x14ac:dyDescent="0.15">
      <c r="A18" s="2" t="s">
        <v>19</v>
      </c>
    </row>
    <row r="19" spans="1:1" ht="15.75" customHeight="1" x14ac:dyDescent="0.15">
      <c r="A19" s="2" t="s">
        <v>20</v>
      </c>
    </row>
    <row r="20" spans="1:1" ht="15.75" customHeight="1" x14ac:dyDescent="0.15">
      <c r="A20" s="2" t="s">
        <v>21</v>
      </c>
    </row>
    <row r="21" spans="1:1" ht="15.75" customHeight="1" x14ac:dyDescent="0.15">
      <c r="A21" s="2" t="s">
        <v>22</v>
      </c>
    </row>
    <row r="22" spans="1:1" ht="15.75" customHeight="1" x14ac:dyDescent="0.15">
      <c r="A22" s="2" t="s">
        <v>23</v>
      </c>
    </row>
    <row r="23" spans="1:1" ht="15.75" customHeight="1" x14ac:dyDescent="0.15">
      <c r="A23" s="2" t="s">
        <v>24</v>
      </c>
    </row>
    <row r="24" spans="1:1" ht="15.75" customHeight="1" x14ac:dyDescent="0.15">
      <c r="A24" s="2" t="s">
        <v>25</v>
      </c>
    </row>
    <row r="25" spans="1:1" ht="15.75" customHeight="1" x14ac:dyDescent="0.15">
      <c r="A25" s="2" t="s">
        <v>26</v>
      </c>
    </row>
    <row r="26" spans="1:1" ht="15.75" customHeight="1" x14ac:dyDescent="0.15">
      <c r="A26" s="2" t="s">
        <v>27</v>
      </c>
    </row>
    <row r="27" spans="1:1" ht="15.75" customHeight="1" x14ac:dyDescent="0.15">
      <c r="A27" s="2" t="s">
        <v>28</v>
      </c>
    </row>
    <row r="28" spans="1:1" ht="15.75" customHeight="1" x14ac:dyDescent="0.15">
      <c r="A28" s="2" t="s">
        <v>29</v>
      </c>
    </row>
    <row r="29" spans="1:1" ht="15.75" customHeight="1" x14ac:dyDescent="0.15">
      <c r="A29" s="2" t="s">
        <v>30</v>
      </c>
    </row>
    <row r="30" spans="1:1" ht="15.75" customHeight="1" x14ac:dyDescent="0.15">
      <c r="A30" s="2" t="s">
        <v>31</v>
      </c>
    </row>
    <row r="31" spans="1:1" ht="15.75" customHeight="1" x14ac:dyDescent="0.15">
      <c r="A31" s="2" t="s">
        <v>32</v>
      </c>
    </row>
    <row r="32" spans="1:1" ht="15.75" customHeight="1" x14ac:dyDescent="0.15">
      <c r="A32" s="2" t="s">
        <v>33</v>
      </c>
    </row>
    <row r="33" spans="1:1" ht="15.75" customHeight="1" x14ac:dyDescent="0.15">
      <c r="A33" s="2" t="s">
        <v>34</v>
      </c>
    </row>
    <row r="34" spans="1:1" ht="15.75" customHeight="1" x14ac:dyDescent="0.15">
      <c r="A34" s="2" t="s">
        <v>35</v>
      </c>
    </row>
    <row r="35" spans="1:1" ht="15.75" customHeight="1" x14ac:dyDescent="0.15">
      <c r="A35" s="2" t="s">
        <v>36</v>
      </c>
    </row>
    <row r="36" spans="1:1" ht="15.75" customHeight="1" x14ac:dyDescent="0.15">
      <c r="A36" s="2" t="s">
        <v>37</v>
      </c>
    </row>
    <row r="37" spans="1:1" ht="15.75" customHeight="1" x14ac:dyDescent="0.15">
      <c r="A37" s="2" t="s">
        <v>38</v>
      </c>
    </row>
    <row r="38" spans="1:1" ht="15.75" customHeight="1" x14ac:dyDescent="0.15">
      <c r="A38" s="2" t="s">
        <v>39</v>
      </c>
    </row>
    <row r="39" spans="1:1" ht="15.75" customHeight="1" x14ac:dyDescent="0.15">
      <c r="A39" s="2" t="s">
        <v>40</v>
      </c>
    </row>
    <row r="40" spans="1:1" ht="15.75" customHeight="1" x14ac:dyDescent="0.15">
      <c r="A40" s="2" t="s">
        <v>41</v>
      </c>
    </row>
    <row r="41" spans="1:1" ht="15.75" customHeight="1" x14ac:dyDescent="0.15">
      <c r="A41" s="2" t="s">
        <v>42</v>
      </c>
    </row>
    <row r="42" spans="1:1" ht="15.75" customHeight="1" x14ac:dyDescent="0.15">
      <c r="A42" s="2" t="s">
        <v>43</v>
      </c>
    </row>
    <row r="43" spans="1:1" ht="15.75" customHeight="1" x14ac:dyDescent="0.15">
      <c r="A43" s="2" t="s">
        <v>44</v>
      </c>
    </row>
    <row r="44" spans="1:1" ht="15.75" customHeight="1" x14ac:dyDescent="0.15">
      <c r="A44" s="2" t="s">
        <v>45</v>
      </c>
    </row>
    <row r="45" spans="1:1" ht="15.75" customHeight="1" x14ac:dyDescent="0.15">
      <c r="A45" s="2" t="s">
        <v>46</v>
      </c>
    </row>
    <row r="46" spans="1:1" ht="15.75" customHeight="1" x14ac:dyDescent="0.15">
      <c r="A46" s="2" t="s">
        <v>47</v>
      </c>
    </row>
    <row r="47" spans="1:1" ht="15.75" customHeight="1" x14ac:dyDescent="0.15">
      <c r="A47" s="2" t="s">
        <v>48</v>
      </c>
    </row>
    <row r="48" spans="1:1" ht="15.75" customHeight="1" x14ac:dyDescent="0.15">
      <c r="A48" s="2" t="s">
        <v>49</v>
      </c>
    </row>
    <row r="49" spans="1:1" ht="15.75" customHeight="1" x14ac:dyDescent="0.15">
      <c r="A49" s="2" t="s">
        <v>50</v>
      </c>
    </row>
    <row r="50" spans="1:1" ht="13" x14ac:dyDescent="0.15">
      <c r="A50" s="2" t="s">
        <v>51</v>
      </c>
    </row>
    <row r="51" spans="1:1" ht="13" x14ac:dyDescent="0.15">
      <c r="A51" s="2" t="s">
        <v>52</v>
      </c>
    </row>
    <row r="52" spans="1:1" ht="13" x14ac:dyDescent="0.15">
      <c r="A52" s="2" t="s">
        <v>53</v>
      </c>
    </row>
    <row r="53" spans="1:1" ht="13" x14ac:dyDescent="0.15">
      <c r="A53" s="2" t="s">
        <v>54</v>
      </c>
    </row>
    <row r="54" spans="1:1" ht="13" x14ac:dyDescent="0.15">
      <c r="A54" s="2" t="s">
        <v>55</v>
      </c>
    </row>
    <row r="55" spans="1:1" ht="13" x14ac:dyDescent="0.15">
      <c r="A55" s="2" t="s">
        <v>56</v>
      </c>
    </row>
    <row r="56" spans="1:1" ht="13" x14ac:dyDescent="0.15">
      <c r="A56" s="2" t="s">
        <v>57</v>
      </c>
    </row>
    <row r="57" spans="1:1" ht="13" x14ac:dyDescent="0.15">
      <c r="A57" s="2" t="s">
        <v>58</v>
      </c>
    </row>
    <row r="58" spans="1:1" ht="13" x14ac:dyDescent="0.15">
      <c r="A58" s="2" t="s">
        <v>59</v>
      </c>
    </row>
    <row r="59" spans="1:1" ht="13" x14ac:dyDescent="0.15">
      <c r="A59" s="2" t="s">
        <v>60</v>
      </c>
    </row>
    <row r="60" spans="1:1" ht="13" x14ac:dyDescent="0.15">
      <c r="A60" s="2" t="s">
        <v>61</v>
      </c>
    </row>
    <row r="61" spans="1:1" ht="13" x14ac:dyDescent="0.15">
      <c r="A61" s="2" t="s">
        <v>62</v>
      </c>
    </row>
    <row r="62" spans="1:1" ht="13" x14ac:dyDescent="0.15">
      <c r="A62" s="2" t="s">
        <v>63</v>
      </c>
    </row>
    <row r="63" spans="1:1" ht="13" x14ac:dyDescent="0.15">
      <c r="A63" s="2" t="s">
        <v>64</v>
      </c>
    </row>
    <row r="64" spans="1:1" ht="13" x14ac:dyDescent="0.15">
      <c r="A64" s="2" t="s">
        <v>65</v>
      </c>
    </row>
    <row r="65" spans="1:1" ht="13" x14ac:dyDescent="0.15">
      <c r="A65" s="2" t="s">
        <v>66</v>
      </c>
    </row>
    <row r="66" spans="1:1" ht="13" x14ac:dyDescent="0.15">
      <c r="A66" s="2" t="s">
        <v>67</v>
      </c>
    </row>
    <row r="67" spans="1:1" ht="13" x14ac:dyDescent="0.15">
      <c r="A67" s="2" t="s">
        <v>68</v>
      </c>
    </row>
    <row r="68" spans="1:1" ht="13" x14ac:dyDescent="0.15">
      <c r="A68" s="2" t="s">
        <v>69</v>
      </c>
    </row>
    <row r="69" spans="1:1" ht="13" x14ac:dyDescent="0.15">
      <c r="A69" s="2" t="s">
        <v>70</v>
      </c>
    </row>
    <row r="70" spans="1:1" ht="13" x14ac:dyDescent="0.15">
      <c r="A70" s="2" t="s">
        <v>71</v>
      </c>
    </row>
    <row r="71" spans="1:1" ht="13" x14ac:dyDescent="0.15">
      <c r="A71" s="2" t="s">
        <v>72</v>
      </c>
    </row>
    <row r="72" spans="1:1" ht="13" x14ac:dyDescent="0.15">
      <c r="A72" s="2" t="s">
        <v>73</v>
      </c>
    </row>
    <row r="73" spans="1:1" ht="13" x14ac:dyDescent="0.15">
      <c r="A73" s="2" t="s">
        <v>74</v>
      </c>
    </row>
    <row r="74" spans="1:1" ht="13" x14ac:dyDescent="0.15">
      <c r="A74" s="2" t="s">
        <v>75</v>
      </c>
    </row>
    <row r="75" spans="1:1" ht="13" x14ac:dyDescent="0.15">
      <c r="A75" s="2" t="s">
        <v>76</v>
      </c>
    </row>
    <row r="76" spans="1:1" ht="13" x14ac:dyDescent="0.15">
      <c r="A76" s="2" t="s">
        <v>77</v>
      </c>
    </row>
    <row r="77" spans="1:1" ht="13" x14ac:dyDescent="0.15">
      <c r="A77" s="2" t="s">
        <v>78</v>
      </c>
    </row>
    <row r="78" spans="1:1" ht="13" x14ac:dyDescent="0.15">
      <c r="A78" s="2" t="s">
        <v>79</v>
      </c>
    </row>
    <row r="79" spans="1:1" ht="13" x14ac:dyDescent="0.15">
      <c r="A79" s="2" t="s">
        <v>80</v>
      </c>
    </row>
    <row r="80" spans="1:1" ht="13" x14ac:dyDescent="0.15">
      <c r="A80" s="2" t="s">
        <v>81</v>
      </c>
    </row>
    <row r="81" spans="1:1" ht="13" x14ac:dyDescent="0.15">
      <c r="A81" s="2" t="s">
        <v>82</v>
      </c>
    </row>
    <row r="82" spans="1:1" ht="13" x14ac:dyDescent="0.15">
      <c r="A82" s="2" t="s">
        <v>83</v>
      </c>
    </row>
    <row r="83" spans="1:1" ht="13" x14ac:dyDescent="0.15">
      <c r="A83" s="2" t="s">
        <v>84</v>
      </c>
    </row>
    <row r="84" spans="1:1" ht="13" x14ac:dyDescent="0.15">
      <c r="A84" s="2" t="s">
        <v>85</v>
      </c>
    </row>
    <row r="85" spans="1:1" ht="13" x14ac:dyDescent="0.15">
      <c r="A85" s="2" t="s">
        <v>86</v>
      </c>
    </row>
    <row r="86" spans="1:1" ht="13" x14ac:dyDescent="0.15">
      <c r="A86" s="2" t="s">
        <v>87</v>
      </c>
    </row>
    <row r="87" spans="1:1" ht="13" x14ac:dyDescent="0.15">
      <c r="A87" s="2" t="s">
        <v>88</v>
      </c>
    </row>
    <row r="88" spans="1:1" ht="13" x14ac:dyDescent="0.15">
      <c r="A88" s="2" t="s">
        <v>89</v>
      </c>
    </row>
    <row r="89" spans="1:1" ht="13" x14ac:dyDescent="0.15">
      <c r="A89" s="2" t="s">
        <v>90</v>
      </c>
    </row>
    <row r="90" spans="1:1" ht="13" x14ac:dyDescent="0.15">
      <c r="A90" s="2" t="s">
        <v>91</v>
      </c>
    </row>
    <row r="91" spans="1:1" ht="13" x14ac:dyDescent="0.15">
      <c r="A91" s="2" t="s">
        <v>92</v>
      </c>
    </row>
    <row r="92" spans="1:1" ht="13" x14ac:dyDescent="0.15">
      <c r="A92" s="2" t="s">
        <v>93</v>
      </c>
    </row>
    <row r="93" spans="1:1" ht="13" x14ac:dyDescent="0.15">
      <c r="A93" s="2" t="s">
        <v>94</v>
      </c>
    </row>
    <row r="94" spans="1:1" ht="13" x14ac:dyDescent="0.15">
      <c r="A94" s="2" t="s">
        <v>95</v>
      </c>
    </row>
    <row r="95" spans="1:1" ht="13" x14ac:dyDescent="0.15">
      <c r="A95" s="2" t="s">
        <v>96</v>
      </c>
    </row>
    <row r="96" spans="1:1" ht="13" x14ac:dyDescent="0.15">
      <c r="A96" s="2" t="s">
        <v>97</v>
      </c>
    </row>
    <row r="97" spans="1:1" ht="13" x14ac:dyDescent="0.15">
      <c r="A97" s="2" t="s">
        <v>98</v>
      </c>
    </row>
    <row r="98" spans="1:1" ht="13" x14ac:dyDescent="0.15">
      <c r="A98" s="2" t="s">
        <v>99</v>
      </c>
    </row>
    <row r="99" spans="1:1" ht="13" x14ac:dyDescent="0.15">
      <c r="A99" s="2" t="s">
        <v>100</v>
      </c>
    </row>
    <row r="100" spans="1:1" ht="13" x14ac:dyDescent="0.15">
      <c r="A100" s="2" t="s">
        <v>101</v>
      </c>
    </row>
    <row r="101" spans="1:1" ht="13" x14ac:dyDescent="0.15">
      <c r="A101" s="2" t="s">
        <v>102</v>
      </c>
    </row>
    <row r="102" spans="1:1" ht="13" x14ac:dyDescent="0.15">
      <c r="A102" s="2" t="s">
        <v>103</v>
      </c>
    </row>
    <row r="103" spans="1:1" ht="13" x14ac:dyDescent="0.15">
      <c r="A103" s="2" t="s">
        <v>104</v>
      </c>
    </row>
    <row r="104" spans="1:1" ht="13" x14ac:dyDescent="0.15">
      <c r="A104" s="2" t="s">
        <v>105</v>
      </c>
    </row>
    <row r="105" spans="1:1" ht="13" x14ac:dyDescent="0.15">
      <c r="A105" s="2" t="s">
        <v>106</v>
      </c>
    </row>
    <row r="106" spans="1:1" ht="13" x14ac:dyDescent="0.15">
      <c r="A106" s="2" t="s">
        <v>107</v>
      </c>
    </row>
    <row r="107" spans="1:1" ht="13" x14ac:dyDescent="0.15">
      <c r="A107" s="2" t="s">
        <v>108</v>
      </c>
    </row>
    <row r="108" spans="1:1" ht="13" x14ac:dyDescent="0.15">
      <c r="A108" s="2" t="s">
        <v>109</v>
      </c>
    </row>
    <row r="109" spans="1:1" ht="13" x14ac:dyDescent="0.15">
      <c r="A109" s="2" t="s">
        <v>110</v>
      </c>
    </row>
    <row r="110" spans="1:1" ht="13" x14ac:dyDescent="0.15">
      <c r="A110" s="2" t="s">
        <v>111</v>
      </c>
    </row>
    <row r="111" spans="1:1" ht="13" x14ac:dyDescent="0.15">
      <c r="A111" s="2" t="s">
        <v>112</v>
      </c>
    </row>
    <row r="112" spans="1:1" ht="13" x14ac:dyDescent="0.15">
      <c r="A112" s="2" t="s">
        <v>113</v>
      </c>
    </row>
    <row r="113" spans="1:1" ht="13" x14ac:dyDescent="0.15">
      <c r="A113" s="2" t="s">
        <v>114</v>
      </c>
    </row>
    <row r="114" spans="1:1" ht="13" x14ac:dyDescent="0.15">
      <c r="A114" s="2" t="s">
        <v>115</v>
      </c>
    </row>
    <row r="115" spans="1:1" ht="13" x14ac:dyDescent="0.15">
      <c r="A115" s="2" t="s">
        <v>116</v>
      </c>
    </row>
    <row r="116" spans="1:1" ht="13" x14ac:dyDescent="0.15">
      <c r="A116" s="2" t="s">
        <v>117</v>
      </c>
    </row>
    <row r="117" spans="1:1" ht="13" x14ac:dyDescent="0.15">
      <c r="A117" s="2" t="s">
        <v>118</v>
      </c>
    </row>
    <row r="118" spans="1:1" ht="13" x14ac:dyDescent="0.15">
      <c r="A118" s="2" t="s">
        <v>119</v>
      </c>
    </row>
    <row r="119" spans="1:1" ht="13" x14ac:dyDescent="0.15">
      <c r="A119" s="2" t="s">
        <v>120</v>
      </c>
    </row>
    <row r="120" spans="1:1" ht="13" x14ac:dyDescent="0.15">
      <c r="A120" s="2" t="s">
        <v>121</v>
      </c>
    </row>
    <row r="121" spans="1:1" ht="13" x14ac:dyDescent="0.15">
      <c r="A121" s="2" t="s">
        <v>122</v>
      </c>
    </row>
    <row r="122" spans="1:1" ht="13" x14ac:dyDescent="0.15">
      <c r="A122" s="2" t="s">
        <v>123</v>
      </c>
    </row>
    <row r="123" spans="1:1" ht="13" x14ac:dyDescent="0.15">
      <c r="A123" s="2" t="s">
        <v>124</v>
      </c>
    </row>
    <row r="124" spans="1:1" ht="13" x14ac:dyDescent="0.15">
      <c r="A124" s="2" t="s">
        <v>125</v>
      </c>
    </row>
    <row r="125" spans="1:1" ht="13" x14ac:dyDescent="0.15">
      <c r="A125" s="2" t="s">
        <v>126</v>
      </c>
    </row>
    <row r="126" spans="1:1" ht="13" x14ac:dyDescent="0.15">
      <c r="A126" s="2" t="s">
        <v>127</v>
      </c>
    </row>
    <row r="127" spans="1:1" ht="13" x14ac:dyDescent="0.15">
      <c r="A127" s="2" t="s">
        <v>128</v>
      </c>
    </row>
    <row r="128" spans="1:1" ht="13" x14ac:dyDescent="0.15">
      <c r="A128" s="2" t="s">
        <v>129</v>
      </c>
    </row>
    <row r="129" spans="1:1" ht="13" x14ac:dyDescent="0.15">
      <c r="A129" s="2" t="s">
        <v>130</v>
      </c>
    </row>
    <row r="130" spans="1:1" ht="13" x14ac:dyDescent="0.15">
      <c r="A130" s="2" t="s">
        <v>131</v>
      </c>
    </row>
    <row r="131" spans="1:1" ht="13" x14ac:dyDescent="0.15">
      <c r="A131" s="2" t="s">
        <v>132</v>
      </c>
    </row>
    <row r="132" spans="1:1" ht="13" x14ac:dyDescent="0.15">
      <c r="A132" s="2" t="s">
        <v>133</v>
      </c>
    </row>
    <row r="133" spans="1:1" ht="13" x14ac:dyDescent="0.15">
      <c r="A133" s="2" t="s">
        <v>134</v>
      </c>
    </row>
    <row r="134" spans="1:1" ht="13" x14ac:dyDescent="0.15">
      <c r="A134" s="2" t="s">
        <v>135</v>
      </c>
    </row>
    <row r="135" spans="1:1" ht="13" x14ac:dyDescent="0.15">
      <c r="A135" s="2" t="s">
        <v>136</v>
      </c>
    </row>
    <row r="136" spans="1:1" ht="13" x14ac:dyDescent="0.15">
      <c r="A136" s="2" t="s">
        <v>137</v>
      </c>
    </row>
    <row r="137" spans="1:1" ht="13" x14ac:dyDescent="0.15">
      <c r="A137" s="2" t="s">
        <v>138</v>
      </c>
    </row>
    <row r="138" spans="1:1" ht="13" x14ac:dyDescent="0.15">
      <c r="A138" s="2" t="s">
        <v>139</v>
      </c>
    </row>
    <row r="139" spans="1:1" ht="13" x14ac:dyDescent="0.15">
      <c r="A139" s="2" t="s">
        <v>140</v>
      </c>
    </row>
    <row r="140" spans="1:1" ht="13" x14ac:dyDescent="0.15">
      <c r="A140" s="2" t="s">
        <v>141</v>
      </c>
    </row>
    <row r="141" spans="1:1" ht="13" x14ac:dyDescent="0.15">
      <c r="A141" s="2" t="s">
        <v>142</v>
      </c>
    </row>
    <row r="142" spans="1:1" ht="13" x14ac:dyDescent="0.15">
      <c r="A142" s="2" t="s">
        <v>143</v>
      </c>
    </row>
    <row r="143" spans="1:1" ht="13" x14ac:dyDescent="0.15">
      <c r="A143" s="2" t="s">
        <v>144</v>
      </c>
    </row>
    <row r="144" spans="1:1" ht="13" x14ac:dyDescent="0.15">
      <c r="A144" s="2" t="s">
        <v>145</v>
      </c>
    </row>
    <row r="145" spans="1:1" ht="13" x14ac:dyDescent="0.15">
      <c r="A145" s="2" t="s">
        <v>146</v>
      </c>
    </row>
    <row r="146" spans="1:1" ht="13" x14ac:dyDescent="0.15">
      <c r="A146" s="2" t="s">
        <v>147</v>
      </c>
    </row>
    <row r="147" spans="1:1" ht="13" x14ac:dyDescent="0.15">
      <c r="A147" s="2" t="s">
        <v>148</v>
      </c>
    </row>
    <row r="148" spans="1:1" ht="13" x14ac:dyDescent="0.15">
      <c r="A148" s="2" t="s">
        <v>149</v>
      </c>
    </row>
    <row r="149" spans="1:1" ht="13" x14ac:dyDescent="0.15">
      <c r="A149" s="2" t="s">
        <v>150</v>
      </c>
    </row>
    <row r="150" spans="1:1" ht="13" x14ac:dyDescent="0.15">
      <c r="A150" s="2" t="s">
        <v>151</v>
      </c>
    </row>
    <row r="151" spans="1:1" ht="13" x14ac:dyDescent="0.15">
      <c r="A151" s="2" t="s">
        <v>152</v>
      </c>
    </row>
    <row r="152" spans="1:1" ht="13" x14ac:dyDescent="0.15">
      <c r="A152" s="2" t="s">
        <v>153</v>
      </c>
    </row>
    <row r="153" spans="1:1" ht="13" x14ac:dyDescent="0.15">
      <c r="A153" s="2" t="s">
        <v>154</v>
      </c>
    </row>
    <row r="154" spans="1:1" ht="13" x14ac:dyDescent="0.15">
      <c r="A154" s="2" t="s">
        <v>155</v>
      </c>
    </row>
    <row r="155" spans="1:1" ht="13" x14ac:dyDescent="0.15">
      <c r="A155" s="2" t="s">
        <v>156</v>
      </c>
    </row>
    <row r="156" spans="1:1" ht="13" x14ac:dyDescent="0.15">
      <c r="A156" s="2" t="s">
        <v>157</v>
      </c>
    </row>
    <row r="157" spans="1:1" ht="13" x14ac:dyDescent="0.15">
      <c r="A157" s="2" t="s">
        <v>158</v>
      </c>
    </row>
    <row r="158" spans="1:1" ht="13" x14ac:dyDescent="0.15">
      <c r="A158" s="2" t="s">
        <v>159</v>
      </c>
    </row>
    <row r="159" spans="1:1" ht="13" x14ac:dyDescent="0.15">
      <c r="A159" s="2" t="s">
        <v>160</v>
      </c>
    </row>
    <row r="160" spans="1:1" ht="13" x14ac:dyDescent="0.15">
      <c r="A160" s="2" t="s">
        <v>161</v>
      </c>
    </row>
    <row r="161" spans="1:1" ht="13" x14ac:dyDescent="0.15">
      <c r="A161" s="2" t="s">
        <v>162</v>
      </c>
    </row>
    <row r="162" spans="1:1" ht="13" x14ac:dyDescent="0.15">
      <c r="A162" s="2" t="s">
        <v>163</v>
      </c>
    </row>
    <row r="163" spans="1:1" ht="13" x14ac:dyDescent="0.15">
      <c r="A163" s="2" t="s">
        <v>164</v>
      </c>
    </row>
    <row r="164" spans="1:1" ht="13" x14ac:dyDescent="0.15">
      <c r="A164" s="2" t="s">
        <v>165</v>
      </c>
    </row>
    <row r="165" spans="1:1" ht="13" x14ac:dyDescent="0.15">
      <c r="A165" s="2" t="s">
        <v>166</v>
      </c>
    </row>
    <row r="166" spans="1:1" ht="13" x14ac:dyDescent="0.15">
      <c r="A166" s="2" t="s">
        <v>167</v>
      </c>
    </row>
    <row r="167" spans="1:1" ht="13" x14ac:dyDescent="0.15">
      <c r="A167" s="2" t="s">
        <v>168</v>
      </c>
    </row>
    <row r="168" spans="1:1" ht="13" x14ac:dyDescent="0.15">
      <c r="A168" s="2" t="s">
        <v>169</v>
      </c>
    </row>
    <row r="169" spans="1:1" ht="13" x14ac:dyDescent="0.15">
      <c r="A169" s="2" t="s">
        <v>170</v>
      </c>
    </row>
    <row r="170" spans="1:1" ht="13" x14ac:dyDescent="0.15">
      <c r="A170" s="2" t="s">
        <v>171</v>
      </c>
    </row>
    <row r="171" spans="1:1" ht="13" x14ac:dyDescent="0.15">
      <c r="A171" s="2" t="s">
        <v>172</v>
      </c>
    </row>
    <row r="172" spans="1:1" ht="13" x14ac:dyDescent="0.15">
      <c r="A172" s="2" t="s">
        <v>173</v>
      </c>
    </row>
    <row r="173" spans="1:1" ht="13" x14ac:dyDescent="0.15">
      <c r="A173" s="2" t="s">
        <v>174</v>
      </c>
    </row>
    <row r="174" spans="1:1" ht="13" x14ac:dyDescent="0.15">
      <c r="A174" s="2" t="s">
        <v>175</v>
      </c>
    </row>
    <row r="175" spans="1:1" ht="13" x14ac:dyDescent="0.15">
      <c r="A175" s="2" t="s">
        <v>176</v>
      </c>
    </row>
    <row r="176" spans="1:1" ht="13" x14ac:dyDescent="0.15">
      <c r="A176" s="2" t="s">
        <v>177</v>
      </c>
    </row>
    <row r="177" spans="1:1" ht="13" x14ac:dyDescent="0.15">
      <c r="A177" s="2" t="s">
        <v>178</v>
      </c>
    </row>
    <row r="178" spans="1:1" ht="13" x14ac:dyDescent="0.15">
      <c r="A178" s="2" t="s">
        <v>179</v>
      </c>
    </row>
    <row r="179" spans="1:1" ht="13" x14ac:dyDescent="0.15">
      <c r="A179" s="2" t="s">
        <v>180</v>
      </c>
    </row>
    <row r="180" spans="1:1" ht="13" x14ac:dyDescent="0.15">
      <c r="A180" s="2" t="s">
        <v>181</v>
      </c>
    </row>
    <row r="181" spans="1:1" ht="13" x14ac:dyDescent="0.15">
      <c r="A181" s="2" t="s">
        <v>182</v>
      </c>
    </row>
    <row r="182" spans="1:1" ht="13" x14ac:dyDescent="0.15">
      <c r="A182" s="2" t="s">
        <v>183</v>
      </c>
    </row>
    <row r="183" spans="1:1" ht="13" x14ac:dyDescent="0.15">
      <c r="A183" s="2" t="s">
        <v>184</v>
      </c>
    </row>
    <row r="184" spans="1:1" ht="13" x14ac:dyDescent="0.15">
      <c r="A184" s="2" t="s">
        <v>185</v>
      </c>
    </row>
    <row r="185" spans="1:1" ht="13" x14ac:dyDescent="0.15">
      <c r="A185" s="2" t="s">
        <v>186</v>
      </c>
    </row>
    <row r="186" spans="1:1" ht="13" x14ac:dyDescent="0.15">
      <c r="A186" s="2" t="s">
        <v>187</v>
      </c>
    </row>
    <row r="187" spans="1:1" ht="13" x14ac:dyDescent="0.15">
      <c r="A187" s="2" t="s">
        <v>188</v>
      </c>
    </row>
    <row r="188" spans="1:1" ht="13" x14ac:dyDescent="0.15">
      <c r="A188" s="2" t="s">
        <v>189</v>
      </c>
    </row>
    <row r="189" spans="1:1" ht="13" x14ac:dyDescent="0.15">
      <c r="A189" s="2" t="s">
        <v>190</v>
      </c>
    </row>
    <row r="190" spans="1:1" ht="13" x14ac:dyDescent="0.15">
      <c r="A190" s="2" t="s">
        <v>191</v>
      </c>
    </row>
    <row r="191" spans="1:1" ht="13" x14ac:dyDescent="0.15">
      <c r="A191" s="2" t="s">
        <v>192</v>
      </c>
    </row>
    <row r="192" spans="1:1" ht="13" x14ac:dyDescent="0.15">
      <c r="A192" s="2" t="s">
        <v>193</v>
      </c>
    </row>
    <row r="193" spans="1:1" ht="13" x14ac:dyDescent="0.15">
      <c r="A193" s="2" t="s">
        <v>194</v>
      </c>
    </row>
    <row r="194" spans="1:1" ht="13" x14ac:dyDescent="0.15">
      <c r="A194" s="2" t="s">
        <v>195</v>
      </c>
    </row>
    <row r="195" spans="1:1" ht="13" x14ac:dyDescent="0.15">
      <c r="A195" s="2" t="s">
        <v>196</v>
      </c>
    </row>
    <row r="196" spans="1:1" ht="13" x14ac:dyDescent="0.15">
      <c r="A196" s="2" t="s">
        <v>197</v>
      </c>
    </row>
    <row r="197" spans="1:1" ht="13" x14ac:dyDescent="0.15">
      <c r="A197" s="2" t="s">
        <v>198</v>
      </c>
    </row>
    <row r="198" spans="1:1" ht="13" x14ac:dyDescent="0.15">
      <c r="A198" s="2" t="s">
        <v>199</v>
      </c>
    </row>
    <row r="199" spans="1:1" ht="13" x14ac:dyDescent="0.15">
      <c r="A199" s="2" t="s">
        <v>200</v>
      </c>
    </row>
    <row r="200" spans="1:1" ht="13" x14ac:dyDescent="0.15">
      <c r="A200" s="2" t="s">
        <v>201</v>
      </c>
    </row>
    <row r="201" spans="1:1" ht="13" x14ac:dyDescent="0.15">
      <c r="A201" s="2" t="s">
        <v>202</v>
      </c>
    </row>
    <row r="202" spans="1:1" ht="13" x14ac:dyDescent="0.15">
      <c r="A202" s="2" t="s">
        <v>203</v>
      </c>
    </row>
    <row r="203" spans="1:1" ht="13" x14ac:dyDescent="0.15">
      <c r="A203" s="2" t="s">
        <v>204</v>
      </c>
    </row>
    <row r="204" spans="1:1" ht="13" x14ac:dyDescent="0.15">
      <c r="A204" s="2" t="s">
        <v>205</v>
      </c>
    </row>
    <row r="205" spans="1:1" ht="13" x14ac:dyDescent="0.15">
      <c r="A205" s="2" t="s">
        <v>206</v>
      </c>
    </row>
    <row r="206" spans="1:1" ht="13" x14ac:dyDescent="0.15">
      <c r="A206" s="2" t="s">
        <v>207</v>
      </c>
    </row>
    <row r="207" spans="1:1" ht="13" x14ac:dyDescent="0.15">
      <c r="A207" s="2" t="s">
        <v>208</v>
      </c>
    </row>
    <row r="208" spans="1:1" ht="13" x14ac:dyDescent="0.15">
      <c r="A208" s="2" t="s">
        <v>209</v>
      </c>
    </row>
    <row r="209" spans="1:1" ht="13" x14ac:dyDescent="0.15">
      <c r="A209" s="2" t="s">
        <v>210</v>
      </c>
    </row>
    <row r="210" spans="1:1" ht="13" x14ac:dyDescent="0.15">
      <c r="A210" s="2" t="s">
        <v>211</v>
      </c>
    </row>
    <row r="211" spans="1:1" ht="13" x14ac:dyDescent="0.15">
      <c r="A211" s="2" t="s">
        <v>212</v>
      </c>
    </row>
    <row r="212" spans="1:1" ht="13" x14ac:dyDescent="0.15">
      <c r="A212" s="2" t="s">
        <v>213</v>
      </c>
    </row>
    <row r="213" spans="1:1" ht="13" x14ac:dyDescent="0.15">
      <c r="A213" s="2" t="s">
        <v>214</v>
      </c>
    </row>
    <row r="214" spans="1:1" ht="13" x14ac:dyDescent="0.15">
      <c r="A214" s="2" t="s">
        <v>215</v>
      </c>
    </row>
    <row r="215" spans="1:1" ht="13" x14ac:dyDescent="0.15">
      <c r="A215" s="2" t="s">
        <v>216</v>
      </c>
    </row>
    <row r="216" spans="1:1" ht="13" x14ac:dyDescent="0.15">
      <c r="A216" s="2" t="s">
        <v>217</v>
      </c>
    </row>
    <row r="217" spans="1:1" ht="13" x14ac:dyDescent="0.15">
      <c r="A217" s="2" t="s">
        <v>218</v>
      </c>
    </row>
    <row r="218" spans="1:1" ht="13" x14ac:dyDescent="0.15">
      <c r="A218" s="2" t="s">
        <v>219</v>
      </c>
    </row>
    <row r="219" spans="1:1" ht="13" x14ac:dyDescent="0.15">
      <c r="A219" s="2" t="s">
        <v>220</v>
      </c>
    </row>
    <row r="220" spans="1:1" ht="13" x14ac:dyDescent="0.15">
      <c r="A220" s="2" t="s">
        <v>221</v>
      </c>
    </row>
    <row r="221" spans="1:1" ht="13" x14ac:dyDescent="0.15">
      <c r="A221" s="2" t="s">
        <v>222</v>
      </c>
    </row>
    <row r="222" spans="1:1" ht="13" x14ac:dyDescent="0.15">
      <c r="A222" s="2" t="s">
        <v>223</v>
      </c>
    </row>
    <row r="223" spans="1:1" ht="13" x14ac:dyDescent="0.15">
      <c r="A223" s="2" t="s">
        <v>224</v>
      </c>
    </row>
    <row r="224" spans="1:1" ht="13" x14ac:dyDescent="0.15">
      <c r="A224" s="2" t="s">
        <v>225</v>
      </c>
    </row>
    <row r="225" spans="1:1" ht="13" x14ac:dyDescent="0.15">
      <c r="A225" s="2" t="s">
        <v>226</v>
      </c>
    </row>
    <row r="226" spans="1:1" ht="13" x14ac:dyDescent="0.15">
      <c r="A226" s="2" t="s">
        <v>227</v>
      </c>
    </row>
    <row r="227" spans="1:1" ht="13" x14ac:dyDescent="0.15">
      <c r="A227" s="2" t="s">
        <v>228</v>
      </c>
    </row>
    <row r="228" spans="1:1" ht="13" x14ac:dyDescent="0.15">
      <c r="A228" s="2" t="s">
        <v>229</v>
      </c>
    </row>
    <row r="229" spans="1:1" ht="13" x14ac:dyDescent="0.15">
      <c r="A229" s="2" t="s">
        <v>230</v>
      </c>
    </row>
    <row r="230" spans="1:1" ht="13" x14ac:dyDescent="0.15">
      <c r="A230" s="2" t="s">
        <v>231</v>
      </c>
    </row>
    <row r="231" spans="1:1" ht="13" x14ac:dyDescent="0.15">
      <c r="A231" s="2" t="s">
        <v>232</v>
      </c>
    </row>
    <row r="232" spans="1:1" ht="13" x14ac:dyDescent="0.15">
      <c r="A232" s="2" t="s">
        <v>233</v>
      </c>
    </row>
    <row r="233" spans="1:1" ht="13" x14ac:dyDescent="0.15">
      <c r="A233" s="2" t="s">
        <v>234</v>
      </c>
    </row>
    <row r="234" spans="1:1" ht="13" x14ac:dyDescent="0.15">
      <c r="A234" s="2" t="s">
        <v>235</v>
      </c>
    </row>
    <row r="235" spans="1:1" ht="13" x14ac:dyDescent="0.15">
      <c r="A235" s="2" t="s">
        <v>236</v>
      </c>
    </row>
    <row r="236" spans="1:1" ht="13" x14ac:dyDescent="0.15">
      <c r="A236" s="2" t="s">
        <v>237</v>
      </c>
    </row>
    <row r="237" spans="1:1" ht="13" x14ac:dyDescent="0.15">
      <c r="A237" s="2" t="s">
        <v>238</v>
      </c>
    </row>
    <row r="238" spans="1:1" ht="13" x14ac:dyDescent="0.15">
      <c r="A238" s="2" t="s">
        <v>239</v>
      </c>
    </row>
    <row r="239" spans="1:1" ht="13" x14ac:dyDescent="0.15">
      <c r="A239" s="2" t="s">
        <v>240</v>
      </c>
    </row>
    <row r="240" spans="1:1" ht="13" x14ac:dyDescent="0.15">
      <c r="A240" s="2" t="s">
        <v>241</v>
      </c>
    </row>
    <row r="241" spans="1:1" ht="13" x14ac:dyDescent="0.15">
      <c r="A241" s="2" t="s">
        <v>242</v>
      </c>
    </row>
    <row r="242" spans="1:1" ht="13" x14ac:dyDescent="0.15">
      <c r="A242" s="2" t="s">
        <v>243</v>
      </c>
    </row>
    <row r="243" spans="1:1" ht="13" x14ac:dyDescent="0.15">
      <c r="A243" s="2" t="s">
        <v>244</v>
      </c>
    </row>
    <row r="244" spans="1:1" ht="13" x14ac:dyDescent="0.15">
      <c r="A244" s="2" t="s">
        <v>245</v>
      </c>
    </row>
    <row r="245" spans="1:1" ht="13" x14ac:dyDescent="0.15">
      <c r="A245" s="2" t="s">
        <v>246</v>
      </c>
    </row>
    <row r="246" spans="1:1" ht="13" x14ac:dyDescent="0.15">
      <c r="A246" s="2" t="s">
        <v>247</v>
      </c>
    </row>
    <row r="247" spans="1:1" ht="13" x14ac:dyDescent="0.15">
      <c r="A247" s="2" t="s">
        <v>248</v>
      </c>
    </row>
    <row r="248" spans="1:1" ht="13" x14ac:dyDescent="0.15">
      <c r="A248" s="2" t="s">
        <v>249</v>
      </c>
    </row>
    <row r="249" spans="1:1" ht="13" x14ac:dyDescent="0.15">
      <c r="A249" s="2" t="s">
        <v>250</v>
      </c>
    </row>
    <row r="250" spans="1:1" ht="13" x14ac:dyDescent="0.15">
      <c r="A250" s="2" t="s">
        <v>251</v>
      </c>
    </row>
    <row r="251" spans="1:1" ht="13" x14ac:dyDescent="0.15">
      <c r="A251" s="2" t="s">
        <v>252</v>
      </c>
    </row>
    <row r="252" spans="1:1" ht="13" x14ac:dyDescent="0.15">
      <c r="A252" s="2" t="s">
        <v>253</v>
      </c>
    </row>
    <row r="253" spans="1:1" ht="13" x14ac:dyDescent="0.15">
      <c r="A253" s="2" t="s">
        <v>254</v>
      </c>
    </row>
    <row r="254" spans="1:1" ht="13" x14ac:dyDescent="0.15">
      <c r="A254" s="2" t="s">
        <v>255</v>
      </c>
    </row>
    <row r="255" spans="1:1" ht="13" x14ac:dyDescent="0.15">
      <c r="A255" s="2" t="s">
        <v>256</v>
      </c>
    </row>
    <row r="256" spans="1:1" ht="13" x14ac:dyDescent="0.15">
      <c r="A256" s="2" t="s">
        <v>257</v>
      </c>
    </row>
    <row r="257" spans="1:1" ht="13" x14ac:dyDescent="0.15">
      <c r="A257" s="2" t="s">
        <v>258</v>
      </c>
    </row>
    <row r="258" spans="1:1" ht="13" x14ac:dyDescent="0.15">
      <c r="A258" s="2" t="s">
        <v>259</v>
      </c>
    </row>
    <row r="259" spans="1:1" ht="13" x14ac:dyDescent="0.15">
      <c r="A259" s="2" t="s">
        <v>260</v>
      </c>
    </row>
    <row r="260" spans="1:1" ht="13" x14ac:dyDescent="0.15">
      <c r="A260" s="2" t="s">
        <v>261</v>
      </c>
    </row>
    <row r="261" spans="1:1" ht="13" x14ac:dyDescent="0.15">
      <c r="A261" s="2" t="s">
        <v>262</v>
      </c>
    </row>
    <row r="262" spans="1:1" ht="13" x14ac:dyDescent="0.15">
      <c r="A262" s="2" t="s">
        <v>263</v>
      </c>
    </row>
    <row r="263" spans="1:1" ht="13" x14ac:dyDescent="0.15">
      <c r="A263" s="2" t="s">
        <v>264</v>
      </c>
    </row>
    <row r="264" spans="1:1" ht="13" x14ac:dyDescent="0.15">
      <c r="A264" s="2" t="s">
        <v>265</v>
      </c>
    </row>
    <row r="265" spans="1:1" ht="13" x14ac:dyDescent="0.15">
      <c r="A265" s="2" t="s">
        <v>266</v>
      </c>
    </row>
    <row r="266" spans="1:1" ht="13" x14ac:dyDescent="0.15">
      <c r="A266" s="2" t="s">
        <v>267</v>
      </c>
    </row>
    <row r="267" spans="1:1" ht="13" x14ac:dyDescent="0.15">
      <c r="A267" s="2" t="s">
        <v>268</v>
      </c>
    </row>
    <row r="268" spans="1:1" ht="13" x14ac:dyDescent="0.15">
      <c r="A268" s="2" t="s">
        <v>269</v>
      </c>
    </row>
    <row r="269" spans="1:1" ht="13" x14ac:dyDescent="0.15">
      <c r="A269" s="2" t="s">
        <v>270</v>
      </c>
    </row>
    <row r="270" spans="1:1" ht="13" x14ac:dyDescent="0.15">
      <c r="A270" s="2" t="s">
        <v>271</v>
      </c>
    </row>
    <row r="271" spans="1:1" ht="13" x14ac:dyDescent="0.15">
      <c r="A271" s="2" t="s">
        <v>272</v>
      </c>
    </row>
    <row r="272" spans="1:1" ht="13" x14ac:dyDescent="0.15">
      <c r="A272" s="2" t="s">
        <v>273</v>
      </c>
    </row>
    <row r="273" spans="1:1" ht="13" x14ac:dyDescent="0.15">
      <c r="A273" s="2" t="s">
        <v>274</v>
      </c>
    </row>
    <row r="274" spans="1:1" ht="13" x14ac:dyDescent="0.15">
      <c r="A274" s="2" t="s">
        <v>275</v>
      </c>
    </row>
    <row r="275" spans="1:1" ht="13" x14ac:dyDescent="0.15">
      <c r="A275" s="2" t="s">
        <v>276</v>
      </c>
    </row>
    <row r="276" spans="1:1" ht="13" x14ac:dyDescent="0.15">
      <c r="A276" s="2" t="s">
        <v>277</v>
      </c>
    </row>
    <row r="277" spans="1:1" ht="13" x14ac:dyDescent="0.15">
      <c r="A277" s="2" t="s">
        <v>278</v>
      </c>
    </row>
    <row r="278" spans="1:1" ht="13" x14ac:dyDescent="0.15">
      <c r="A278" s="2" t="s">
        <v>279</v>
      </c>
    </row>
    <row r="279" spans="1:1" ht="13" x14ac:dyDescent="0.15">
      <c r="A279" s="2" t="s">
        <v>280</v>
      </c>
    </row>
    <row r="280" spans="1:1" ht="13" x14ac:dyDescent="0.15">
      <c r="A280" s="2" t="s">
        <v>281</v>
      </c>
    </row>
    <row r="281" spans="1:1" ht="13" x14ac:dyDescent="0.15">
      <c r="A281" s="2" t="s">
        <v>282</v>
      </c>
    </row>
    <row r="282" spans="1:1" ht="13" x14ac:dyDescent="0.15">
      <c r="A282" s="2" t="s">
        <v>283</v>
      </c>
    </row>
    <row r="283" spans="1:1" ht="13" x14ac:dyDescent="0.15">
      <c r="A283" s="2" t="s">
        <v>284</v>
      </c>
    </row>
    <row r="284" spans="1:1" ht="13" x14ac:dyDescent="0.15">
      <c r="A284" s="2" t="s">
        <v>285</v>
      </c>
    </row>
    <row r="285" spans="1:1" ht="13" x14ac:dyDescent="0.15">
      <c r="A285" s="2" t="s">
        <v>286</v>
      </c>
    </row>
    <row r="286" spans="1:1" ht="13" x14ac:dyDescent="0.15">
      <c r="A286" s="2" t="s">
        <v>287</v>
      </c>
    </row>
    <row r="287" spans="1:1" ht="13" x14ac:dyDescent="0.15">
      <c r="A287" s="2" t="s">
        <v>288</v>
      </c>
    </row>
    <row r="288" spans="1:1" ht="13" x14ac:dyDescent="0.15">
      <c r="A288" s="2" t="s">
        <v>289</v>
      </c>
    </row>
    <row r="289" spans="1:1" ht="13" x14ac:dyDescent="0.15">
      <c r="A289" s="2" t="s">
        <v>290</v>
      </c>
    </row>
    <row r="290" spans="1:1" ht="13" x14ac:dyDescent="0.15">
      <c r="A290" s="2" t="s">
        <v>291</v>
      </c>
    </row>
    <row r="291" spans="1:1" ht="13" x14ac:dyDescent="0.15">
      <c r="A291" s="2" t="s">
        <v>292</v>
      </c>
    </row>
    <row r="292" spans="1:1" ht="13" x14ac:dyDescent="0.15">
      <c r="A292" s="2" t="s">
        <v>293</v>
      </c>
    </row>
    <row r="293" spans="1:1" ht="13" x14ac:dyDescent="0.15">
      <c r="A293" s="2" t="s">
        <v>294</v>
      </c>
    </row>
    <row r="294" spans="1:1" ht="13" x14ac:dyDescent="0.15">
      <c r="A294" s="2" t="s">
        <v>295</v>
      </c>
    </row>
    <row r="295" spans="1:1" ht="13" x14ac:dyDescent="0.15">
      <c r="A295" s="2" t="s">
        <v>296</v>
      </c>
    </row>
    <row r="296" spans="1:1" ht="13" x14ac:dyDescent="0.15">
      <c r="A296" s="2" t="s">
        <v>297</v>
      </c>
    </row>
    <row r="297" spans="1:1" ht="13" x14ac:dyDescent="0.15">
      <c r="A297" s="2" t="s">
        <v>298</v>
      </c>
    </row>
    <row r="298" spans="1:1" ht="13" x14ac:dyDescent="0.15">
      <c r="A298" s="2" t="s">
        <v>299</v>
      </c>
    </row>
    <row r="299" spans="1:1" ht="13" x14ac:dyDescent="0.15">
      <c r="A299" s="2" t="s">
        <v>300</v>
      </c>
    </row>
    <row r="300" spans="1:1" ht="13" x14ac:dyDescent="0.15">
      <c r="A300" s="2" t="s">
        <v>301</v>
      </c>
    </row>
    <row r="301" spans="1:1" ht="13" x14ac:dyDescent="0.15">
      <c r="A301" s="2" t="s">
        <v>302</v>
      </c>
    </row>
    <row r="302" spans="1:1" ht="13" x14ac:dyDescent="0.15">
      <c r="A302" s="2" t="s">
        <v>303</v>
      </c>
    </row>
    <row r="303" spans="1:1" ht="13" x14ac:dyDescent="0.15">
      <c r="A303" s="2" t="s">
        <v>304</v>
      </c>
    </row>
    <row r="304" spans="1:1" ht="13" x14ac:dyDescent="0.15">
      <c r="A304" s="2" t="s">
        <v>305</v>
      </c>
    </row>
    <row r="305" spans="1:1" ht="13" x14ac:dyDescent="0.15">
      <c r="A305" s="2" t="s">
        <v>306</v>
      </c>
    </row>
    <row r="306" spans="1:1" ht="13" x14ac:dyDescent="0.15">
      <c r="A306" s="2" t="s">
        <v>307</v>
      </c>
    </row>
    <row r="307" spans="1:1" ht="13" x14ac:dyDescent="0.15">
      <c r="A307" s="2" t="s">
        <v>308</v>
      </c>
    </row>
    <row r="308" spans="1:1" ht="13" x14ac:dyDescent="0.15">
      <c r="A308" s="2" t="s">
        <v>309</v>
      </c>
    </row>
    <row r="309" spans="1:1" ht="13" x14ac:dyDescent="0.15">
      <c r="A309" s="2" t="s">
        <v>310</v>
      </c>
    </row>
    <row r="310" spans="1:1" ht="13" x14ac:dyDescent="0.15">
      <c r="A310" s="2" t="s">
        <v>311</v>
      </c>
    </row>
    <row r="311" spans="1:1" ht="13" x14ac:dyDescent="0.15">
      <c r="A311" s="2" t="s">
        <v>312</v>
      </c>
    </row>
    <row r="312" spans="1:1" ht="13" x14ac:dyDescent="0.15">
      <c r="A312" s="2" t="s">
        <v>313</v>
      </c>
    </row>
    <row r="313" spans="1:1" ht="13" x14ac:dyDescent="0.15">
      <c r="A313" s="2" t="s">
        <v>314</v>
      </c>
    </row>
    <row r="314" spans="1:1" ht="13" x14ac:dyDescent="0.15">
      <c r="A314" s="2" t="s">
        <v>315</v>
      </c>
    </row>
    <row r="315" spans="1:1" ht="13" x14ac:dyDescent="0.15">
      <c r="A315" s="2" t="s">
        <v>316</v>
      </c>
    </row>
    <row r="316" spans="1:1" ht="13" x14ac:dyDescent="0.15">
      <c r="A316" s="2" t="s">
        <v>317</v>
      </c>
    </row>
    <row r="317" spans="1:1" ht="13" x14ac:dyDescent="0.15">
      <c r="A317" s="2" t="s">
        <v>318</v>
      </c>
    </row>
    <row r="318" spans="1:1" ht="13" x14ac:dyDescent="0.15">
      <c r="A318" s="2" t="s">
        <v>319</v>
      </c>
    </row>
    <row r="319" spans="1:1" ht="13" x14ac:dyDescent="0.15">
      <c r="A319" s="2" t="s">
        <v>320</v>
      </c>
    </row>
    <row r="320" spans="1:1" ht="13" x14ac:dyDescent="0.15">
      <c r="A320" s="2" t="s">
        <v>321</v>
      </c>
    </row>
    <row r="321" spans="1:1" ht="13" x14ac:dyDescent="0.15">
      <c r="A321" s="2" t="s">
        <v>322</v>
      </c>
    </row>
    <row r="322" spans="1:1" ht="13" x14ac:dyDescent="0.15">
      <c r="A322" s="2" t="s">
        <v>323</v>
      </c>
    </row>
    <row r="323" spans="1:1" ht="13" x14ac:dyDescent="0.15">
      <c r="A323" s="2" t="s">
        <v>324</v>
      </c>
    </row>
    <row r="324" spans="1:1" ht="13" x14ac:dyDescent="0.15">
      <c r="A324" s="2" t="s">
        <v>325</v>
      </c>
    </row>
    <row r="325" spans="1:1" ht="13" x14ac:dyDescent="0.15">
      <c r="A325" s="2" t="s">
        <v>326</v>
      </c>
    </row>
    <row r="326" spans="1:1" ht="13" x14ac:dyDescent="0.15">
      <c r="A326" s="2" t="s">
        <v>327</v>
      </c>
    </row>
    <row r="327" spans="1:1" ht="13" x14ac:dyDescent="0.15">
      <c r="A327" s="2" t="s">
        <v>328</v>
      </c>
    </row>
    <row r="328" spans="1:1" ht="13" x14ac:dyDescent="0.15">
      <c r="A328" s="2" t="s">
        <v>329</v>
      </c>
    </row>
    <row r="329" spans="1:1" ht="13" x14ac:dyDescent="0.15">
      <c r="A329" s="2" t="s">
        <v>330</v>
      </c>
    </row>
    <row r="330" spans="1:1" ht="13" x14ac:dyDescent="0.15">
      <c r="A330" s="2" t="s">
        <v>331</v>
      </c>
    </row>
    <row r="331" spans="1:1" ht="13" x14ac:dyDescent="0.15">
      <c r="A331" s="2" t="s">
        <v>332</v>
      </c>
    </row>
    <row r="332" spans="1:1" ht="13" x14ac:dyDescent="0.15">
      <c r="A332" s="2" t="s">
        <v>333</v>
      </c>
    </row>
    <row r="333" spans="1:1" ht="13" x14ac:dyDescent="0.15">
      <c r="A333" s="2" t="s">
        <v>334</v>
      </c>
    </row>
    <row r="334" spans="1:1" ht="13" x14ac:dyDescent="0.15">
      <c r="A334" s="2" t="s">
        <v>335</v>
      </c>
    </row>
    <row r="335" spans="1:1" ht="13" x14ac:dyDescent="0.15">
      <c r="A335" s="2" t="s">
        <v>336</v>
      </c>
    </row>
    <row r="336" spans="1:1" ht="13" x14ac:dyDescent="0.15">
      <c r="A336" s="2" t="s">
        <v>337</v>
      </c>
    </row>
    <row r="337" spans="1:1" ht="13" x14ac:dyDescent="0.15">
      <c r="A337" s="2" t="s">
        <v>338</v>
      </c>
    </row>
    <row r="338" spans="1:1" ht="13" x14ac:dyDescent="0.15">
      <c r="A338" s="2" t="s">
        <v>339</v>
      </c>
    </row>
    <row r="339" spans="1:1" ht="13" x14ac:dyDescent="0.15">
      <c r="A339" s="2" t="s">
        <v>340</v>
      </c>
    </row>
    <row r="340" spans="1:1" ht="13" x14ac:dyDescent="0.15">
      <c r="A340" s="2" t="s">
        <v>341</v>
      </c>
    </row>
    <row r="341" spans="1:1" ht="13" x14ac:dyDescent="0.15">
      <c r="A341" s="2" t="s">
        <v>342</v>
      </c>
    </row>
    <row r="342" spans="1:1" ht="13" x14ac:dyDescent="0.15">
      <c r="A342" s="2" t="s">
        <v>343</v>
      </c>
    </row>
    <row r="343" spans="1:1" ht="13" x14ac:dyDescent="0.15">
      <c r="A343" s="2" t="s">
        <v>344</v>
      </c>
    </row>
    <row r="344" spans="1:1" ht="13" x14ac:dyDescent="0.15">
      <c r="A344" s="2" t="s">
        <v>345</v>
      </c>
    </row>
    <row r="345" spans="1:1" ht="13" x14ac:dyDescent="0.15">
      <c r="A345" s="2" t="s">
        <v>346</v>
      </c>
    </row>
    <row r="346" spans="1:1" ht="13" x14ac:dyDescent="0.15">
      <c r="A346" s="2" t="s">
        <v>347</v>
      </c>
    </row>
    <row r="347" spans="1:1" ht="13" x14ac:dyDescent="0.15">
      <c r="A347" s="2" t="s">
        <v>348</v>
      </c>
    </row>
    <row r="348" spans="1:1" ht="13" x14ac:dyDescent="0.15">
      <c r="A348" s="2" t="s">
        <v>349</v>
      </c>
    </row>
    <row r="349" spans="1:1" ht="13" x14ac:dyDescent="0.15">
      <c r="A349" s="2" t="s">
        <v>350</v>
      </c>
    </row>
    <row r="350" spans="1:1" ht="13" x14ac:dyDescent="0.15">
      <c r="A350" s="2" t="s">
        <v>351</v>
      </c>
    </row>
    <row r="351" spans="1:1" ht="13" x14ac:dyDescent="0.15">
      <c r="A351" s="2" t="s">
        <v>352</v>
      </c>
    </row>
    <row r="352" spans="1:1" ht="13" x14ac:dyDescent="0.15">
      <c r="A352" s="2" t="s">
        <v>353</v>
      </c>
    </row>
    <row r="353" spans="1:1" ht="13" x14ac:dyDescent="0.15">
      <c r="A353" s="2" t="s">
        <v>354</v>
      </c>
    </row>
    <row r="354" spans="1:1" ht="13" x14ac:dyDescent="0.15">
      <c r="A354" s="2" t="s">
        <v>355</v>
      </c>
    </row>
    <row r="355" spans="1:1" ht="13" x14ac:dyDescent="0.15">
      <c r="A355" s="2" t="s">
        <v>356</v>
      </c>
    </row>
    <row r="356" spans="1:1" ht="13" x14ac:dyDescent="0.15">
      <c r="A356" s="2" t="s">
        <v>357</v>
      </c>
    </row>
    <row r="357" spans="1:1" ht="13" x14ac:dyDescent="0.15">
      <c r="A357" s="2" t="s">
        <v>358</v>
      </c>
    </row>
    <row r="358" spans="1:1" ht="13" x14ac:dyDescent="0.15">
      <c r="A358" s="2" t="s">
        <v>359</v>
      </c>
    </row>
    <row r="359" spans="1:1" ht="13" x14ac:dyDescent="0.15">
      <c r="A359" s="2" t="s">
        <v>360</v>
      </c>
    </row>
    <row r="360" spans="1:1" ht="13" x14ac:dyDescent="0.15">
      <c r="A360" s="2" t="s">
        <v>361</v>
      </c>
    </row>
    <row r="361" spans="1:1" ht="13" x14ac:dyDescent="0.15">
      <c r="A361" s="2" t="s">
        <v>362</v>
      </c>
    </row>
    <row r="362" spans="1:1" ht="13" x14ac:dyDescent="0.15">
      <c r="A362" s="2" t="s">
        <v>363</v>
      </c>
    </row>
    <row r="363" spans="1:1" ht="13" x14ac:dyDescent="0.15">
      <c r="A363" s="2" t="s">
        <v>364</v>
      </c>
    </row>
    <row r="364" spans="1:1" ht="13" x14ac:dyDescent="0.15">
      <c r="A364" s="2" t="s">
        <v>365</v>
      </c>
    </row>
    <row r="365" spans="1:1" ht="13" x14ac:dyDescent="0.15">
      <c r="A365" s="2" t="s">
        <v>366</v>
      </c>
    </row>
    <row r="366" spans="1:1" ht="13" x14ac:dyDescent="0.15">
      <c r="A366" s="2" t="s">
        <v>367</v>
      </c>
    </row>
    <row r="367" spans="1:1" ht="13" x14ac:dyDescent="0.15">
      <c r="A367" s="2" t="s">
        <v>368</v>
      </c>
    </row>
    <row r="368" spans="1:1" ht="13" x14ac:dyDescent="0.15">
      <c r="A368" s="2" t="s">
        <v>369</v>
      </c>
    </row>
    <row r="369" spans="1:1" ht="13" x14ac:dyDescent="0.15">
      <c r="A369" s="2" t="s">
        <v>370</v>
      </c>
    </row>
    <row r="370" spans="1:1" ht="13" x14ac:dyDescent="0.15">
      <c r="A370" s="2" t="s">
        <v>371</v>
      </c>
    </row>
    <row r="371" spans="1:1" ht="13" x14ac:dyDescent="0.15">
      <c r="A371" s="2" t="s">
        <v>372</v>
      </c>
    </row>
    <row r="372" spans="1:1" ht="13" x14ac:dyDescent="0.15">
      <c r="A372" s="2" t="s">
        <v>373</v>
      </c>
    </row>
    <row r="373" spans="1:1" ht="13" x14ac:dyDescent="0.15">
      <c r="A373" s="2" t="s">
        <v>374</v>
      </c>
    </row>
    <row r="374" spans="1:1" ht="13" x14ac:dyDescent="0.15">
      <c r="A374" s="2" t="s">
        <v>375</v>
      </c>
    </row>
    <row r="375" spans="1:1" ht="13" x14ac:dyDescent="0.15">
      <c r="A375" s="2" t="s">
        <v>376</v>
      </c>
    </row>
    <row r="376" spans="1:1" ht="13" x14ac:dyDescent="0.15">
      <c r="A376" s="2" t="s">
        <v>377</v>
      </c>
    </row>
    <row r="377" spans="1:1" ht="13" x14ac:dyDescent="0.15">
      <c r="A377" s="2" t="s">
        <v>378</v>
      </c>
    </row>
    <row r="378" spans="1:1" ht="13" x14ac:dyDescent="0.15">
      <c r="A378" s="2" t="s">
        <v>379</v>
      </c>
    </row>
    <row r="379" spans="1:1" ht="13" x14ac:dyDescent="0.15">
      <c r="A379" s="2" t="s">
        <v>380</v>
      </c>
    </row>
    <row r="380" spans="1:1" ht="13" x14ac:dyDescent="0.15">
      <c r="A380" s="2" t="s">
        <v>381</v>
      </c>
    </row>
    <row r="381" spans="1:1" ht="13" x14ac:dyDescent="0.15">
      <c r="A381" s="2" t="s">
        <v>382</v>
      </c>
    </row>
    <row r="382" spans="1:1" ht="13" x14ac:dyDescent="0.15">
      <c r="A382" s="2" t="s">
        <v>383</v>
      </c>
    </row>
    <row r="383" spans="1:1" ht="13" x14ac:dyDescent="0.15">
      <c r="A383" s="2" t="s">
        <v>384</v>
      </c>
    </row>
    <row r="384" spans="1:1" ht="13" x14ac:dyDescent="0.15">
      <c r="A384" s="2" t="s">
        <v>385</v>
      </c>
    </row>
    <row r="385" spans="1:1" ht="13" x14ac:dyDescent="0.15">
      <c r="A385" s="2" t="s">
        <v>386</v>
      </c>
    </row>
    <row r="386" spans="1:1" ht="13" x14ac:dyDescent="0.15">
      <c r="A386" s="2" t="s">
        <v>387</v>
      </c>
    </row>
    <row r="387" spans="1:1" ht="13" x14ac:dyDescent="0.15">
      <c r="A387" s="2" t="s">
        <v>388</v>
      </c>
    </row>
    <row r="388" spans="1:1" ht="13" x14ac:dyDescent="0.15">
      <c r="A388" s="2" t="s">
        <v>389</v>
      </c>
    </row>
    <row r="389" spans="1:1" ht="13" x14ac:dyDescent="0.15">
      <c r="A389" s="2" t="s">
        <v>390</v>
      </c>
    </row>
    <row r="390" spans="1:1" ht="13" x14ac:dyDescent="0.15">
      <c r="A390" s="2" t="s">
        <v>391</v>
      </c>
    </row>
    <row r="391" spans="1:1" ht="13" x14ac:dyDescent="0.15">
      <c r="A391" s="2" t="s">
        <v>392</v>
      </c>
    </row>
    <row r="392" spans="1:1" ht="13" x14ac:dyDescent="0.15">
      <c r="A392" s="2" t="s">
        <v>393</v>
      </c>
    </row>
    <row r="393" spans="1:1" ht="13" x14ac:dyDescent="0.15">
      <c r="A393" s="2" t="s">
        <v>394</v>
      </c>
    </row>
    <row r="394" spans="1:1" ht="13" x14ac:dyDescent="0.15">
      <c r="A394" s="2" t="s">
        <v>395</v>
      </c>
    </row>
    <row r="395" spans="1:1" ht="13" x14ac:dyDescent="0.15">
      <c r="A395" s="2" t="s">
        <v>396</v>
      </c>
    </row>
    <row r="396" spans="1:1" ht="13" x14ac:dyDescent="0.15">
      <c r="A396" s="2" t="s">
        <v>397</v>
      </c>
    </row>
    <row r="397" spans="1:1" ht="13" x14ac:dyDescent="0.15">
      <c r="A397" s="2" t="s">
        <v>398</v>
      </c>
    </row>
    <row r="398" spans="1:1" ht="13" x14ac:dyDescent="0.15">
      <c r="A398" s="2" t="s">
        <v>399</v>
      </c>
    </row>
    <row r="399" spans="1:1" ht="13" x14ac:dyDescent="0.15">
      <c r="A399" s="2" t="s">
        <v>400</v>
      </c>
    </row>
    <row r="400" spans="1:1" ht="13" x14ac:dyDescent="0.15">
      <c r="A400" s="2" t="s">
        <v>401</v>
      </c>
    </row>
    <row r="401" spans="1:1" ht="13" x14ac:dyDescent="0.15">
      <c r="A401" s="2" t="s">
        <v>402</v>
      </c>
    </row>
    <row r="402" spans="1:1" ht="13" x14ac:dyDescent="0.15">
      <c r="A402" s="2" t="s">
        <v>403</v>
      </c>
    </row>
    <row r="403" spans="1:1" ht="13" x14ac:dyDescent="0.15">
      <c r="A403" s="2" t="s">
        <v>404</v>
      </c>
    </row>
    <row r="404" spans="1:1" ht="13" x14ac:dyDescent="0.15">
      <c r="A404" s="2" t="s">
        <v>405</v>
      </c>
    </row>
    <row r="405" spans="1:1" ht="13" x14ac:dyDescent="0.15">
      <c r="A405" s="2" t="s">
        <v>406</v>
      </c>
    </row>
    <row r="406" spans="1:1" ht="13" x14ac:dyDescent="0.15">
      <c r="A406" s="2" t="s">
        <v>407</v>
      </c>
    </row>
    <row r="407" spans="1:1" ht="13" x14ac:dyDescent="0.15">
      <c r="A407" s="2" t="s">
        <v>408</v>
      </c>
    </row>
    <row r="408" spans="1:1" ht="13" x14ac:dyDescent="0.15">
      <c r="A408" s="2" t="s">
        <v>409</v>
      </c>
    </row>
    <row r="409" spans="1:1" ht="13" x14ac:dyDescent="0.15">
      <c r="A409" s="2" t="s">
        <v>410</v>
      </c>
    </row>
    <row r="410" spans="1:1" ht="13" x14ac:dyDescent="0.15">
      <c r="A410" s="2" t="s">
        <v>411</v>
      </c>
    </row>
    <row r="411" spans="1:1" ht="13" x14ac:dyDescent="0.15">
      <c r="A411" s="2" t="s">
        <v>412</v>
      </c>
    </row>
    <row r="412" spans="1:1" ht="13" x14ac:dyDescent="0.15">
      <c r="A412" s="2" t="s">
        <v>413</v>
      </c>
    </row>
    <row r="413" spans="1:1" ht="13" x14ac:dyDescent="0.15">
      <c r="A413" s="2" t="s">
        <v>414</v>
      </c>
    </row>
    <row r="414" spans="1:1" ht="13" x14ac:dyDescent="0.15">
      <c r="A414" s="2" t="s">
        <v>415</v>
      </c>
    </row>
    <row r="415" spans="1:1" ht="13" x14ac:dyDescent="0.15">
      <c r="A415" s="2" t="s">
        <v>416</v>
      </c>
    </row>
    <row r="416" spans="1:1" ht="13" x14ac:dyDescent="0.15">
      <c r="A416" s="2" t="s">
        <v>417</v>
      </c>
    </row>
    <row r="417" spans="1:1" ht="13" x14ac:dyDescent="0.15">
      <c r="A417" s="2" t="s">
        <v>418</v>
      </c>
    </row>
    <row r="418" spans="1:1" ht="13" x14ac:dyDescent="0.15">
      <c r="A418" s="2" t="s">
        <v>419</v>
      </c>
    </row>
    <row r="419" spans="1:1" ht="13" x14ac:dyDescent="0.15">
      <c r="A419" s="2" t="s">
        <v>420</v>
      </c>
    </row>
    <row r="420" spans="1:1" ht="13" x14ac:dyDescent="0.15">
      <c r="A420" s="2" t="s">
        <v>421</v>
      </c>
    </row>
    <row r="421" spans="1:1" ht="13" x14ac:dyDescent="0.15">
      <c r="A421" s="2" t="s">
        <v>422</v>
      </c>
    </row>
    <row r="422" spans="1:1" ht="13" x14ac:dyDescent="0.15">
      <c r="A422" s="2" t="s">
        <v>423</v>
      </c>
    </row>
    <row r="423" spans="1:1" ht="13" x14ac:dyDescent="0.15">
      <c r="A423" s="2" t="s">
        <v>424</v>
      </c>
    </row>
    <row r="424" spans="1:1" ht="13" x14ac:dyDescent="0.15">
      <c r="A424" s="2" t="s">
        <v>425</v>
      </c>
    </row>
    <row r="425" spans="1:1" ht="13" x14ac:dyDescent="0.15">
      <c r="A425" s="2" t="s">
        <v>426</v>
      </c>
    </row>
    <row r="426" spans="1:1" ht="13" x14ac:dyDescent="0.15">
      <c r="A426" s="2" t="s">
        <v>427</v>
      </c>
    </row>
    <row r="427" spans="1:1" ht="13" x14ac:dyDescent="0.15">
      <c r="A427" s="2" t="s">
        <v>428</v>
      </c>
    </row>
    <row r="428" spans="1:1" ht="13" x14ac:dyDescent="0.15">
      <c r="A428" s="2" t="s">
        <v>429</v>
      </c>
    </row>
    <row r="429" spans="1:1" ht="13" x14ac:dyDescent="0.15">
      <c r="A429" s="2" t="s">
        <v>430</v>
      </c>
    </row>
    <row r="430" spans="1:1" ht="13" x14ac:dyDescent="0.15">
      <c r="A430" s="2" t="s">
        <v>431</v>
      </c>
    </row>
    <row r="431" spans="1:1" ht="13" x14ac:dyDescent="0.15">
      <c r="A431" s="2" t="s">
        <v>432</v>
      </c>
    </row>
    <row r="432" spans="1:1" ht="13" x14ac:dyDescent="0.15">
      <c r="A432" s="2" t="s">
        <v>433</v>
      </c>
    </row>
    <row r="433" spans="1:1" ht="13" x14ac:dyDescent="0.15">
      <c r="A433" s="2" t="s">
        <v>434</v>
      </c>
    </row>
    <row r="434" spans="1:1" ht="13" x14ac:dyDescent="0.15">
      <c r="A434" s="2" t="s">
        <v>435</v>
      </c>
    </row>
    <row r="435" spans="1:1" ht="13" x14ac:dyDescent="0.15">
      <c r="A435" s="2" t="s">
        <v>436</v>
      </c>
    </row>
    <row r="436" spans="1:1" ht="13" x14ac:dyDescent="0.15">
      <c r="A436" s="2" t="s">
        <v>437</v>
      </c>
    </row>
    <row r="437" spans="1:1" ht="13" x14ac:dyDescent="0.15">
      <c r="A437" s="2" t="s">
        <v>438</v>
      </c>
    </row>
    <row r="438" spans="1:1" ht="13" x14ac:dyDescent="0.15">
      <c r="A438" s="2" t="s">
        <v>439</v>
      </c>
    </row>
    <row r="439" spans="1:1" ht="13" x14ac:dyDescent="0.15">
      <c r="A439" s="2" t="s">
        <v>440</v>
      </c>
    </row>
    <row r="440" spans="1:1" ht="13" x14ac:dyDescent="0.15">
      <c r="A440" s="2" t="s">
        <v>441</v>
      </c>
    </row>
    <row r="441" spans="1:1" ht="13" x14ac:dyDescent="0.15">
      <c r="A441" s="2" t="s">
        <v>442</v>
      </c>
    </row>
    <row r="442" spans="1:1" ht="13" x14ac:dyDescent="0.15">
      <c r="A442" s="2" t="s">
        <v>443</v>
      </c>
    </row>
    <row r="443" spans="1:1" ht="13" x14ac:dyDescent="0.15">
      <c r="A443" s="2" t="s">
        <v>444</v>
      </c>
    </row>
    <row r="444" spans="1:1" ht="13" x14ac:dyDescent="0.15">
      <c r="A444" s="2" t="s">
        <v>445</v>
      </c>
    </row>
    <row r="445" spans="1:1" ht="13" x14ac:dyDescent="0.15">
      <c r="A445" s="2" t="s">
        <v>446</v>
      </c>
    </row>
    <row r="446" spans="1:1" ht="13" x14ac:dyDescent="0.15">
      <c r="A446" s="2" t="s">
        <v>447</v>
      </c>
    </row>
    <row r="447" spans="1:1" ht="13" x14ac:dyDescent="0.15">
      <c r="A447" s="2" t="s">
        <v>448</v>
      </c>
    </row>
    <row r="448" spans="1:1" ht="13" x14ac:dyDescent="0.15">
      <c r="A448" s="2" t="s">
        <v>449</v>
      </c>
    </row>
    <row r="449" spans="1:1" ht="13" x14ac:dyDescent="0.15">
      <c r="A449" s="2" t="s">
        <v>450</v>
      </c>
    </row>
    <row r="450" spans="1:1" ht="13" x14ac:dyDescent="0.15">
      <c r="A450" s="2" t="s">
        <v>451</v>
      </c>
    </row>
    <row r="451" spans="1:1" ht="13" x14ac:dyDescent="0.15">
      <c r="A451" s="2" t="s">
        <v>452</v>
      </c>
    </row>
    <row r="452" spans="1:1" ht="13" x14ac:dyDescent="0.15">
      <c r="A452" s="2" t="s">
        <v>453</v>
      </c>
    </row>
    <row r="453" spans="1:1" ht="13" x14ac:dyDescent="0.15">
      <c r="A453" s="2" t="s">
        <v>454</v>
      </c>
    </row>
    <row r="454" spans="1:1" ht="13" x14ac:dyDescent="0.15">
      <c r="A454" s="2" t="s">
        <v>455</v>
      </c>
    </row>
    <row r="455" spans="1:1" ht="13" x14ac:dyDescent="0.15">
      <c r="A455" s="2" t="s">
        <v>456</v>
      </c>
    </row>
    <row r="456" spans="1:1" ht="13" x14ac:dyDescent="0.15">
      <c r="A456" s="2" t="s">
        <v>457</v>
      </c>
    </row>
    <row r="457" spans="1:1" ht="13" x14ac:dyDescent="0.15">
      <c r="A457" s="2" t="s">
        <v>458</v>
      </c>
    </row>
    <row r="458" spans="1:1" ht="13" x14ac:dyDescent="0.15">
      <c r="A458" s="2" t="s">
        <v>459</v>
      </c>
    </row>
    <row r="459" spans="1:1" ht="13" x14ac:dyDescent="0.15">
      <c r="A459" s="2" t="s">
        <v>460</v>
      </c>
    </row>
    <row r="460" spans="1:1" ht="13" x14ac:dyDescent="0.15">
      <c r="A460" s="2" t="s">
        <v>461</v>
      </c>
    </row>
    <row r="461" spans="1:1" ht="13" x14ac:dyDescent="0.15">
      <c r="A461" s="2" t="s">
        <v>462</v>
      </c>
    </row>
    <row r="462" spans="1:1" ht="13" x14ac:dyDescent="0.15">
      <c r="A462" s="2" t="s">
        <v>463</v>
      </c>
    </row>
    <row r="463" spans="1:1" ht="13" x14ac:dyDescent="0.15">
      <c r="A463" s="2" t="s">
        <v>464</v>
      </c>
    </row>
    <row r="464" spans="1:1" ht="13" x14ac:dyDescent="0.15">
      <c r="A464" s="2" t="s">
        <v>465</v>
      </c>
    </row>
    <row r="465" spans="1:1" ht="13" x14ac:dyDescent="0.15">
      <c r="A465" s="2" t="s">
        <v>466</v>
      </c>
    </row>
    <row r="466" spans="1:1" ht="13" x14ac:dyDescent="0.15">
      <c r="A466" s="2" t="s">
        <v>467</v>
      </c>
    </row>
    <row r="467" spans="1:1" ht="13" x14ac:dyDescent="0.15">
      <c r="A467" s="2" t="s">
        <v>468</v>
      </c>
    </row>
    <row r="468" spans="1:1" ht="13" x14ac:dyDescent="0.15">
      <c r="A468" s="2" t="s">
        <v>469</v>
      </c>
    </row>
    <row r="469" spans="1:1" ht="13" x14ac:dyDescent="0.15">
      <c r="A469" s="2" t="s">
        <v>470</v>
      </c>
    </row>
    <row r="470" spans="1:1" ht="13" x14ac:dyDescent="0.15">
      <c r="A470" s="2" t="s">
        <v>471</v>
      </c>
    </row>
    <row r="471" spans="1:1" ht="13" x14ac:dyDescent="0.15">
      <c r="A471" s="2" t="s">
        <v>472</v>
      </c>
    </row>
    <row r="472" spans="1:1" ht="13" x14ac:dyDescent="0.15">
      <c r="A472" s="2" t="s">
        <v>473</v>
      </c>
    </row>
    <row r="473" spans="1:1" ht="13" x14ac:dyDescent="0.15">
      <c r="A473" s="2" t="s">
        <v>474</v>
      </c>
    </row>
    <row r="474" spans="1:1" ht="13" x14ac:dyDescent="0.15">
      <c r="A474" s="2" t="s">
        <v>475</v>
      </c>
    </row>
    <row r="475" spans="1:1" ht="13" x14ac:dyDescent="0.15">
      <c r="A475" s="2" t="s">
        <v>476</v>
      </c>
    </row>
    <row r="476" spans="1:1" ht="13" x14ac:dyDescent="0.15">
      <c r="A476" s="2" t="s">
        <v>477</v>
      </c>
    </row>
    <row r="477" spans="1:1" ht="13" x14ac:dyDescent="0.15">
      <c r="A477" s="2" t="s">
        <v>478</v>
      </c>
    </row>
    <row r="478" spans="1:1" ht="13" x14ac:dyDescent="0.15">
      <c r="A478" s="2" t="s">
        <v>479</v>
      </c>
    </row>
    <row r="479" spans="1:1" ht="13" x14ac:dyDescent="0.15">
      <c r="A479" s="2" t="s">
        <v>480</v>
      </c>
    </row>
    <row r="480" spans="1:1" ht="13" x14ac:dyDescent="0.15">
      <c r="A480" s="2" t="s">
        <v>481</v>
      </c>
    </row>
    <row r="481" spans="1:1" ht="13" x14ac:dyDescent="0.15">
      <c r="A481" s="2" t="s">
        <v>482</v>
      </c>
    </row>
    <row r="482" spans="1:1" ht="13" x14ac:dyDescent="0.15">
      <c r="A482" s="2" t="s">
        <v>483</v>
      </c>
    </row>
    <row r="483" spans="1:1" ht="13" x14ac:dyDescent="0.15">
      <c r="A483" s="2" t="s">
        <v>484</v>
      </c>
    </row>
    <row r="484" spans="1:1" ht="13" x14ac:dyDescent="0.15">
      <c r="A484" s="2" t="s">
        <v>485</v>
      </c>
    </row>
    <row r="485" spans="1:1" ht="13" x14ac:dyDescent="0.15">
      <c r="A485" s="2" t="s">
        <v>486</v>
      </c>
    </row>
    <row r="486" spans="1:1" ht="13" x14ac:dyDescent="0.15">
      <c r="A486" s="2" t="s">
        <v>487</v>
      </c>
    </row>
    <row r="487" spans="1:1" ht="13" x14ac:dyDescent="0.15">
      <c r="A487" s="2" t="s">
        <v>488</v>
      </c>
    </row>
    <row r="488" spans="1:1" ht="13" x14ac:dyDescent="0.15">
      <c r="A488" s="2" t="s">
        <v>489</v>
      </c>
    </row>
    <row r="489" spans="1:1" ht="13" x14ac:dyDescent="0.15">
      <c r="A489" s="2" t="s">
        <v>490</v>
      </c>
    </row>
    <row r="490" spans="1:1" ht="13" x14ac:dyDescent="0.15">
      <c r="A490" s="2" t="s">
        <v>491</v>
      </c>
    </row>
    <row r="491" spans="1:1" ht="13" x14ac:dyDescent="0.15">
      <c r="A491" s="2" t="s">
        <v>492</v>
      </c>
    </row>
    <row r="492" spans="1:1" ht="13" x14ac:dyDescent="0.15">
      <c r="A492" s="2" t="s">
        <v>493</v>
      </c>
    </row>
    <row r="493" spans="1:1" ht="13" x14ac:dyDescent="0.15">
      <c r="A493" s="2" t="s">
        <v>494</v>
      </c>
    </row>
    <row r="494" spans="1:1" ht="13" x14ac:dyDescent="0.15">
      <c r="A494" s="2" t="s">
        <v>495</v>
      </c>
    </row>
    <row r="495" spans="1:1" ht="13" x14ac:dyDescent="0.15">
      <c r="A495" s="2" t="s">
        <v>496</v>
      </c>
    </row>
    <row r="496" spans="1:1" ht="13" x14ac:dyDescent="0.15">
      <c r="A496" s="2" t="s">
        <v>497</v>
      </c>
    </row>
    <row r="497" spans="1:1" ht="13" x14ac:dyDescent="0.15">
      <c r="A497" s="2" t="s">
        <v>498</v>
      </c>
    </row>
    <row r="498" spans="1:1" ht="13" x14ac:dyDescent="0.15">
      <c r="A498" s="2" t="s">
        <v>499</v>
      </c>
    </row>
    <row r="499" spans="1:1" ht="13" x14ac:dyDescent="0.15">
      <c r="A499" s="2" t="s">
        <v>500</v>
      </c>
    </row>
    <row r="500" spans="1:1" ht="13" x14ac:dyDescent="0.15">
      <c r="A500" s="2" t="s">
        <v>501</v>
      </c>
    </row>
    <row r="501" spans="1:1" ht="13" x14ac:dyDescent="0.15">
      <c r="A501" s="2" t="s">
        <v>502</v>
      </c>
    </row>
    <row r="502" spans="1:1" ht="13" x14ac:dyDescent="0.15">
      <c r="A502" s="2" t="s">
        <v>503</v>
      </c>
    </row>
    <row r="503" spans="1:1" ht="13" x14ac:dyDescent="0.15">
      <c r="A503" s="2" t="s">
        <v>504</v>
      </c>
    </row>
    <row r="504" spans="1:1" ht="13" x14ac:dyDescent="0.15">
      <c r="A504" s="2" t="s">
        <v>505</v>
      </c>
    </row>
    <row r="505" spans="1:1" ht="13" x14ac:dyDescent="0.15">
      <c r="A505" s="2" t="s">
        <v>506</v>
      </c>
    </row>
    <row r="506" spans="1:1" ht="13" x14ac:dyDescent="0.15">
      <c r="A506" s="2" t="s">
        <v>507</v>
      </c>
    </row>
    <row r="507" spans="1:1" ht="13" x14ac:dyDescent="0.15">
      <c r="A507" s="2" t="s">
        <v>508</v>
      </c>
    </row>
    <row r="508" spans="1:1" ht="13" x14ac:dyDescent="0.15">
      <c r="A508" s="2" t="s">
        <v>509</v>
      </c>
    </row>
    <row r="509" spans="1:1" ht="13" x14ac:dyDescent="0.15">
      <c r="A509" s="2" t="s">
        <v>510</v>
      </c>
    </row>
    <row r="510" spans="1:1" ht="13" x14ac:dyDescent="0.15">
      <c r="A510" s="2" t="s">
        <v>511</v>
      </c>
    </row>
    <row r="511" spans="1:1" ht="13" x14ac:dyDescent="0.15">
      <c r="A511" s="2" t="s">
        <v>512</v>
      </c>
    </row>
    <row r="512" spans="1:1" ht="13" x14ac:dyDescent="0.15">
      <c r="A512" s="2" t="s">
        <v>513</v>
      </c>
    </row>
    <row r="513" spans="1:1" ht="13" x14ac:dyDescent="0.15">
      <c r="A513" s="2" t="s">
        <v>514</v>
      </c>
    </row>
    <row r="514" spans="1:1" ht="13" x14ac:dyDescent="0.15">
      <c r="A514" s="2" t="s">
        <v>515</v>
      </c>
    </row>
    <row r="515" spans="1:1" ht="13" x14ac:dyDescent="0.15">
      <c r="A515" s="2" t="s">
        <v>516</v>
      </c>
    </row>
    <row r="516" spans="1:1" ht="13" x14ac:dyDescent="0.15">
      <c r="A516" s="2" t="s">
        <v>517</v>
      </c>
    </row>
    <row r="517" spans="1:1" ht="13" x14ac:dyDescent="0.15">
      <c r="A517" s="2" t="s">
        <v>518</v>
      </c>
    </row>
    <row r="518" spans="1:1" ht="13" x14ac:dyDescent="0.15">
      <c r="A518" s="2" t="s">
        <v>519</v>
      </c>
    </row>
    <row r="519" spans="1:1" ht="13" x14ac:dyDescent="0.15">
      <c r="A519" s="2" t="s">
        <v>520</v>
      </c>
    </row>
    <row r="520" spans="1:1" ht="13" x14ac:dyDescent="0.15">
      <c r="A520" s="2" t="s">
        <v>521</v>
      </c>
    </row>
    <row r="521" spans="1:1" ht="13" x14ac:dyDescent="0.15">
      <c r="A521" s="2" t="s">
        <v>522</v>
      </c>
    </row>
    <row r="522" spans="1:1" ht="13" x14ac:dyDescent="0.15">
      <c r="A522" s="2" t="s">
        <v>523</v>
      </c>
    </row>
    <row r="523" spans="1:1" ht="13" x14ac:dyDescent="0.15">
      <c r="A523" s="2" t="s">
        <v>524</v>
      </c>
    </row>
    <row r="524" spans="1:1" ht="13" x14ac:dyDescent="0.15">
      <c r="A524" s="2" t="s">
        <v>525</v>
      </c>
    </row>
    <row r="525" spans="1:1" ht="13" x14ac:dyDescent="0.15">
      <c r="A525" s="2" t="s">
        <v>526</v>
      </c>
    </row>
    <row r="526" spans="1:1" ht="13" x14ac:dyDescent="0.15">
      <c r="A526" s="2" t="s">
        <v>527</v>
      </c>
    </row>
    <row r="527" spans="1:1" ht="13" x14ac:dyDescent="0.15">
      <c r="A527" s="2" t="s">
        <v>528</v>
      </c>
    </row>
    <row r="528" spans="1:1" ht="13" x14ac:dyDescent="0.15">
      <c r="A528" s="2" t="s">
        <v>529</v>
      </c>
    </row>
    <row r="529" spans="1:1" ht="13" x14ac:dyDescent="0.15">
      <c r="A529" s="2" t="s">
        <v>530</v>
      </c>
    </row>
    <row r="530" spans="1:1" ht="13" x14ac:dyDescent="0.15">
      <c r="A530" s="2" t="s">
        <v>531</v>
      </c>
    </row>
    <row r="531" spans="1:1" ht="13" x14ac:dyDescent="0.15">
      <c r="A531" s="2" t="s">
        <v>532</v>
      </c>
    </row>
    <row r="532" spans="1:1" ht="13" x14ac:dyDescent="0.15">
      <c r="A532" s="2" t="s">
        <v>533</v>
      </c>
    </row>
    <row r="533" spans="1:1" ht="13" x14ac:dyDescent="0.15">
      <c r="A533" s="2" t="s">
        <v>534</v>
      </c>
    </row>
    <row r="534" spans="1:1" ht="13" x14ac:dyDescent="0.15">
      <c r="A534" s="2" t="s">
        <v>535</v>
      </c>
    </row>
    <row r="535" spans="1:1" ht="13" x14ac:dyDescent="0.15">
      <c r="A535" s="2" t="s">
        <v>536</v>
      </c>
    </row>
    <row r="536" spans="1:1" ht="13" x14ac:dyDescent="0.15">
      <c r="A536" s="2" t="s">
        <v>537</v>
      </c>
    </row>
    <row r="537" spans="1:1" ht="13" x14ac:dyDescent="0.15">
      <c r="A537" s="2" t="s">
        <v>538</v>
      </c>
    </row>
    <row r="538" spans="1:1" ht="13" x14ac:dyDescent="0.15">
      <c r="A538" s="2" t="s">
        <v>539</v>
      </c>
    </row>
    <row r="539" spans="1:1" ht="13" x14ac:dyDescent="0.15">
      <c r="A539" s="2" t="s">
        <v>540</v>
      </c>
    </row>
    <row r="540" spans="1:1" ht="13" x14ac:dyDescent="0.15">
      <c r="A540" s="2" t="s">
        <v>540</v>
      </c>
    </row>
    <row r="541" spans="1:1" ht="13" x14ac:dyDescent="0.15">
      <c r="A541" s="2" t="s">
        <v>540</v>
      </c>
    </row>
    <row r="542" spans="1:1" ht="13" x14ac:dyDescent="0.15">
      <c r="A542" s="2" t="s">
        <v>541</v>
      </c>
    </row>
    <row r="543" spans="1:1" ht="13" x14ac:dyDescent="0.15">
      <c r="A543" s="2" t="s">
        <v>542</v>
      </c>
    </row>
    <row r="544" spans="1:1" ht="13" x14ac:dyDescent="0.15">
      <c r="A544" s="2" t="s">
        <v>543</v>
      </c>
    </row>
    <row r="545" spans="1:1" ht="13" x14ac:dyDescent="0.15">
      <c r="A545" s="2" t="s">
        <v>544</v>
      </c>
    </row>
    <row r="546" spans="1:1" ht="13" x14ac:dyDescent="0.15">
      <c r="A546" s="2" t="s">
        <v>545</v>
      </c>
    </row>
    <row r="547" spans="1:1" ht="13" x14ac:dyDescent="0.15">
      <c r="A547" s="2" t="s">
        <v>546</v>
      </c>
    </row>
    <row r="548" spans="1:1" ht="13" x14ac:dyDescent="0.15">
      <c r="A548" s="2" t="s">
        <v>547</v>
      </c>
    </row>
    <row r="549" spans="1:1" ht="13" x14ac:dyDescent="0.15">
      <c r="A549" s="2" t="s">
        <v>548</v>
      </c>
    </row>
    <row r="550" spans="1:1" ht="13" x14ac:dyDescent="0.15">
      <c r="A550" s="2" t="s">
        <v>549</v>
      </c>
    </row>
    <row r="551" spans="1:1" ht="13" x14ac:dyDescent="0.15">
      <c r="A551" s="2" t="s">
        <v>550</v>
      </c>
    </row>
    <row r="552" spans="1:1" ht="13" x14ac:dyDescent="0.15">
      <c r="A552" s="2" t="s">
        <v>551</v>
      </c>
    </row>
    <row r="553" spans="1:1" ht="13" x14ac:dyDescent="0.15">
      <c r="A553" s="2" t="s">
        <v>552</v>
      </c>
    </row>
    <row r="554" spans="1:1" ht="13" x14ac:dyDescent="0.15">
      <c r="A554" s="2" t="s">
        <v>553</v>
      </c>
    </row>
    <row r="555" spans="1:1" ht="13" x14ac:dyDescent="0.15">
      <c r="A555" s="2" t="s">
        <v>554</v>
      </c>
    </row>
    <row r="556" spans="1:1" ht="13" x14ac:dyDescent="0.15">
      <c r="A556" s="2" t="s">
        <v>555</v>
      </c>
    </row>
    <row r="557" spans="1:1" ht="13" x14ac:dyDescent="0.15">
      <c r="A557" s="2" t="s">
        <v>556</v>
      </c>
    </row>
    <row r="558" spans="1:1" ht="13" x14ac:dyDescent="0.15">
      <c r="A558" s="2" t="s">
        <v>557</v>
      </c>
    </row>
    <row r="559" spans="1:1" ht="13" x14ac:dyDescent="0.15">
      <c r="A559" s="2" t="s">
        <v>558</v>
      </c>
    </row>
    <row r="560" spans="1:1" ht="13" x14ac:dyDescent="0.15">
      <c r="A560" s="2" t="s">
        <v>559</v>
      </c>
    </row>
    <row r="561" spans="1:1" ht="13" x14ac:dyDescent="0.15">
      <c r="A561" s="2" t="s">
        <v>560</v>
      </c>
    </row>
    <row r="562" spans="1:1" ht="13" x14ac:dyDescent="0.15">
      <c r="A562" s="2" t="s">
        <v>561</v>
      </c>
    </row>
    <row r="563" spans="1:1" ht="13" x14ac:dyDescent="0.15">
      <c r="A563" s="2" t="s">
        <v>562</v>
      </c>
    </row>
    <row r="564" spans="1:1" ht="13" x14ac:dyDescent="0.15">
      <c r="A564" s="2" t="s">
        <v>563</v>
      </c>
    </row>
    <row r="565" spans="1:1" ht="13" x14ac:dyDescent="0.15">
      <c r="A565" s="2" t="s">
        <v>564</v>
      </c>
    </row>
    <row r="566" spans="1:1" ht="13" x14ac:dyDescent="0.15">
      <c r="A566" s="2" t="s">
        <v>565</v>
      </c>
    </row>
    <row r="567" spans="1:1" ht="13" x14ac:dyDescent="0.15">
      <c r="A567" s="2" t="s">
        <v>566</v>
      </c>
    </row>
    <row r="568" spans="1:1" ht="13" x14ac:dyDescent="0.15">
      <c r="A568" s="2" t="s">
        <v>567</v>
      </c>
    </row>
    <row r="569" spans="1:1" ht="13" x14ac:dyDescent="0.15">
      <c r="A569" s="2" t="s">
        <v>568</v>
      </c>
    </row>
    <row r="570" spans="1:1" ht="13" x14ac:dyDescent="0.15">
      <c r="A570" s="2" t="s">
        <v>569</v>
      </c>
    </row>
    <row r="571" spans="1:1" ht="13" x14ac:dyDescent="0.15">
      <c r="A571" s="2" t="s">
        <v>570</v>
      </c>
    </row>
    <row r="572" spans="1:1" ht="13" x14ac:dyDescent="0.15">
      <c r="A572" s="2" t="s">
        <v>571</v>
      </c>
    </row>
    <row r="573" spans="1:1" ht="13" x14ac:dyDescent="0.15">
      <c r="A573" s="2" t="s">
        <v>572</v>
      </c>
    </row>
    <row r="574" spans="1:1" ht="13" x14ac:dyDescent="0.15">
      <c r="A574" s="2" t="s">
        <v>573</v>
      </c>
    </row>
    <row r="575" spans="1:1" ht="13" x14ac:dyDescent="0.15">
      <c r="A575" s="2" t="s">
        <v>574</v>
      </c>
    </row>
    <row r="576" spans="1:1" ht="13" x14ac:dyDescent="0.15">
      <c r="A576" s="2" t="s">
        <v>575</v>
      </c>
    </row>
    <row r="577" spans="1:1" ht="13" x14ac:dyDescent="0.15">
      <c r="A577" s="2" t="s">
        <v>576</v>
      </c>
    </row>
    <row r="578" spans="1:1" ht="13" x14ac:dyDescent="0.15">
      <c r="A578" s="2" t="s">
        <v>577</v>
      </c>
    </row>
    <row r="579" spans="1:1" ht="13" x14ac:dyDescent="0.15">
      <c r="A579" s="2" t="s">
        <v>578</v>
      </c>
    </row>
    <row r="580" spans="1:1" ht="13" x14ac:dyDescent="0.15">
      <c r="A580" s="2" t="s">
        <v>579</v>
      </c>
    </row>
    <row r="581" spans="1:1" ht="13" x14ac:dyDescent="0.15">
      <c r="A581" s="2" t="s">
        <v>580</v>
      </c>
    </row>
    <row r="582" spans="1:1" ht="13" x14ac:dyDescent="0.15">
      <c r="A582" s="2" t="s">
        <v>581</v>
      </c>
    </row>
    <row r="583" spans="1:1" ht="13" x14ac:dyDescent="0.15">
      <c r="A583" s="2" t="s">
        <v>582</v>
      </c>
    </row>
    <row r="584" spans="1:1" ht="13" x14ac:dyDescent="0.15">
      <c r="A584" s="2" t="s">
        <v>583</v>
      </c>
    </row>
    <row r="585" spans="1:1" ht="13" x14ac:dyDescent="0.15">
      <c r="A585" s="2" t="s">
        <v>584</v>
      </c>
    </row>
    <row r="586" spans="1:1" ht="13" x14ac:dyDescent="0.15">
      <c r="A586" s="2" t="s">
        <v>585</v>
      </c>
    </row>
    <row r="587" spans="1:1" ht="13" x14ac:dyDescent="0.15">
      <c r="A587" s="2" t="s">
        <v>586</v>
      </c>
    </row>
    <row r="588" spans="1:1" ht="13" x14ac:dyDescent="0.15">
      <c r="A588" s="2" t="s">
        <v>587</v>
      </c>
    </row>
    <row r="589" spans="1:1" ht="13" x14ac:dyDescent="0.15">
      <c r="A589" s="2" t="s">
        <v>588</v>
      </c>
    </row>
    <row r="590" spans="1:1" ht="13" x14ac:dyDescent="0.15">
      <c r="A590" s="2" t="s">
        <v>589</v>
      </c>
    </row>
    <row r="591" spans="1:1" ht="13" x14ac:dyDescent="0.15">
      <c r="A591" s="2" t="s">
        <v>590</v>
      </c>
    </row>
    <row r="592" spans="1:1" ht="13" x14ac:dyDescent="0.15">
      <c r="A592" s="2" t="s">
        <v>591</v>
      </c>
    </row>
    <row r="593" spans="1:1" ht="13" x14ac:dyDescent="0.15">
      <c r="A593" s="2" t="s">
        <v>592</v>
      </c>
    </row>
    <row r="594" spans="1:1" ht="13" x14ac:dyDescent="0.15">
      <c r="A594" s="2" t="s">
        <v>593</v>
      </c>
    </row>
    <row r="595" spans="1:1" ht="13" x14ac:dyDescent="0.15">
      <c r="A595" s="2" t="s">
        <v>594</v>
      </c>
    </row>
    <row r="596" spans="1:1" ht="13" x14ac:dyDescent="0.15">
      <c r="A596" s="2" t="s">
        <v>595</v>
      </c>
    </row>
    <row r="597" spans="1:1" ht="13" x14ac:dyDescent="0.15">
      <c r="A597" s="2" t="s">
        <v>596</v>
      </c>
    </row>
    <row r="598" spans="1:1" ht="13" x14ac:dyDescent="0.15">
      <c r="A598" s="2" t="s">
        <v>597</v>
      </c>
    </row>
    <row r="599" spans="1:1" ht="13" x14ac:dyDescent="0.15">
      <c r="A599" s="2" t="s">
        <v>598</v>
      </c>
    </row>
    <row r="600" spans="1:1" ht="13" x14ac:dyDescent="0.15">
      <c r="A600" s="2" t="s">
        <v>599</v>
      </c>
    </row>
    <row r="601" spans="1:1" ht="13" x14ac:dyDescent="0.15">
      <c r="A601" s="2" t="s">
        <v>600</v>
      </c>
    </row>
    <row r="602" spans="1:1" ht="13" x14ac:dyDescent="0.15">
      <c r="A602" s="2" t="s">
        <v>601</v>
      </c>
    </row>
    <row r="603" spans="1:1" ht="13" x14ac:dyDescent="0.15">
      <c r="A603" s="2" t="s">
        <v>602</v>
      </c>
    </row>
    <row r="604" spans="1:1" ht="13" x14ac:dyDescent="0.15">
      <c r="A604" s="2" t="s">
        <v>603</v>
      </c>
    </row>
    <row r="605" spans="1:1" ht="13" x14ac:dyDescent="0.15">
      <c r="A605" s="2" t="s">
        <v>604</v>
      </c>
    </row>
    <row r="606" spans="1:1" ht="13" x14ac:dyDescent="0.15">
      <c r="A606" s="2" t="s">
        <v>605</v>
      </c>
    </row>
    <row r="607" spans="1:1" ht="13" x14ac:dyDescent="0.15">
      <c r="A607" s="2" t="s">
        <v>606</v>
      </c>
    </row>
    <row r="608" spans="1:1" ht="13" x14ac:dyDescent="0.15">
      <c r="A608" s="2" t="s">
        <v>607</v>
      </c>
    </row>
    <row r="609" spans="1:1" ht="13" x14ac:dyDescent="0.15">
      <c r="A609" s="2" t="s">
        <v>608</v>
      </c>
    </row>
    <row r="610" spans="1:1" ht="13" x14ac:dyDescent="0.15">
      <c r="A610" s="2" t="s">
        <v>609</v>
      </c>
    </row>
    <row r="611" spans="1:1" ht="13" x14ac:dyDescent="0.15">
      <c r="A611" s="2" t="s">
        <v>610</v>
      </c>
    </row>
    <row r="612" spans="1:1" ht="13" x14ac:dyDescent="0.15">
      <c r="A612" s="2" t="s">
        <v>611</v>
      </c>
    </row>
    <row r="613" spans="1:1" ht="13" x14ac:dyDescent="0.15">
      <c r="A613" s="2" t="s">
        <v>612</v>
      </c>
    </row>
    <row r="614" spans="1:1" ht="13" x14ac:dyDescent="0.15">
      <c r="A614" s="2" t="s">
        <v>613</v>
      </c>
    </row>
    <row r="615" spans="1:1" ht="13" x14ac:dyDescent="0.15">
      <c r="A615" s="2" t="s">
        <v>614</v>
      </c>
    </row>
    <row r="616" spans="1:1" ht="13" x14ac:dyDescent="0.15">
      <c r="A616" s="2" t="s">
        <v>615</v>
      </c>
    </row>
    <row r="617" spans="1:1" ht="13" x14ac:dyDescent="0.15">
      <c r="A617" s="2" t="s">
        <v>616</v>
      </c>
    </row>
    <row r="618" spans="1:1" ht="13" x14ac:dyDescent="0.15">
      <c r="A618" s="2" t="s">
        <v>617</v>
      </c>
    </row>
    <row r="619" spans="1:1" ht="13" x14ac:dyDescent="0.15">
      <c r="A619" s="2" t="s">
        <v>618</v>
      </c>
    </row>
    <row r="620" spans="1:1" ht="13" x14ac:dyDescent="0.15">
      <c r="A620" s="2" t="s">
        <v>619</v>
      </c>
    </row>
    <row r="621" spans="1:1" ht="13" x14ac:dyDescent="0.15">
      <c r="A621" s="2" t="s">
        <v>620</v>
      </c>
    </row>
    <row r="622" spans="1:1" ht="13" x14ac:dyDescent="0.15">
      <c r="A622" s="2" t="s">
        <v>621</v>
      </c>
    </row>
    <row r="623" spans="1:1" ht="13" x14ac:dyDescent="0.15">
      <c r="A623" s="2" t="s">
        <v>622</v>
      </c>
    </row>
    <row r="624" spans="1:1" ht="13" x14ac:dyDescent="0.15">
      <c r="A624" s="2" t="s">
        <v>623</v>
      </c>
    </row>
    <row r="625" spans="1:1" ht="13" x14ac:dyDescent="0.15">
      <c r="A625" s="2" t="s">
        <v>624</v>
      </c>
    </row>
    <row r="626" spans="1:1" ht="13" x14ac:dyDescent="0.15">
      <c r="A626" s="2" t="s">
        <v>625</v>
      </c>
    </row>
    <row r="627" spans="1:1" ht="13" x14ac:dyDescent="0.15">
      <c r="A627" s="2" t="s">
        <v>626</v>
      </c>
    </row>
    <row r="628" spans="1:1" ht="13" x14ac:dyDescent="0.15">
      <c r="A628" s="2" t="s">
        <v>627</v>
      </c>
    </row>
    <row r="629" spans="1:1" ht="13" x14ac:dyDescent="0.15">
      <c r="A629" s="2" t="s">
        <v>628</v>
      </c>
    </row>
    <row r="630" spans="1:1" ht="13" x14ac:dyDescent="0.15">
      <c r="A630" s="2" t="s">
        <v>629</v>
      </c>
    </row>
    <row r="631" spans="1:1" ht="13" x14ac:dyDescent="0.15">
      <c r="A631" s="2" t="s">
        <v>630</v>
      </c>
    </row>
    <row r="632" spans="1:1" ht="13" x14ac:dyDescent="0.15">
      <c r="A632" s="2" t="s">
        <v>631</v>
      </c>
    </row>
    <row r="633" spans="1:1" ht="13" x14ac:dyDescent="0.15">
      <c r="A633" s="2" t="s">
        <v>632</v>
      </c>
    </row>
    <row r="634" spans="1:1" ht="13" x14ac:dyDescent="0.15">
      <c r="A634" s="2" t="s">
        <v>633</v>
      </c>
    </row>
    <row r="635" spans="1:1" ht="13" x14ac:dyDescent="0.15">
      <c r="A635" s="2" t="s">
        <v>634</v>
      </c>
    </row>
    <row r="636" spans="1:1" ht="13" x14ac:dyDescent="0.15">
      <c r="A636" s="2" t="s">
        <v>635</v>
      </c>
    </row>
    <row r="637" spans="1:1" ht="13" x14ac:dyDescent="0.15">
      <c r="A637" s="2" t="s">
        <v>636</v>
      </c>
    </row>
    <row r="638" spans="1:1" ht="13" x14ac:dyDescent="0.15">
      <c r="A638" s="2" t="s">
        <v>637</v>
      </c>
    </row>
    <row r="639" spans="1:1" ht="13" x14ac:dyDescent="0.15">
      <c r="A639" s="2" t="s">
        <v>638</v>
      </c>
    </row>
    <row r="640" spans="1:1" ht="13" x14ac:dyDescent="0.15">
      <c r="A640" s="2" t="s">
        <v>639</v>
      </c>
    </row>
    <row r="641" spans="1:1" ht="13" x14ac:dyDescent="0.15">
      <c r="A641" s="2" t="s">
        <v>640</v>
      </c>
    </row>
    <row r="642" spans="1:1" ht="13" x14ac:dyDescent="0.15">
      <c r="A642" s="2" t="s">
        <v>641</v>
      </c>
    </row>
    <row r="643" spans="1:1" ht="13" x14ac:dyDescent="0.15">
      <c r="A643" s="2" t="s">
        <v>642</v>
      </c>
    </row>
    <row r="644" spans="1:1" ht="13" x14ac:dyDescent="0.15">
      <c r="A644" s="2" t="s">
        <v>643</v>
      </c>
    </row>
    <row r="645" spans="1:1" ht="13" x14ac:dyDescent="0.15">
      <c r="A645" s="2" t="s">
        <v>644</v>
      </c>
    </row>
    <row r="646" spans="1:1" ht="13" x14ac:dyDescent="0.15">
      <c r="A646" s="2" t="s">
        <v>645</v>
      </c>
    </row>
    <row r="647" spans="1:1" ht="13" x14ac:dyDescent="0.15">
      <c r="A647" s="2" t="s">
        <v>646</v>
      </c>
    </row>
    <row r="648" spans="1:1" ht="13" x14ac:dyDescent="0.15">
      <c r="A648" s="2" t="s">
        <v>647</v>
      </c>
    </row>
    <row r="649" spans="1:1" ht="13" x14ac:dyDescent="0.15">
      <c r="A649" s="2" t="s">
        <v>648</v>
      </c>
    </row>
    <row r="650" spans="1:1" ht="13" x14ac:dyDescent="0.15">
      <c r="A650" s="2" t="s">
        <v>649</v>
      </c>
    </row>
    <row r="651" spans="1:1" ht="13" x14ac:dyDescent="0.15">
      <c r="A651" s="2" t="s">
        <v>650</v>
      </c>
    </row>
    <row r="652" spans="1:1" ht="13" x14ac:dyDescent="0.15">
      <c r="A652" s="2" t="s">
        <v>651</v>
      </c>
    </row>
    <row r="653" spans="1:1" ht="13" x14ac:dyDescent="0.15">
      <c r="A653" s="2" t="s">
        <v>652</v>
      </c>
    </row>
    <row r="654" spans="1:1" ht="13" x14ac:dyDescent="0.15">
      <c r="A654" s="2" t="s">
        <v>653</v>
      </c>
    </row>
    <row r="655" spans="1:1" ht="13" x14ac:dyDescent="0.15">
      <c r="A655" s="2" t="s">
        <v>654</v>
      </c>
    </row>
    <row r="656" spans="1:1" ht="13" x14ac:dyDescent="0.15">
      <c r="A656" s="2" t="s">
        <v>655</v>
      </c>
    </row>
    <row r="657" spans="1:1" ht="13" x14ac:dyDescent="0.15">
      <c r="A657" s="2" t="s">
        <v>656</v>
      </c>
    </row>
    <row r="658" spans="1:1" ht="13" x14ac:dyDescent="0.15">
      <c r="A658" s="2" t="s">
        <v>657</v>
      </c>
    </row>
    <row r="659" spans="1:1" ht="13" x14ac:dyDescent="0.15">
      <c r="A659" s="2" t="s">
        <v>658</v>
      </c>
    </row>
    <row r="660" spans="1:1" ht="13" x14ac:dyDescent="0.15">
      <c r="A660" s="2" t="s">
        <v>659</v>
      </c>
    </row>
    <row r="661" spans="1:1" ht="13" x14ac:dyDescent="0.15">
      <c r="A661" s="2" t="s">
        <v>660</v>
      </c>
    </row>
    <row r="662" spans="1:1" ht="13" x14ac:dyDescent="0.15">
      <c r="A662" s="2" t="s">
        <v>661</v>
      </c>
    </row>
    <row r="663" spans="1:1" ht="13" x14ac:dyDescent="0.15">
      <c r="A663" s="2" t="s">
        <v>662</v>
      </c>
    </row>
    <row r="664" spans="1:1" ht="13" x14ac:dyDescent="0.15">
      <c r="A664" s="2" t="s">
        <v>663</v>
      </c>
    </row>
    <row r="665" spans="1:1" ht="13" x14ac:dyDescent="0.15">
      <c r="A665" s="2" t="s">
        <v>664</v>
      </c>
    </row>
    <row r="666" spans="1:1" ht="13" x14ac:dyDescent="0.15">
      <c r="A666" s="2" t="s">
        <v>665</v>
      </c>
    </row>
    <row r="667" spans="1:1" ht="13" x14ac:dyDescent="0.15">
      <c r="A667" s="2" t="s">
        <v>666</v>
      </c>
    </row>
    <row r="668" spans="1:1" ht="13" x14ac:dyDescent="0.15">
      <c r="A668" s="2" t="s">
        <v>667</v>
      </c>
    </row>
    <row r="669" spans="1:1" ht="13" x14ac:dyDescent="0.15">
      <c r="A669" s="2" t="s">
        <v>668</v>
      </c>
    </row>
    <row r="670" spans="1:1" ht="13" x14ac:dyDescent="0.15">
      <c r="A670" s="2" t="s">
        <v>669</v>
      </c>
    </row>
    <row r="671" spans="1:1" ht="13" x14ac:dyDescent="0.15">
      <c r="A671" s="2" t="s">
        <v>670</v>
      </c>
    </row>
    <row r="672" spans="1:1" ht="13" x14ac:dyDescent="0.15">
      <c r="A672" s="2" t="s">
        <v>671</v>
      </c>
    </row>
    <row r="673" spans="1:1" ht="13" x14ac:dyDescent="0.15">
      <c r="A673" s="2" t="s">
        <v>672</v>
      </c>
    </row>
    <row r="674" spans="1:1" ht="13" x14ac:dyDescent="0.15">
      <c r="A674" s="2" t="s">
        <v>673</v>
      </c>
    </row>
    <row r="675" spans="1:1" ht="13" x14ac:dyDescent="0.15">
      <c r="A675" s="2" t="s">
        <v>674</v>
      </c>
    </row>
    <row r="676" spans="1:1" ht="13" x14ac:dyDescent="0.15">
      <c r="A676" s="2" t="s">
        <v>675</v>
      </c>
    </row>
    <row r="677" spans="1:1" ht="13" x14ac:dyDescent="0.15">
      <c r="A677" s="2" t="s">
        <v>676</v>
      </c>
    </row>
    <row r="678" spans="1:1" ht="13" x14ac:dyDescent="0.15">
      <c r="A678" s="2" t="s">
        <v>677</v>
      </c>
    </row>
    <row r="679" spans="1:1" ht="13" x14ac:dyDescent="0.15">
      <c r="A679" s="2" t="s">
        <v>678</v>
      </c>
    </row>
    <row r="680" spans="1:1" ht="13" x14ac:dyDescent="0.15">
      <c r="A680" s="2" t="s">
        <v>679</v>
      </c>
    </row>
    <row r="681" spans="1:1" ht="13" x14ac:dyDescent="0.15">
      <c r="A681" s="2" t="s">
        <v>680</v>
      </c>
    </row>
    <row r="682" spans="1:1" ht="13" x14ac:dyDescent="0.15">
      <c r="A682" s="2" t="s">
        <v>681</v>
      </c>
    </row>
    <row r="683" spans="1:1" ht="13" x14ac:dyDescent="0.15">
      <c r="A683" s="2" t="s">
        <v>682</v>
      </c>
    </row>
    <row r="684" spans="1:1" ht="13" x14ac:dyDescent="0.15">
      <c r="A684" s="2" t="s">
        <v>683</v>
      </c>
    </row>
    <row r="685" spans="1:1" ht="13" x14ac:dyDescent="0.15">
      <c r="A685" s="2" t="s">
        <v>684</v>
      </c>
    </row>
    <row r="686" spans="1:1" ht="13" x14ac:dyDescent="0.15">
      <c r="A686" s="2" t="s">
        <v>685</v>
      </c>
    </row>
    <row r="687" spans="1:1" ht="13" x14ac:dyDescent="0.15">
      <c r="A687" s="2" t="s">
        <v>686</v>
      </c>
    </row>
    <row r="688" spans="1:1" ht="13" x14ac:dyDescent="0.15">
      <c r="A688" s="2" t="s">
        <v>687</v>
      </c>
    </row>
    <row r="689" spans="1:1" ht="13" x14ac:dyDescent="0.15">
      <c r="A689" s="2" t="s">
        <v>688</v>
      </c>
    </row>
    <row r="690" spans="1:1" ht="13" x14ac:dyDescent="0.15">
      <c r="A690" s="2" t="s">
        <v>689</v>
      </c>
    </row>
    <row r="691" spans="1:1" ht="13" x14ac:dyDescent="0.15">
      <c r="A691" s="2" t="s">
        <v>690</v>
      </c>
    </row>
    <row r="692" spans="1:1" ht="13" x14ac:dyDescent="0.15">
      <c r="A692" s="2" t="s">
        <v>691</v>
      </c>
    </row>
    <row r="693" spans="1:1" ht="13" x14ac:dyDescent="0.15">
      <c r="A693" s="2" t="s">
        <v>692</v>
      </c>
    </row>
    <row r="694" spans="1:1" ht="13" x14ac:dyDescent="0.15">
      <c r="A694" s="2" t="s">
        <v>693</v>
      </c>
    </row>
    <row r="695" spans="1:1" ht="13" x14ac:dyDescent="0.15">
      <c r="A695" s="2" t="s">
        <v>694</v>
      </c>
    </row>
    <row r="696" spans="1:1" ht="13" x14ac:dyDescent="0.15">
      <c r="A696" s="2" t="s">
        <v>695</v>
      </c>
    </row>
    <row r="697" spans="1:1" ht="13" x14ac:dyDescent="0.15">
      <c r="A697" s="2" t="s">
        <v>696</v>
      </c>
    </row>
    <row r="698" spans="1:1" ht="13" x14ac:dyDescent="0.15">
      <c r="A698" s="2" t="s">
        <v>697</v>
      </c>
    </row>
    <row r="699" spans="1:1" ht="13" x14ac:dyDescent="0.15">
      <c r="A699" s="2" t="s">
        <v>698</v>
      </c>
    </row>
    <row r="700" spans="1:1" ht="13" x14ac:dyDescent="0.15">
      <c r="A700" s="2" t="s">
        <v>699</v>
      </c>
    </row>
    <row r="701" spans="1:1" ht="13" x14ac:dyDescent="0.15">
      <c r="A701" s="2" t="s">
        <v>700</v>
      </c>
    </row>
    <row r="702" spans="1:1" ht="13" x14ac:dyDescent="0.15">
      <c r="A702" s="2" t="s">
        <v>701</v>
      </c>
    </row>
    <row r="703" spans="1:1" ht="13" x14ac:dyDescent="0.15">
      <c r="A703" s="2" t="s">
        <v>702</v>
      </c>
    </row>
    <row r="704" spans="1:1" ht="13" x14ac:dyDescent="0.15">
      <c r="A704" s="2" t="s">
        <v>703</v>
      </c>
    </row>
    <row r="705" spans="1:1" ht="13" x14ac:dyDescent="0.15">
      <c r="A705" s="2" t="s">
        <v>704</v>
      </c>
    </row>
    <row r="706" spans="1:1" ht="13" x14ac:dyDescent="0.15">
      <c r="A706" s="2" t="s">
        <v>705</v>
      </c>
    </row>
    <row r="707" spans="1:1" ht="13" x14ac:dyDescent="0.15">
      <c r="A707" s="2" t="s">
        <v>706</v>
      </c>
    </row>
    <row r="708" spans="1:1" ht="13" x14ac:dyDescent="0.15">
      <c r="A708" s="2" t="s">
        <v>707</v>
      </c>
    </row>
    <row r="709" spans="1:1" ht="13" x14ac:dyDescent="0.15">
      <c r="A709" s="2" t="s">
        <v>708</v>
      </c>
    </row>
    <row r="710" spans="1:1" ht="13" x14ac:dyDescent="0.15">
      <c r="A710" s="2" t="s">
        <v>709</v>
      </c>
    </row>
    <row r="711" spans="1:1" ht="13" x14ac:dyDescent="0.15">
      <c r="A711" s="2" t="s">
        <v>710</v>
      </c>
    </row>
    <row r="712" spans="1:1" ht="13" x14ac:dyDescent="0.15">
      <c r="A712" s="2" t="s">
        <v>711</v>
      </c>
    </row>
    <row r="713" spans="1:1" ht="13" x14ac:dyDescent="0.15">
      <c r="A713" s="2" t="s">
        <v>712</v>
      </c>
    </row>
    <row r="714" spans="1:1" ht="13" x14ac:dyDescent="0.15">
      <c r="A714" s="2" t="s">
        <v>713</v>
      </c>
    </row>
    <row r="715" spans="1:1" ht="13" x14ac:dyDescent="0.15">
      <c r="A715" s="2" t="s">
        <v>714</v>
      </c>
    </row>
    <row r="716" spans="1:1" ht="13" x14ac:dyDescent="0.15">
      <c r="A716" s="2" t="s">
        <v>715</v>
      </c>
    </row>
    <row r="717" spans="1:1" ht="13" x14ac:dyDescent="0.15">
      <c r="A717" s="2" t="s">
        <v>716</v>
      </c>
    </row>
    <row r="718" spans="1:1" ht="13" x14ac:dyDescent="0.15">
      <c r="A718" s="2" t="s">
        <v>717</v>
      </c>
    </row>
    <row r="719" spans="1:1" ht="13" x14ac:dyDescent="0.15">
      <c r="A719" s="2" t="s">
        <v>718</v>
      </c>
    </row>
    <row r="720" spans="1:1" ht="13" x14ac:dyDescent="0.15">
      <c r="A720" s="2" t="s">
        <v>719</v>
      </c>
    </row>
    <row r="721" spans="1:1" ht="13" x14ac:dyDescent="0.15">
      <c r="A721" s="2" t="s">
        <v>720</v>
      </c>
    </row>
    <row r="722" spans="1:1" ht="13" x14ac:dyDescent="0.15">
      <c r="A722" s="2" t="s">
        <v>721</v>
      </c>
    </row>
    <row r="723" spans="1:1" ht="13" x14ac:dyDescent="0.15">
      <c r="A723" s="2" t="s">
        <v>722</v>
      </c>
    </row>
    <row r="724" spans="1:1" ht="13" x14ac:dyDescent="0.15">
      <c r="A724" s="2" t="s">
        <v>723</v>
      </c>
    </row>
    <row r="725" spans="1:1" ht="13" x14ac:dyDescent="0.15">
      <c r="A725" s="2" t="s">
        <v>724</v>
      </c>
    </row>
    <row r="726" spans="1:1" ht="13" x14ac:dyDescent="0.15">
      <c r="A726" s="2" t="s">
        <v>725</v>
      </c>
    </row>
    <row r="727" spans="1:1" ht="13" x14ac:dyDescent="0.15">
      <c r="A727" s="2" t="s">
        <v>726</v>
      </c>
    </row>
    <row r="728" spans="1:1" ht="13" x14ac:dyDescent="0.15">
      <c r="A728" s="2" t="s">
        <v>727</v>
      </c>
    </row>
    <row r="729" spans="1:1" ht="13" x14ac:dyDescent="0.15">
      <c r="A729" s="2" t="s">
        <v>728</v>
      </c>
    </row>
    <row r="730" spans="1:1" ht="13" x14ac:dyDescent="0.15">
      <c r="A730" s="2" t="s">
        <v>729</v>
      </c>
    </row>
    <row r="731" spans="1:1" ht="13" x14ac:dyDescent="0.15">
      <c r="A731" s="2" t="s">
        <v>730</v>
      </c>
    </row>
    <row r="732" spans="1:1" ht="13" x14ac:dyDescent="0.15">
      <c r="A732" s="2" t="s">
        <v>731</v>
      </c>
    </row>
    <row r="733" spans="1:1" ht="13" x14ac:dyDescent="0.15">
      <c r="A733" s="2" t="s">
        <v>732</v>
      </c>
    </row>
    <row r="734" spans="1:1" ht="13" x14ac:dyDescent="0.15">
      <c r="A734" s="2" t="s">
        <v>733</v>
      </c>
    </row>
    <row r="735" spans="1:1" ht="13" x14ac:dyDescent="0.15">
      <c r="A735" s="2" t="s">
        <v>734</v>
      </c>
    </row>
    <row r="736" spans="1:1" ht="13" x14ac:dyDescent="0.15">
      <c r="A736" s="2" t="s">
        <v>735</v>
      </c>
    </row>
    <row r="737" spans="1:1" ht="13" x14ac:dyDescent="0.15">
      <c r="A737" s="2" t="s">
        <v>736</v>
      </c>
    </row>
    <row r="738" spans="1:1" ht="13" x14ac:dyDescent="0.15">
      <c r="A738" s="2" t="s">
        <v>737</v>
      </c>
    </row>
    <row r="739" spans="1:1" ht="13" x14ac:dyDescent="0.15">
      <c r="A739" s="2" t="s">
        <v>738</v>
      </c>
    </row>
    <row r="740" spans="1:1" ht="13" x14ac:dyDescent="0.15">
      <c r="A740" s="2" t="s">
        <v>739</v>
      </c>
    </row>
    <row r="741" spans="1:1" ht="13" x14ac:dyDescent="0.15">
      <c r="A741" s="2" t="s">
        <v>740</v>
      </c>
    </row>
    <row r="742" spans="1:1" ht="13" x14ac:dyDescent="0.15">
      <c r="A742" s="2" t="s">
        <v>741</v>
      </c>
    </row>
    <row r="743" spans="1:1" ht="13" x14ac:dyDescent="0.15">
      <c r="A743" s="2" t="s">
        <v>742</v>
      </c>
    </row>
    <row r="744" spans="1:1" ht="13" x14ac:dyDescent="0.15">
      <c r="A744" s="2" t="s">
        <v>743</v>
      </c>
    </row>
    <row r="745" spans="1:1" ht="13" x14ac:dyDescent="0.15">
      <c r="A745" s="2" t="s">
        <v>744</v>
      </c>
    </row>
    <row r="746" spans="1:1" ht="13" x14ac:dyDescent="0.15">
      <c r="A746" s="2" t="s">
        <v>745</v>
      </c>
    </row>
    <row r="747" spans="1:1" ht="13" x14ac:dyDescent="0.15">
      <c r="A747" s="2" t="s">
        <v>746</v>
      </c>
    </row>
    <row r="748" spans="1:1" ht="13" x14ac:dyDescent="0.15">
      <c r="A748" s="2" t="s">
        <v>747</v>
      </c>
    </row>
    <row r="749" spans="1:1" ht="13" x14ac:dyDescent="0.15">
      <c r="A749" s="2" t="s">
        <v>748</v>
      </c>
    </row>
    <row r="750" spans="1:1" ht="13" x14ac:dyDescent="0.15">
      <c r="A750" s="2" t="s">
        <v>749</v>
      </c>
    </row>
    <row r="751" spans="1:1" ht="13" x14ac:dyDescent="0.15">
      <c r="A751" s="2" t="s">
        <v>750</v>
      </c>
    </row>
    <row r="752" spans="1:1" ht="13" x14ac:dyDescent="0.15">
      <c r="A752" s="2" t="s">
        <v>751</v>
      </c>
    </row>
    <row r="753" spans="1:1" ht="13" x14ac:dyDescent="0.15">
      <c r="A753" s="2" t="s">
        <v>752</v>
      </c>
    </row>
    <row r="754" spans="1:1" ht="13" x14ac:dyDescent="0.15">
      <c r="A754" s="2" t="s">
        <v>753</v>
      </c>
    </row>
    <row r="755" spans="1:1" ht="13" x14ac:dyDescent="0.15">
      <c r="A755" s="2" t="s">
        <v>754</v>
      </c>
    </row>
    <row r="756" spans="1:1" ht="13" x14ac:dyDescent="0.15">
      <c r="A756" s="2" t="s">
        <v>755</v>
      </c>
    </row>
    <row r="757" spans="1:1" ht="13" x14ac:dyDescent="0.15">
      <c r="A757" s="2" t="s">
        <v>756</v>
      </c>
    </row>
    <row r="758" spans="1:1" ht="13" x14ac:dyDescent="0.15">
      <c r="A758" s="2" t="s">
        <v>757</v>
      </c>
    </row>
    <row r="759" spans="1:1" ht="13" x14ac:dyDescent="0.15">
      <c r="A759" s="2" t="s">
        <v>758</v>
      </c>
    </row>
    <row r="760" spans="1:1" ht="13" x14ac:dyDescent="0.15">
      <c r="A760" s="2" t="s">
        <v>759</v>
      </c>
    </row>
    <row r="761" spans="1:1" ht="13" x14ac:dyDescent="0.15">
      <c r="A761" s="2" t="s">
        <v>760</v>
      </c>
    </row>
    <row r="762" spans="1:1" ht="13" x14ac:dyDescent="0.15">
      <c r="A762" s="2" t="s">
        <v>761</v>
      </c>
    </row>
    <row r="763" spans="1:1" ht="13" x14ac:dyDescent="0.15">
      <c r="A763" s="2" t="s">
        <v>762</v>
      </c>
    </row>
    <row r="764" spans="1:1" ht="13" x14ac:dyDescent="0.15">
      <c r="A764" s="2" t="s">
        <v>763</v>
      </c>
    </row>
    <row r="765" spans="1:1" ht="13" x14ac:dyDescent="0.15">
      <c r="A765" s="2" t="s">
        <v>764</v>
      </c>
    </row>
    <row r="766" spans="1:1" ht="13" x14ac:dyDescent="0.15">
      <c r="A766" s="2" t="s">
        <v>765</v>
      </c>
    </row>
    <row r="767" spans="1:1" ht="13" x14ac:dyDescent="0.15">
      <c r="A767" s="2" t="s">
        <v>766</v>
      </c>
    </row>
    <row r="768" spans="1:1" ht="13" x14ac:dyDescent="0.15">
      <c r="A768" s="2" t="s">
        <v>767</v>
      </c>
    </row>
    <row r="769" spans="1:1" ht="13" x14ac:dyDescent="0.15">
      <c r="A769" s="2" t="s">
        <v>768</v>
      </c>
    </row>
    <row r="770" spans="1:1" ht="13" x14ac:dyDescent="0.15">
      <c r="A770" s="2" t="s">
        <v>769</v>
      </c>
    </row>
    <row r="771" spans="1:1" ht="13" x14ac:dyDescent="0.15">
      <c r="A771" s="2" t="s">
        <v>770</v>
      </c>
    </row>
    <row r="772" spans="1:1" ht="13" x14ac:dyDescent="0.15">
      <c r="A772" s="2" t="s">
        <v>771</v>
      </c>
    </row>
    <row r="773" spans="1:1" ht="13" x14ac:dyDescent="0.15">
      <c r="A773" s="2" t="s">
        <v>772</v>
      </c>
    </row>
    <row r="774" spans="1:1" ht="13" x14ac:dyDescent="0.15">
      <c r="A774" s="2" t="s">
        <v>773</v>
      </c>
    </row>
    <row r="775" spans="1:1" ht="13" x14ac:dyDescent="0.15">
      <c r="A775" s="2" t="s">
        <v>774</v>
      </c>
    </row>
    <row r="776" spans="1:1" ht="13" x14ac:dyDescent="0.15">
      <c r="A776" s="2" t="s">
        <v>775</v>
      </c>
    </row>
    <row r="777" spans="1:1" ht="13" x14ac:dyDescent="0.15">
      <c r="A777" s="2" t="s">
        <v>776</v>
      </c>
    </row>
    <row r="778" spans="1:1" ht="13" x14ac:dyDescent="0.15">
      <c r="A778" s="2" t="s">
        <v>777</v>
      </c>
    </row>
    <row r="779" spans="1:1" ht="13" x14ac:dyDescent="0.15">
      <c r="A779" s="2" t="s">
        <v>778</v>
      </c>
    </row>
    <row r="780" spans="1:1" ht="13" x14ac:dyDescent="0.15">
      <c r="A780" s="2" t="s">
        <v>779</v>
      </c>
    </row>
    <row r="781" spans="1:1" ht="13" x14ac:dyDescent="0.15">
      <c r="A781" s="2" t="s">
        <v>780</v>
      </c>
    </row>
    <row r="782" spans="1:1" ht="13" x14ac:dyDescent="0.15">
      <c r="A782" s="2" t="s">
        <v>781</v>
      </c>
    </row>
    <row r="783" spans="1:1" ht="13" x14ac:dyDescent="0.15">
      <c r="A783" s="2" t="s">
        <v>782</v>
      </c>
    </row>
    <row r="784" spans="1:1" ht="13" x14ac:dyDescent="0.15">
      <c r="A784" s="3" t="s">
        <v>783</v>
      </c>
    </row>
    <row r="785" spans="1:1" ht="13" x14ac:dyDescent="0.15">
      <c r="A785" s="2" t="s">
        <v>784</v>
      </c>
    </row>
    <row r="786" spans="1:1" ht="13" x14ac:dyDescent="0.15">
      <c r="A786" s="2" t="s">
        <v>785</v>
      </c>
    </row>
    <row r="787" spans="1:1" ht="13" x14ac:dyDescent="0.15">
      <c r="A787" s="2" t="s">
        <v>786</v>
      </c>
    </row>
    <row r="788" spans="1:1" ht="13" x14ac:dyDescent="0.15">
      <c r="A788" s="2" t="s">
        <v>787</v>
      </c>
    </row>
    <row r="789" spans="1:1" ht="13" x14ac:dyDescent="0.15">
      <c r="A789" s="2" t="s">
        <v>788</v>
      </c>
    </row>
    <row r="790" spans="1:1" ht="13" x14ac:dyDescent="0.15">
      <c r="A790" s="2" t="s">
        <v>789</v>
      </c>
    </row>
    <row r="791" spans="1:1" ht="13" x14ac:dyDescent="0.15">
      <c r="A791" s="2" t="s">
        <v>790</v>
      </c>
    </row>
    <row r="792" spans="1:1" ht="13" x14ac:dyDescent="0.15">
      <c r="A792" s="2" t="s">
        <v>791</v>
      </c>
    </row>
    <row r="793" spans="1:1" ht="13" x14ac:dyDescent="0.15">
      <c r="A793" s="2" t="s">
        <v>792</v>
      </c>
    </row>
    <row r="794" spans="1:1" ht="13" x14ac:dyDescent="0.15">
      <c r="A794" s="2" t="s">
        <v>793</v>
      </c>
    </row>
    <row r="795" spans="1:1" ht="13" x14ac:dyDescent="0.15">
      <c r="A795" s="2" t="s">
        <v>794</v>
      </c>
    </row>
    <row r="796" spans="1:1" ht="13" x14ac:dyDescent="0.15">
      <c r="A796" s="2" t="s">
        <v>795</v>
      </c>
    </row>
    <row r="797" spans="1:1" ht="13" x14ac:dyDescent="0.15">
      <c r="A797" s="2" t="s">
        <v>796</v>
      </c>
    </row>
    <row r="798" spans="1:1" ht="13" x14ac:dyDescent="0.15">
      <c r="A798" s="2" t="s">
        <v>797</v>
      </c>
    </row>
    <row r="799" spans="1:1" ht="13" x14ac:dyDescent="0.15">
      <c r="A799" s="2" t="s">
        <v>798</v>
      </c>
    </row>
    <row r="800" spans="1:1" ht="13" x14ac:dyDescent="0.15">
      <c r="A800" s="2" t="s">
        <v>799</v>
      </c>
    </row>
    <row r="801" spans="1:1" ht="13" x14ac:dyDescent="0.15">
      <c r="A801" s="2" t="s">
        <v>800</v>
      </c>
    </row>
    <row r="802" spans="1:1" ht="13" x14ac:dyDescent="0.15">
      <c r="A802" s="2" t="s">
        <v>801</v>
      </c>
    </row>
    <row r="803" spans="1:1" ht="13" x14ac:dyDescent="0.15">
      <c r="A803" s="2" t="s">
        <v>802</v>
      </c>
    </row>
    <row r="804" spans="1:1" ht="13" x14ac:dyDescent="0.15">
      <c r="A804" s="2" t="s">
        <v>803</v>
      </c>
    </row>
    <row r="805" spans="1:1" ht="13" x14ac:dyDescent="0.15">
      <c r="A805" s="2" t="s">
        <v>804</v>
      </c>
    </row>
    <row r="806" spans="1:1" ht="13" x14ac:dyDescent="0.15">
      <c r="A806" s="2" t="s">
        <v>805</v>
      </c>
    </row>
    <row r="807" spans="1:1" ht="13" x14ac:dyDescent="0.15">
      <c r="A807" s="2" t="s">
        <v>806</v>
      </c>
    </row>
    <row r="808" spans="1:1" ht="13" x14ac:dyDescent="0.15">
      <c r="A808" s="2" t="s">
        <v>807</v>
      </c>
    </row>
    <row r="809" spans="1:1" ht="13" x14ac:dyDescent="0.15">
      <c r="A809" s="2" t="s">
        <v>808</v>
      </c>
    </row>
    <row r="810" spans="1:1" ht="13" x14ac:dyDescent="0.15">
      <c r="A810" s="2" t="s">
        <v>809</v>
      </c>
    </row>
    <row r="811" spans="1:1" ht="13" x14ac:dyDescent="0.15">
      <c r="A811" s="2" t="s">
        <v>810</v>
      </c>
    </row>
    <row r="812" spans="1:1" ht="13" x14ac:dyDescent="0.15">
      <c r="A812" s="2" t="s">
        <v>811</v>
      </c>
    </row>
    <row r="813" spans="1:1" ht="13" x14ac:dyDescent="0.15">
      <c r="A813" s="2" t="s">
        <v>812</v>
      </c>
    </row>
    <row r="814" spans="1:1" ht="13" x14ac:dyDescent="0.15">
      <c r="A814" s="2" t="s">
        <v>813</v>
      </c>
    </row>
    <row r="815" spans="1:1" ht="13" x14ac:dyDescent="0.15">
      <c r="A815" s="2" t="s">
        <v>814</v>
      </c>
    </row>
    <row r="816" spans="1:1" ht="13" x14ac:dyDescent="0.15">
      <c r="A816" s="2" t="s">
        <v>815</v>
      </c>
    </row>
    <row r="817" spans="1:1" ht="13" x14ac:dyDescent="0.15">
      <c r="A817" s="2" t="s">
        <v>816</v>
      </c>
    </row>
    <row r="818" spans="1:1" ht="13" x14ac:dyDescent="0.15">
      <c r="A818" s="2" t="s">
        <v>817</v>
      </c>
    </row>
    <row r="819" spans="1:1" ht="13" x14ac:dyDescent="0.15">
      <c r="A819" s="2" t="s">
        <v>818</v>
      </c>
    </row>
    <row r="820" spans="1:1" ht="13" x14ac:dyDescent="0.15">
      <c r="A820" s="2" t="s">
        <v>819</v>
      </c>
    </row>
    <row r="821" spans="1:1" ht="13" x14ac:dyDescent="0.15">
      <c r="A821" s="2" t="s">
        <v>820</v>
      </c>
    </row>
    <row r="822" spans="1:1" ht="13" x14ac:dyDescent="0.15">
      <c r="A822" s="2" t="s">
        <v>821</v>
      </c>
    </row>
    <row r="823" spans="1:1" ht="13" x14ac:dyDescent="0.15">
      <c r="A823" s="2" t="s">
        <v>822</v>
      </c>
    </row>
    <row r="824" spans="1:1" ht="13" x14ac:dyDescent="0.15">
      <c r="A824" s="2" t="s">
        <v>823</v>
      </c>
    </row>
    <row r="825" spans="1:1" ht="13" x14ac:dyDescent="0.15">
      <c r="A825" s="2" t="s">
        <v>824</v>
      </c>
    </row>
    <row r="826" spans="1:1" ht="13" x14ac:dyDescent="0.15">
      <c r="A826" s="2" t="s">
        <v>825</v>
      </c>
    </row>
    <row r="827" spans="1:1" ht="13" x14ac:dyDescent="0.15">
      <c r="A827" s="2" t="s">
        <v>826</v>
      </c>
    </row>
    <row r="828" spans="1:1" ht="13" x14ac:dyDescent="0.15">
      <c r="A828" s="2" t="s">
        <v>827</v>
      </c>
    </row>
    <row r="829" spans="1:1" ht="13" x14ac:dyDescent="0.15">
      <c r="A829" s="2" t="s">
        <v>828</v>
      </c>
    </row>
    <row r="830" spans="1:1" ht="13" x14ac:dyDescent="0.15">
      <c r="A830" s="2" t="s">
        <v>829</v>
      </c>
    </row>
    <row r="831" spans="1:1" ht="13" x14ac:dyDescent="0.15">
      <c r="A831" s="2" t="s">
        <v>830</v>
      </c>
    </row>
    <row r="832" spans="1:1" ht="13" x14ac:dyDescent="0.15">
      <c r="A832" s="2" t="s">
        <v>831</v>
      </c>
    </row>
    <row r="833" spans="1:1" ht="13" x14ac:dyDescent="0.15">
      <c r="A833" s="2" t="s">
        <v>832</v>
      </c>
    </row>
    <row r="834" spans="1:1" ht="13" x14ac:dyDescent="0.15">
      <c r="A834" s="2" t="s">
        <v>833</v>
      </c>
    </row>
    <row r="835" spans="1:1" ht="13" x14ac:dyDescent="0.15">
      <c r="A835" s="2" t="s">
        <v>834</v>
      </c>
    </row>
    <row r="836" spans="1:1" ht="13" x14ac:dyDescent="0.15">
      <c r="A836" s="2" t="s">
        <v>835</v>
      </c>
    </row>
    <row r="837" spans="1:1" ht="13" x14ac:dyDescent="0.15">
      <c r="A837" s="2" t="s">
        <v>836</v>
      </c>
    </row>
    <row r="838" spans="1:1" ht="13" x14ac:dyDescent="0.15">
      <c r="A838" s="2" t="s">
        <v>837</v>
      </c>
    </row>
    <row r="839" spans="1:1" ht="13" x14ac:dyDescent="0.15">
      <c r="A839" s="2" t="s">
        <v>838</v>
      </c>
    </row>
    <row r="840" spans="1:1" ht="13" x14ac:dyDescent="0.15">
      <c r="A840" s="2" t="s">
        <v>839</v>
      </c>
    </row>
    <row r="841" spans="1:1" ht="13" x14ac:dyDescent="0.15">
      <c r="A841" s="2" t="s">
        <v>840</v>
      </c>
    </row>
    <row r="842" spans="1:1" ht="13" x14ac:dyDescent="0.15">
      <c r="A842" s="2" t="s">
        <v>841</v>
      </c>
    </row>
    <row r="843" spans="1:1" ht="13" x14ac:dyDescent="0.15">
      <c r="A843" s="2" t="s">
        <v>842</v>
      </c>
    </row>
    <row r="844" spans="1:1" ht="13" x14ac:dyDescent="0.15">
      <c r="A844" s="2" t="s">
        <v>843</v>
      </c>
    </row>
    <row r="845" spans="1:1" ht="13" x14ac:dyDescent="0.15">
      <c r="A845" s="2" t="s">
        <v>844</v>
      </c>
    </row>
    <row r="846" spans="1:1" ht="13" x14ac:dyDescent="0.15">
      <c r="A846" s="2" t="s">
        <v>845</v>
      </c>
    </row>
    <row r="847" spans="1:1" ht="13" x14ac:dyDescent="0.15">
      <c r="A847" s="2" t="s">
        <v>846</v>
      </c>
    </row>
    <row r="848" spans="1:1" ht="13" x14ac:dyDescent="0.15">
      <c r="A848" s="2" t="s">
        <v>847</v>
      </c>
    </row>
    <row r="849" spans="1:1" ht="13" x14ac:dyDescent="0.15">
      <c r="A849" s="2" t="s">
        <v>848</v>
      </c>
    </row>
    <row r="850" spans="1:1" ht="13" x14ac:dyDescent="0.15">
      <c r="A850" s="2" t="s">
        <v>849</v>
      </c>
    </row>
    <row r="851" spans="1:1" ht="13" x14ac:dyDescent="0.15">
      <c r="A851" s="2" t="s">
        <v>850</v>
      </c>
    </row>
    <row r="852" spans="1:1" ht="13" x14ac:dyDescent="0.15">
      <c r="A852" s="2" t="s">
        <v>851</v>
      </c>
    </row>
    <row r="853" spans="1:1" ht="13" x14ac:dyDescent="0.15">
      <c r="A853" s="2" t="s">
        <v>852</v>
      </c>
    </row>
    <row r="854" spans="1:1" ht="13" x14ac:dyDescent="0.15">
      <c r="A854" s="2" t="s">
        <v>853</v>
      </c>
    </row>
    <row r="855" spans="1:1" ht="13" x14ac:dyDescent="0.15">
      <c r="A855" s="2" t="s">
        <v>854</v>
      </c>
    </row>
    <row r="856" spans="1:1" ht="13" x14ac:dyDescent="0.15">
      <c r="A856" s="2" t="s">
        <v>855</v>
      </c>
    </row>
    <row r="857" spans="1:1" ht="13" x14ac:dyDescent="0.15">
      <c r="A857" s="2" t="s">
        <v>856</v>
      </c>
    </row>
    <row r="858" spans="1:1" ht="13" x14ac:dyDescent="0.15">
      <c r="A858" s="2" t="s">
        <v>857</v>
      </c>
    </row>
    <row r="859" spans="1:1" ht="13" x14ac:dyDescent="0.15">
      <c r="A859" s="2" t="s">
        <v>858</v>
      </c>
    </row>
    <row r="860" spans="1:1" ht="13" x14ac:dyDescent="0.15">
      <c r="A860" s="2" t="s">
        <v>859</v>
      </c>
    </row>
    <row r="861" spans="1:1" ht="13" x14ac:dyDescent="0.15">
      <c r="A861" s="2" t="s">
        <v>860</v>
      </c>
    </row>
    <row r="862" spans="1:1" ht="13" x14ac:dyDescent="0.15">
      <c r="A862" s="2" t="s">
        <v>861</v>
      </c>
    </row>
    <row r="863" spans="1:1" ht="13" x14ac:dyDescent="0.15">
      <c r="A863" s="2" t="s">
        <v>862</v>
      </c>
    </row>
    <row r="864" spans="1:1" ht="13" x14ac:dyDescent="0.15">
      <c r="A864" s="2" t="s">
        <v>863</v>
      </c>
    </row>
    <row r="865" spans="1:1" ht="13" x14ac:dyDescent="0.15">
      <c r="A865" s="2" t="s">
        <v>864</v>
      </c>
    </row>
    <row r="866" spans="1:1" ht="13" x14ac:dyDescent="0.15">
      <c r="A866" s="2" t="s">
        <v>865</v>
      </c>
    </row>
    <row r="867" spans="1:1" ht="13" x14ac:dyDescent="0.15">
      <c r="A867" s="2" t="s">
        <v>866</v>
      </c>
    </row>
    <row r="868" spans="1:1" ht="13" x14ac:dyDescent="0.15">
      <c r="A868" s="2" t="s">
        <v>867</v>
      </c>
    </row>
    <row r="869" spans="1:1" ht="13" x14ac:dyDescent="0.15">
      <c r="A869" s="2" t="s">
        <v>868</v>
      </c>
    </row>
    <row r="870" spans="1:1" ht="13" x14ac:dyDescent="0.15">
      <c r="A870" s="2" t="s">
        <v>869</v>
      </c>
    </row>
    <row r="871" spans="1:1" ht="13" x14ac:dyDescent="0.15">
      <c r="A871" s="2" t="s">
        <v>870</v>
      </c>
    </row>
    <row r="872" spans="1:1" ht="13" x14ac:dyDescent="0.15">
      <c r="A872" s="2" t="s">
        <v>871</v>
      </c>
    </row>
    <row r="873" spans="1:1" ht="13" x14ac:dyDescent="0.15">
      <c r="A873" s="2" t="s">
        <v>872</v>
      </c>
    </row>
    <row r="874" spans="1:1" ht="13" x14ac:dyDescent="0.15">
      <c r="A874" s="2" t="s">
        <v>873</v>
      </c>
    </row>
    <row r="875" spans="1:1" ht="13" x14ac:dyDescent="0.15">
      <c r="A875" s="2" t="s">
        <v>874</v>
      </c>
    </row>
    <row r="876" spans="1:1" ht="13" x14ac:dyDescent="0.15">
      <c r="A876" s="2" t="s">
        <v>875</v>
      </c>
    </row>
    <row r="877" spans="1:1" ht="13" x14ac:dyDescent="0.15">
      <c r="A877" s="2" t="s">
        <v>876</v>
      </c>
    </row>
    <row r="878" spans="1:1" ht="13" x14ac:dyDescent="0.15">
      <c r="A878" s="2" t="s">
        <v>877</v>
      </c>
    </row>
    <row r="879" spans="1:1" ht="13" x14ac:dyDescent="0.15">
      <c r="A879" s="2" t="s">
        <v>878</v>
      </c>
    </row>
    <row r="880" spans="1:1" ht="13" x14ac:dyDescent="0.15">
      <c r="A880" s="2" t="s">
        <v>879</v>
      </c>
    </row>
    <row r="881" spans="1:1" ht="13" x14ac:dyDescent="0.15">
      <c r="A881" s="2" t="s">
        <v>880</v>
      </c>
    </row>
    <row r="882" spans="1:1" ht="13" x14ac:dyDescent="0.15">
      <c r="A882" s="2" t="s">
        <v>881</v>
      </c>
    </row>
    <row r="883" spans="1:1" ht="13" x14ac:dyDescent="0.15">
      <c r="A883" s="2" t="s">
        <v>882</v>
      </c>
    </row>
    <row r="884" spans="1:1" ht="13" x14ac:dyDescent="0.15">
      <c r="A884" s="2" t="s">
        <v>883</v>
      </c>
    </row>
    <row r="885" spans="1:1" ht="13" x14ac:dyDescent="0.15">
      <c r="A885" s="2" t="s">
        <v>884</v>
      </c>
    </row>
    <row r="886" spans="1:1" ht="13" x14ac:dyDescent="0.15">
      <c r="A886" s="2" t="s">
        <v>885</v>
      </c>
    </row>
    <row r="887" spans="1:1" ht="13" x14ac:dyDescent="0.15">
      <c r="A887" s="2" t="s">
        <v>886</v>
      </c>
    </row>
    <row r="888" spans="1:1" ht="13" x14ac:dyDescent="0.15">
      <c r="A888" s="2" t="s">
        <v>887</v>
      </c>
    </row>
    <row r="889" spans="1:1" ht="13" x14ac:dyDescent="0.15">
      <c r="A889" s="2" t="s">
        <v>888</v>
      </c>
    </row>
    <row r="890" spans="1:1" ht="13" x14ac:dyDescent="0.15">
      <c r="A890" s="2" t="s">
        <v>889</v>
      </c>
    </row>
    <row r="891" spans="1:1" ht="13" x14ac:dyDescent="0.15">
      <c r="A891" s="2" t="s">
        <v>890</v>
      </c>
    </row>
    <row r="892" spans="1:1" ht="13" x14ac:dyDescent="0.15">
      <c r="A892" s="2" t="s">
        <v>891</v>
      </c>
    </row>
    <row r="893" spans="1:1" ht="13" x14ac:dyDescent="0.15">
      <c r="A893" s="2" t="s">
        <v>892</v>
      </c>
    </row>
    <row r="894" spans="1:1" ht="13" x14ac:dyDescent="0.15">
      <c r="A894" s="2" t="s">
        <v>893</v>
      </c>
    </row>
    <row r="895" spans="1:1" ht="13" x14ac:dyDescent="0.15">
      <c r="A895" s="2" t="s">
        <v>894</v>
      </c>
    </row>
    <row r="896" spans="1:1" ht="13" x14ac:dyDescent="0.15">
      <c r="A896" s="2" t="s">
        <v>895</v>
      </c>
    </row>
    <row r="897" spans="1:1" ht="13" x14ac:dyDescent="0.15">
      <c r="A897" s="2" t="s">
        <v>896</v>
      </c>
    </row>
    <row r="898" spans="1:1" ht="13" x14ac:dyDescent="0.15">
      <c r="A898" s="2" t="s">
        <v>897</v>
      </c>
    </row>
    <row r="899" spans="1:1" ht="13" x14ac:dyDescent="0.15">
      <c r="A899" s="2" t="s">
        <v>898</v>
      </c>
    </row>
    <row r="900" spans="1:1" ht="13" x14ac:dyDescent="0.15">
      <c r="A900" s="2" t="s">
        <v>899</v>
      </c>
    </row>
    <row r="901" spans="1:1" ht="13" x14ac:dyDescent="0.15">
      <c r="A901" s="2" t="s">
        <v>900</v>
      </c>
    </row>
    <row r="902" spans="1:1" ht="13" x14ac:dyDescent="0.15">
      <c r="A902" s="2" t="s">
        <v>901</v>
      </c>
    </row>
    <row r="903" spans="1:1" ht="13" x14ac:dyDescent="0.15">
      <c r="A903" s="2" t="s">
        <v>902</v>
      </c>
    </row>
    <row r="904" spans="1:1" ht="13" x14ac:dyDescent="0.15">
      <c r="A904" s="2" t="s">
        <v>903</v>
      </c>
    </row>
    <row r="905" spans="1:1" ht="13" x14ac:dyDescent="0.15">
      <c r="A905" s="2" t="s">
        <v>904</v>
      </c>
    </row>
    <row r="906" spans="1:1" ht="13" x14ac:dyDescent="0.15">
      <c r="A906" s="2" t="s">
        <v>905</v>
      </c>
    </row>
    <row r="907" spans="1:1" ht="13" x14ac:dyDescent="0.15">
      <c r="A907" s="2" t="s">
        <v>906</v>
      </c>
    </row>
    <row r="908" spans="1:1" ht="13" x14ac:dyDescent="0.15">
      <c r="A908" s="2" t="s">
        <v>907</v>
      </c>
    </row>
    <row r="909" spans="1:1" ht="13" x14ac:dyDescent="0.15">
      <c r="A909" s="2" t="s">
        <v>908</v>
      </c>
    </row>
    <row r="910" spans="1:1" ht="13" x14ac:dyDescent="0.15">
      <c r="A910" s="2" t="s">
        <v>909</v>
      </c>
    </row>
    <row r="911" spans="1:1" ht="13" x14ac:dyDescent="0.15">
      <c r="A911" s="2" t="s">
        <v>910</v>
      </c>
    </row>
    <row r="912" spans="1:1" ht="13" x14ac:dyDescent="0.15">
      <c r="A912" s="2" t="s">
        <v>911</v>
      </c>
    </row>
    <row r="913" spans="1:1" ht="13" x14ac:dyDescent="0.15">
      <c r="A913" s="2" t="s">
        <v>912</v>
      </c>
    </row>
    <row r="914" spans="1:1" ht="13" x14ac:dyDescent="0.15">
      <c r="A914" s="2" t="s">
        <v>913</v>
      </c>
    </row>
    <row r="915" spans="1:1" ht="13" x14ac:dyDescent="0.15">
      <c r="A915" s="2" t="s">
        <v>914</v>
      </c>
    </row>
    <row r="916" spans="1:1" ht="13" x14ac:dyDescent="0.15">
      <c r="A916" s="2" t="s">
        <v>915</v>
      </c>
    </row>
    <row r="917" spans="1:1" ht="13" x14ac:dyDescent="0.15">
      <c r="A917" s="2" t="s">
        <v>916</v>
      </c>
    </row>
    <row r="918" spans="1:1" ht="13" x14ac:dyDescent="0.15">
      <c r="A918" s="2" t="s">
        <v>917</v>
      </c>
    </row>
    <row r="919" spans="1:1" ht="13" x14ac:dyDescent="0.15">
      <c r="A919" s="2" t="s">
        <v>918</v>
      </c>
    </row>
    <row r="920" spans="1:1" ht="13" x14ac:dyDescent="0.15">
      <c r="A920" s="2" t="s">
        <v>919</v>
      </c>
    </row>
    <row r="921" spans="1:1" ht="13" x14ac:dyDescent="0.15">
      <c r="A921" s="2" t="s">
        <v>920</v>
      </c>
    </row>
    <row r="922" spans="1:1" ht="13" x14ac:dyDescent="0.15">
      <c r="A922" s="2" t="s">
        <v>921</v>
      </c>
    </row>
    <row r="923" spans="1:1" ht="13" x14ac:dyDescent="0.15">
      <c r="A923" s="2" t="s">
        <v>922</v>
      </c>
    </row>
    <row r="924" spans="1:1" ht="13" x14ac:dyDescent="0.15">
      <c r="A924" s="2" t="s">
        <v>923</v>
      </c>
    </row>
    <row r="925" spans="1:1" ht="13" x14ac:dyDescent="0.15">
      <c r="A925" s="2" t="s">
        <v>924</v>
      </c>
    </row>
    <row r="926" spans="1:1" ht="13" x14ac:dyDescent="0.15">
      <c r="A926" s="2" t="s">
        <v>925</v>
      </c>
    </row>
    <row r="927" spans="1:1" ht="13" x14ac:dyDescent="0.15">
      <c r="A927" s="2" t="s">
        <v>926</v>
      </c>
    </row>
    <row r="928" spans="1:1" ht="13" x14ac:dyDescent="0.15">
      <c r="A928" s="2" t="s">
        <v>927</v>
      </c>
    </row>
    <row r="929" spans="1:1" ht="13" x14ac:dyDescent="0.15">
      <c r="A929" s="2" t="s">
        <v>928</v>
      </c>
    </row>
    <row r="930" spans="1:1" ht="13" x14ac:dyDescent="0.15">
      <c r="A930" s="2" t="s">
        <v>929</v>
      </c>
    </row>
    <row r="931" spans="1:1" ht="13" x14ac:dyDescent="0.15">
      <c r="A931" s="2" t="s">
        <v>930</v>
      </c>
    </row>
    <row r="932" spans="1:1" ht="13" x14ac:dyDescent="0.15">
      <c r="A932" s="2" t="s">
        <v>931</v>
      </c>
    </row>
    <row r="933" spans="1:1" ht="13" x14ac:dyDescent="0.15">
      <c r="A933" s="2" t="s">
        <v>932</v>
      </c>
    </row>
    <row r="934" spans="1:1" ht="13" x14ac:dyDescent="0.15">
      <c r="A934" s="2" t="s">
        <v>933</v>
      </c>
    </row>
    <row r="935" spans="1:1" ht="13" x14ac:dyDescent="0.15">
      <c r="A935" s="2" t="s">
        <v>934</v>
      </c>
    </row>
    <row r="936" spans="1:1" ht="13" x14ac:dyDescent="0.15">
      <c r="A936" s="2" t="s">
        <v>935</v>
      </c>
    </row>
    <row r="937" spans="1:1" ht="13" x14ac:dyDescent="0.15">
      <c r="A937" s="2" t="s">
        <v>936</v>
      </c>
    </row>
    <row r="938" spans="1:1" ht="13" x14ac:dyDescent="0.15">
      <c r="A938" s="2" t="s">
        <v>937</v>
      </c>
    </row>
    <row r="939" spans="1:1" ht="13" x14ac:dyDescent="0.15">
      <c r="A939" s="2" t="s">
        <v>938</v>
      </c>
    </row>
    <row r="940" spans="1:1" ht="13" x14ac:dyDescent="0.15">
      <c r="A940" s="2" t="s">
        <v>939</v>
      </c>
    </row>
    <row r="941" spans="1:1" ht="13" x14ac:dyDescent="0.15">
      <c r="A941" s="2" t="s">
        <v>940</v>
      </c>
    </row>
    <row r="942" spans="1:1" ht="13" x14ac:dyDescent="0.15">
      <c r="A942" s="2" t="s">
        <v>941</v>
      </c>
    </row>
    <row r="943" spans="1:1" ht="13" x14ac:dyDescent="0.15">
      <c r="A943" s="2" t="s">
        <v>942</v>
      </c>
    </row>
    <row r="944" spans="1:1" ht="13" x14ac:dyDescent="0.15">
      <c r="A944" s="2" t="s">
        <v>943</v>
      </c>
    </row>
    <row r="945" spans="1:1" ht="13" x14ac:dyDescent="0.15">
      <c r="A945" s="2" t="s">
        <v>944</v>
      </c>
    </row>
    <row r="946" spans="1:1" ht="13" x14ac:dyDescent="0.15">
      <c r="A946" s="2" t="s">
        <v>945</v>
      </c>
    </row>
    <row r="947" spans="1:1" ht="13" x14ac:dyDescent="0.15">
      <c r="A947" s="2" t="s">
        <v>946</v>
      </c>
    </row>
    <row r="948" spans="1:1" ht="13" x14ac:dyDescent="0.15">
      <c r="A948" s="2" t="s">
        <v>947</v>
      </c>
    </row>
    <row r="949" spans="1:1" ht="13" x14ac:dyDescent="0.15">
      <c r="A949" s="2" t="s">
        <v>948</v>
      </c>
    </row>
    <row r="950" spans="1:1" ht="13" x14ac:dyDescent="0.15">
      <c r="A950" s="2" t="s">
        <v>949</v>
      </c>
    </row>
    <row r="951" spans="1:1" ht="13" x14ac:dyDescent="0.15">
      <c r="A951" s="2" t="s">
        <v>950</v>
      </c>
    </row>
    <row r="952" spans="1:1" ht="13" x14ac:dyDescent="0.15">
      <c r="A952" s="2" t="s">
        <v>951</v>
      </c>
    </row>
    <row r="953" spans="1:1" ht="13" x14ac:dyDescent="0.15">
      <c r="A953" s="2" t="s">
        <v>953</v>
      </c>
    </row>
    <row r="954" spans="1:1" ht="13" x14ac:dyDescent="0.15">
      <c r="A954" s="2" t="s">
        <v>954</v>
      </c>
    </row>
    <row r="955" spans="1:1" ht="13" x14ac:dyDescent="0.15">
      <c r="A955" s="2" t="s">
        <v>955</v>
      </c>
    </row>
    <row r="956" spans="1:1" ht="13" x14ac:dyDescent="0.15">
      <c r="A956" s="2" t="s">
        <v>956</v>
      </c>
    </row>
    <row r="957" spans="1:1" ht="13" x14ac:dyDescent="0.15">
      <c r="A957" s="2" t="s">
        <v>957</v>
      </c>
    </row>
    <row r="958" spans="1:1" ht="13" x14ac:dyDescent="0.15">
      <c r="A958" s="2" t="s">
        <v>958</v>
      </c>
    </row>
    <row r="959" spans="1:1" ht="13" x14ac:dyDescent="0.15">
      <c r="A959" s="2" t="s">
        <v>959</v>
      </c>
    </row>
    <row r="960" spans="1:1" ht="13" x14ac:dyDescent="0.15">
      <c r="A960" s="2" t="s">
        <v>960</v>
      </c>
    </row>
    <row r="961" spans="1:1" ht="13" x14ac:dyDescent="0.15">
      <c r="A961" s="2" t="s">
        <v>961</v>
      </c>
    </row>
    <row r="962" spans="1:1" ht="13" x14ac:dyDescent="0.15">
      <c r="A962" s="2" t="s">
        <v>962</v>
      </c>
    </row>
    <row r="963" spans="1:1" ht="13" x14ac:dyDescent="0.15">
      <c r="A963" s="2" t="s">
        <v>963</v>
      </c>
    </row>
    <row r="964" spans="1:1" ht="13" x14ac:dyDescent="0.15">
      <c r="A964" s="2" t="s">
        <v>964</v>
      </c>
    </row>
    <row r="965" spans="1:1" ht="13" x14ac:dyDescent="0.15">
      <c r="A965" s="2" t="s">
        <v>965</v>
      </c>
    </row>
    <row r="966" spans="1:1" ht="13" x14ac:dyDescent="0.15">
      <c r="A966" s="2" t="s">
        <v>966</v>
      </c>
    </row>
    <row r="967" spans="1:1" ht="13" x14ac:dyDescent="0.15">
      <c r="A967" s="2" t="s">
        <v>967</v>
      </c>
    </row>
    <row r="968" spans="1:1" ht="13" x14ac:dyDescent="0.15">
      <c r="A968" s="2" t="s">
        <v>968</v>
      </c>
    </row>
    <row r="969" spans="1:1" ht="13" x14ac:dyDescent="0.15">
      <c r="A969" s="2" t="s">
        <v>969</v>
      </c>
    </row>
    <row r="970" spans="1:1" ht="13" x14ac:dyDescent="0.15">
      <c r="A970" s="2" t="s">
        <v>970</v>
      </c>
    </row>
    <row r="971" spans="1:1" ht="13" x14ac:dyDescent="0.15">
      <c r="A971" s="2" t="s">
        <v>971</v>
      </c>
    </row>
    <row r="972" spans="1:1" ht="13" x14ac:dyDescent="0.15">
      <c r="A972" s="2" t="s">
        <v>972</v>
      </c>
    </row>
    <row r="973" spans="1:1" ht="13" x14ac:dyDescent="0.15">
      <c r="A973" s="2" t="s">
        <v>973</v>
      </c>
    </row>
    <row r="974" spans="1:1" ht="13" x14ac:dyDescent="0.15">
      <c r="A974" s="2" t="s">
        <v>974</v>
      </c>
    </row>
    <row r="975" spans="1:1" ht="13" x14ac:dyDescent="0.15">
      <c r="A975" s="2" t="s">
        <v>975</v>
      </c>
    </row>
    <row r="976" spans="1:1" ht="13" x14ac:dyDescent="0.15">
      <c r="A976" s="2" t="s">
        <v>976</v>
      </c>
    </row>
    <row r="977" spans="1:1" ht="13" x14ac:dyDescent="0.15">
      <c r="A977" s="2" t="s">
        <v>977</v>
      </c>
    </row>
    <row r="978" spans="1:1" ht="13" x14ac:dyDescent="0.15">
      <c r="A978" s="2" t="s">
        <v>978</v>
      </c>
    </row>
    <row r="979" spans="1:1" ht="13" x14ac:dyDescent="0.15">
      <c r="A979" s="2" t="s">
        <v>979</v>
      </c>
    </row>
    <row r="980" spans="1:1" ht="13" x14ac:dyDescent="0.15">
      <c r="A980" s="2" t="s">
        <v>980</v>
      </c>
    </row>
    <row r="981" spans="1:1" ht="13" x14ac:dyDescent="0.15">
      <c r="A981" s="2" t="s">
        <v>981</v>
      </c>
    </row>
    <row r="982" spans="1:1" ht="13" x14ac:dyDescent="0.15">
      <c r="A982" s="2" t="s">
        <v>982</v>
      </c>
    </row>
    <row r="983" spans="1:1" ht="13" x14ac:dyDescent="0.15">
      <c r="A983" s="2" t="s">
        <v>983</v>
      </c>
    </row>
    <row r="984" spans="1:1" ht="13" x14ac:dyDescent="0.15">
      <c r="A984" s="2" t="s">
        <v>984</v>
      </c>
    </row>
    <row r="985" spans="1:1" ht="13" x14ac:dyDescent="0.15">
      <c r="A985" s="2" t="s">
        <v>985</v>
      </c>
    </row>
    <row r="986" spans="1:1" ht="13" x14ac:dyDescent="0.15">
      <c r="A986" s="2" t="s">
        <v>986</v>
      </c>
    </row>
    <row r="987" spans="1:1" ht="13" x14ac:dyDescent="0.15">
      <c r="A987" s="2" t="s">
        <v>987</v>
      </c>
    </row>
    <row r="988" spans="1:1" ht="13" x14ac:dyDescent="0.15">
      <c r="A988" s="2" t="s">
        <v>988</v>
      </c>
    </row>
    <row r="989" spans="1:1" ht="13" x14ac:dyDescent="0.15">
      <c r="A989" s="2" t="s">
        <v>989</v>
      </c>
    </row>
    <row r="990" spans="1:1" ht="13" x14ac:dyDescent="0.15">
      <c r="A990" s="2" t="s">
        <v>990</v>
      </c>
    </row>
    <row r="991" spans="1:1" ht="13" x14ac:dyDescent="0.15">
      <c r="A991" s="2" t="s">
        <v>991</v>
      </c>
    </row>
    <row r="992" spans="1:1" ht="13" x14ac:dyDescent="0.15">
      <c r="A992" s="2" t="s">
        <v>992</v>
      </c>
    </row>
    <row r="993" spans="1:1" ht="13" x14ac:dyDescent="0.15">
      <c r="A993" s="2" t="s">
        <v>993</v>
      </c>
    </row>
    <row r="994" spans="1:1" ht="13" x14ac:dyDescent="0.15">
      <c r="A994" s="2" t="s">
        <v>994</v>
      </c>
    </row>
    <row r="995" spans="1:1" ht="13" x14ac:dyDescent="0.15">
      <c r="A995" s="2" t="s">
        <v>995</v>
      </c>
    </row>
    <row r="996" spans="1:1" ht="13" x14ac:dyDescent="0.15">
      <c r="A996" s="2" t="s">
        <v>996</v>
      </c>
    </row>
    <row r="997" spans="1:1" ht="13" x14ac:dyDescent="0.15">
      <c r="A997" s="2" t="s">
        <v>997</v>
      </c>
    </row>
    <row r="998" spans="1:1" ht="13" x14ac:dyDescent="0.15">
      <c r="A998" s="2" t="s">
        <v>998</v>
      </c>
    </row>
    <row r="999" spans="1:1" ht="13" x14ac:dyDescent="0.15">
      <c r="A999" s="2" t="s">
        <v>999</v>
      </c>
    </row>
    <row r="1000" spans="1:1" ht="13" x14ac:dyDescent="0.15">
      <c r="A1000" s="2" t="s">
        <v>1000</v>
      </c>
    </row>
    <row r="1001" spans="1:1" ht="13" x14ac:dyDescent="0.15">
      <c r="A1001" s="2" t="s">
        <v>1001</v>
      </c>
    </row>
    <row r="1002" spans="1:1" ht="13" x14ac:dyDescent="0.15">
      <c r="A1002" s="2" t="s">
        <v>1002</v>
      </c>
    </row>
    <row r="1003" spans="1:1" ht="13" x14ac:dyDescent="0.15">
      <c r="A1003" s="2" t="s">
        <v>1003</v>
      </c>
    </row>
    <row r="1004" spans="1:1" ht="13" x14ac:dyDescent="0.15">
      <c r="A1004" s="2" t="s">
        <v>1004</v>
      </c>
    </row>
    <row r="1005" spans="1:1" ht="13" x14ac:dyDescent="0.15">
      <c r="A1005" s="2" t="s">
        <v>1005</v>
      </c>
    </row>
    <row r="1006" spans="1:1" ht="13" x14ac:dyDescent="0.15">
      <c r="A1006" s="2" t="s">
        <v>1006</v>
      </c>
    </row>
    <row r="1007" spans="1:1" ht="13" x14ac:dyDescent="0.15">
      <c r="A1007" s="2" t="s">
        <v>1007</v>
      </c>
    </row>
    <row r="1008" spans="1:1" ht="13" x14ac:dyDescent="0.15">
      <c r="A1008" s="2" t="s">
        <v>1008</v>
      </c>
    </row>
    <row r="1009" spans="1:1" ht="13" x14ac:dyDescent="0.15">
      <c r="A1009" s="2" t="s">
        <v>1009</v>
      </c>
    </row>
    <row r="1010" spans="1:1" ht="13" x14ac:dyDescent="0.15">
      <c r="A1010" s="2" t="s">
        <v>1010</v>
      </c>
    </row>
    <row r="1011" spans="1:1" ht="13" x14ac:dyDescent="0.15">
      <c r="A1011" s="2" t="s">
        <v>1011</v>
      </c>
    </row>
    <row r="1012" spans="1:1" ht="13" x14ac:dyDescent="0.15">
      <c r="A1012" s="2" t="s">
        <v>1012</v>
      </c>
    </row>
    <row r="1013" spans="1:1" ht="13" x14ac:dyDescent="0.15">
      <c r="A1013" s="2" t="s">
        <v>1013</v>
      </c>
    </row>
    <row r="1014" spans="1:1" ht="13" x14ac:dyDescent="0.15">
      <c r="A1014" s="2" t="s">
        <v>1014</v>
      </c>
    </row>
    <row r="1015" spans="1:1" ht="13" x14ac:dyDescent="0.15">
      <c r="A1015" s="2" t="s">
        <v>1015</v>
      </c>
    </row>
    <row r="1016" spans="1:1" ht="13" x14ac:dyDescent="0.15">
      <c r="A1016" s="2" t="s">
        <v>1016</v>
      </c>
    </row>
    <row r="1017" spans="1:1" ht="13" x14ac:dyDescent="0.15">
      <c r="A1017" s="2" t="s">
        <v>1017</v>
      </c>
    </row>
    <row r="1018" spans="1:1" ht="13" x14ac:dyDescent="0.15">
      <c r="A1018" s="2" t="s">
        <v>1018</v>
      </c>
    </row>
    <row r="1019" spans="1:1" ht="13" x14ac:dyDescent="0.15">
      <c r="A1019" s="2" t="s">
        <v>1019</v>
      </c>
    </row>
    <row r="1020" spans="1:1" ht="13" x14ac:dyDescent="0.15">
      <c r="A1020" s="2" t="s">
        <v>1020</v>
      </c>
    </row>
    <row r="1021" spans="1:1" ht="13" x14ac:dyDescent="0.15">
      <c r="A1021" s="2" t="s">
        <v>1021</v>
      </c>
    </row>
    <row r="1022" spans="1:1" ht="13" x14ac:dyDescent="0.15">
      <c r="A1022" s="2" t="s">
        <v>1022</v>
      </c>
    </row>
    <row r="1023" spans="1:1" ht="13" x14ac:dyDescent="0.15">
      <c r="A1023" s="2" t="s">
        <v>1023</v>
      </c>
    </row>
    <row r="1024" spans="1:1" ht="13" x14ac:dyDescent="0.15">
      <c r="A1024" s="2" t="s">
        <v>1024</v>
      </c>
    </row>
    <row r="1025" spans="1:1" ht="13" x14ac:dyDescent="0.15">
      <c r="A1025" s="2" t="s">
        <v>1025</v>
      </c>
    </row>
    <row r="1026" spans="1:1" ht="13" x14ac:dyDescent="0.15">
      <c r="A1026" s="2" t="s">
        <v>1026</v>
      </c>
    </row>
    <row r="1027" spans="1:1" ht="13" x14ac:dyDescent="0.15">
      <c r="A1027" s="2" t="s">
        <v>1027</v>
      </c>
    </row>
    <row r="1028" spans="1:1" ht="13" x14ac:dyDescent="0.15">
      <c r="A1028" s="2" t="s">
        <v>1028</v>
      </c>
    </row>
    <row r="1029" spans="1:1" ht="13" x14ac:dyDescent="0.15">
      <c r="A1029" s="2" t="s">
        <v>1029</v>
      </c>
    </row>
    <row r="1030" spans="1:1" ht="13" x14ac:dyDescent="0.15">
      <c r="A1030" s="2" t="s">
        <v>1030</v>
      </c>
    </row>
    <row r="1031" spans="1:1" ht="13" x14ac:dyDescent="0.15">
      <c r="A1031" s="2" t="s">
        <v>1031</v>
      </c>
    </row>
    <row r="1032" spans="1:1" ht="13" x14ac:dyDescent="0.15">
      <c r="A1032" s="2" t="s">
        <v>1032</v>
      </c>
    </row>
    <row r="1033" spans="1:1" ht="13" x14ac:dyDescent="0.15">
      <c r="A1033" s="2" t="s">
        <v>1033</v>
      </c>
    </row>
    <row r="1034" spans="1:1" ht="13" x14ac:dyDescent="0.15">
      <c r="A1034" s="2" t="s">
        <v>1034</v>
      </c>
    </row>
    <row r="1035" spans="1:1" ht="13" x14ac:dyDescent="0.15">
      <c r="A1035" s="2" t="s">
        <v>1035</v>
      </c>
    </row>
    <row r="1036" spans="1:1" ht="13" x14ac:dyDescent="0.15">
      <c r="A1036" s="2" t="s">
        <v>1036</v>
      </c>
    </row>
    <row r="1037" spans="1:1" ht="13" x14ac:dyDescent="0.15">
      <c r="A1037" s="2" t="s">
        <v>1037</v>
      </c>
    </row>
    <row r="1038" spans="1:1" ht="13" x14ac:dyDescent="0.15">
      <c r="A1038" s="2" t="s">
        <v>1038</v>
      </c>
    </row>
    <row r="1039" spans="1:1" ht="13" x14ac:dyDescent="0.15">
      <c r="A1039" s="2" t="s">
        <v>1039</v>
      </c>
    </row>
    <row r="1040" spans="1:1" ht="13" x14ac:dyDescent="0.15">
      <c r="A1040" s="2" t="s">
        <v>1040</v>
      </c>
    </row>
    <row r="1041" spans="1:1" ht="13" x14ac:dyDescent="0.15">
      <c r="A1041" s="2" t="s">
        <v>1041</v>
      </c>
    </row>
    <row r="1042" spans="1:1" ht="13" x14ac:dyDescent="0.15">
      <c r="A1042" s="2" t="s">
        <v>1042</v>
      </c>
    </row>
    <row r="1043" spans="1:1" ht="13" x14ac:dyDescent="0.15">
      <c r="A1043" s="2" t="s">
        <v>1043</v>
      </c>
    </row>
    <row r="1044" spans="1:1" ht="13" x14ac:dyDescent="0.15">
      <c r="A1044" s="2" t="s">
        <v>1044</v>
      </c>
    </row>
    <row r="1045" spans="1:1" ht="13" x14ac:dyDescent="0.15">
      <c r="A1045" s="2" t="s">
        <v>1045</v>
      </c>
    </row>
    <row r="1046" spans="1:1" ht="13" x14ac:dyDescent="0.15">
      <c r="A1046" s="2" t="s">
        <v>1046</v>
      </c>
    </row>
    <row r="1047" spans="1:1" ht="13" x14ac:dyDescent="0.15">
      <c r="A1047" s="2" t="s">
        <v>1047</v>
      </c>
    </row>
    <row r="1048" spans="1:1" ht="13" x14ac:dyDescent="0.15">
      <c r="A1048" s="2" t="s">
        <v>1048</v>
      </c>
    </row>
    <row r="1049" spans="1:1" ht="13" x14ac:dyDescent="0.15">
      <c r="A1049" s="2" t="s">
        <v>1049</v>
      </c>
    </row>
    <row r="1050" spans="1:1" ht="13" x14ac:dyDescent="0.15">
      <c r="A1050" s="2" t="s">
        <v>1050</v>
      </c>
    </row>
    <row r="1051" spans="1:1" ht="13" x14ac:dyDescent="0.15">
      <c r="A1051" s="2" t="s">
        <v>1051</v>
      </c>
    </row>
    <row r="1052" spans="1:1" ht="13" x14ac:dyDescent="0.15">
      <c r="A1052" s="2" t="s">
        <v>1052</v>
      </c>
    </row>
    <row r="1053" spans="1:1" ht="13" x14ac:dyDescent="0.15">
      <c r="A1053" s="2" t="s">
        <v>1053</v>
      </c>
    </row>
    <row r="1054" spans="1:1" ht="13" x14ac:dyDescent="0.15">
      <c r="A1054" s="2" t="s">
        <v>1054</v>
      </c>
    </row>
    <row r="1055" spans="1:1" ht="13" x14ac:dyDescent="0.15">
      <c r="A1055" s="2" t="s">
        <v>1055</v>
      </c>
    </row>
    <row r="1056" spans="1:1" ht="13" x14ac:dyDescent="0.15">
      <c r="A1056" s="2" t="s">
        <v>1056</v>
      </c>
    </row>
    <row r="1057" spans="1:1" ht="13" x14ac:dyDescent="0.15">
      <c r="A1057" s="2" t="s">
        <v>1057</v>
      </c>
    </row>
    <row r="1058" spans="1:1" ht="13" x14ac:dyDescent="0.15">
      <c r="A1058" s="2" t="s">
        <v>1058</v>
      </c>
    </row>
    <row r="1059" spans="1:1" ht="13" x14ac:dyDescent="0.15">
      <c r="A1059" s="2" t="s">
        <v>1059</v>
      </c>
    </row>
    <row r="1060" spans="1:1" ht="13" x14ac:dyDescent="0.15">
      <c r="A1060" s="2" t="s">
        <v>1060</v>
      </c>
    </row>
    <row r="1061" spans="1:1" ht="13" x14ac:dyDescent="0.15">
      <c r="A1061" s="2" t="s">
        <v>1061</v>
      </c>
    </row>
    <row r="1062" spans="1:1" ht="13" x14ac:dyDescent="0.15">
      <c r="A1062" s="2" t="s">
        <v>1062</v>
      </c>
    </row>
    <row r="1063" spans="1:1" ht="13" x14ac:dyDescent="0.15">
      <c r="A1063" s="2" t="s">
        <v>1063</v>
      </c>
    </row>
    <row r="1064" spans="1:1" ht="13" x14ac:dyDescent="0.15">
      <c r="A1064" s="2" t="s">
        <v>1064</v>
      </c>
    </row>
    <row r="1065" spans="1:1" ht="13" x14ac:dyDescent="0.15">
      <c r="A1065" s="2" t="s">
        <v>1065</v>
      </c>
    </row>
    <row r="1066" spans="1:1" ht="13" x14ac:dyDescent="0.15">
      <c r="A1066" s="2" t="s">
        <v>1066</v>
      </c>
    </row>
    <row r="1067" spans="1:1" ht="13" x14ac:dyDescent="0.15">
      <c r="A1067" s="2" t="s">
        <v>1067</v>
      </c>
    </row>
    <row r="1068" spans="1:1" ht="13" x14ac:dyDescent="0.15">
      <c r="A1068" s="2" t="s">
        <v>1068</v>
      </c>
    </row>
    <row r="1069" spans="1:1" ht="13" x14ac:dyDescent="0.15">
      <c r="A1069" s="2" t="s">
        <v>1069</v>
      </c>
    </row>
    <row r="1070" spans="1:1" ht="13" x14ac:dyDescent="0.15">
      <c r="A1070" s="2" t="s">
        <v>1070</v>
      </c>
    </row>
    <row r="1071" spans="1:1" ht="13" x14ac:dyDescent="0.15">
      <c r="A1071" s="2" t="s">
        <v>1071</v>
      </c>
    </row>
    <row r="1072" spans="1:1" ht="13" x14ac:dyDescent="0.15">
      <c r="A1072" s="2" t="s">
        <v>1072</v>
      </c>
    </row>
    <row r="1073" spans="1:1" ht="13" x14ac:dyDescent="0.15">
      <c r="A1073" s="2" t="s">
        <v>1073</v>
      </c>
    </row>
    <row r="1074" spans="1:1" ht="13" x14ac:dyDescent="0.15">
      <c r="A1074" s="2" t="s">
        <v>1074</v>
      </c>
    </row>
    <row r="1075" spans="1:1" ht="13" x14ac:dyDescent="0.15">
      <c r="A1075" s="2" t="s">
        <v>1075</v>
      </c>
    </row>
    <row r="1076" spans="1:1" ht="13" x14ac:dyDescent="0.15">
      <c r="A1076" s="2" t="s">
        <v>1076</v>
      </c>
    </row>
    <row r="1077" spans="1:1" ht="13" x14ac:dyDescent="0.15">
      <c r="A1077" s="2" t="s">
        <v>1077</v>
      </c>
    </row>
    <row r="1078" spans="1:1" ht="13" x14ac:dyDescent="0.15">
      <c r="A1078" s="2" t="s">
        <v>1078</v>
      </c>
    </row>
    <row r="1079" spans="1:1" ht="13" x14ac:dyDescent="0.15">
      <c r="A1079" s="2" t="s">
        <v>1079</v>
      </c>
    </row>
    <row r="1080" spans="1:1" ht="13" x14ac:dyDescent="0.15">
      <c r="A1080" s="2" t="s">
        <v>1080</v>
      </c>
    </row>
    <row r="1081" spans="1:1" ht="13" x14ac:dyDescent="0.15">
      <c r="A1081" s="2" t="s">
        <v>1081</v>
      </c>
    </row>
    <row r="1082" spans="1:1" ht="13" x14ac:dyDescent="0.15">
      <c r="A1082" s="2" t="s">
        <v>1082</v>
      </c>
    </row>
    <row r="1083" spans="1:1" ht="13" x14ac:dyDescent="0.15">
      <c r="A1083" s="2" t="s">
        <v>1083</v>
      </c>
    </row>
    <row r="1084" spans="1:1" ht="13" x14ac:dyDescent="0.15">
      <c r="A1084" s="2" t="s">
        <v>1084</v>
      </c>
    </row>
    <row r="1085" spans="1:1" ht="13" x14ac:dyDescent="0.15">
      <c r="A1085" s="2" t="s">
        <v>1085</v>
      </c>
    </row>
    <row r="1086" spans="1:1" ht="13" x14ac:dyDescent="0.15">
      <c r="A1086" s="2" t="s">
        <v>1086</v>
      </c>
    </row>
    <row r="1087" spans="1:1" ht="13" x14ac:dyDescent="0.15">
      <c r="A1087" s="2" t="s">
        <v>1087</v>
      </c>
    </row>
    <row r="1088" spans="1:1" ht="13" x14ac:dyDescent="0.15">
      <c r="A1088" s="2" t="s">
        <v>1088</v>
      </c>
    </row>
    <row r="1089" spans="1:1" ht="13" x14ac:dyDescent="0.15">
      <c r="A1089" s="2" t="s">
        <v>1089</v>
      </c>
    </row>
    <row r="1090" spans="1:1" ht="13" x14ac:dyDescent="0.15">
      <c r="A1090" s="2" t="s">
        <v>1090</v>
      </c>
    </row>
    <row r="1091" spans="1:1" ht="13" x14ac:dyDescent="0.15">
      <c r="A1091" s="2" t="s">
        <v>1091</v>
      </c>
    </row>
    <row r="1092" spans="1:1" ht="13" x14ac:dyDescent="0.15">
      <c r="A1092" s="2" t="s">
        <v>1092</v>
      </c>
    </row>
    <row r="1093" spans="1:1" ht="13" x14ac:dyDescent="0.15">
      <c r="A1093" s="2" t="s">
        <v>1093</v>
      </c>
    </row>
    <row r="1094" spans="1:1" ht="13" x14ac:dyDescent="0.15">
      <c r="A1094" s="2" t="s">
        <v>1094</v>
      </c>
    </row>
    <row r="1095" spans="1:1" ht="13" x14ac:dyDescent="0.15">
      <c r="A1095" s="2" t="s">
        <v>1095</v>
      </c>
    </row>
    <row r="1096" spans="1:1" ht="13" x14ac:dyDescent="0.15">
      <c r="A1096" s="2" t="s">
        <v>1096</v>
      </c>
    </row>
    <row r="1097" spans="1:1" ht="13" x14ac:dyDescent="0.15">
      <c r="A1097" s="2" t="s">
        <v>1097</v>
      </c>
    </row>
    <row r="1098" spans="1:1" ht="13" x14ac:dyDescent="0.15">
      <c r="A1098" s="2" t="s">
        <v>1098</v>
      </c>
    </row>
    <row r="1099" spans="1:1" ht="13" x14ac:dyDescent="0.15">
      <c r="A1099" s="2" t="s">
        <v>1099</v>
      </c>
    </row>
    <row r="1100" spans="1:1" ht="13" x14ac:dyDescent="0.15">
      <c r="A1100" s="2" t="s">
        <v>1100</v>
      </c>
    </row>
    <row r="1101" spans="1:1" ht="13" x14ac:dyDescent="0.15">
      <c r="A1101" s="2" t="s">
        <v>1101</v>
      </c>
    </row>
    <row r="1102" spans="1:1" ht="13" x14ac:dyDescent="0.15">
      <c r="A1102" s="2" t="s">
        <v>1102</v>
      </c>
    </row>
    <row r="1103" spans="1:1" ht="13" x14ac:dyDescent="0.15">
      <c r="A1103" s="2" t="s">
        <v>1103</v>
      </c>
    </row>
    <row r="1104" spans="1:1" ht="13" x14ac:dyDescent="0.15">
      <c r="A1104" s="2" t="s">
        <v>1104</v>
      </c>
    </row>
    <row r="1105" spans="1:1" ht="13" x14ac:dyDescent="0.15">
      <c r="A1105" s="2" t="s">
        <v>1105</v>
      </c>
    </row>
    <row r="1106" spans="1:1" ht="13" x14ac:dyDescent="0.15">
      <c r="A1106" s="2" t="s">
        <v>1106</v>
      </c>
    </row>
    <row r="1107" spans="1:1" ht="13" x14ac:dyDescent="0.15">
      <c r="A1107" s="2" t="s">
        <v>1107</v>
      </c>
    </row>
    <row r="1108" spans="1:1" ht="13" x14ac:dyDescent="0.15">
      <c r="A1108" s="2" t="s">
        <v>1108</v>
      </c>
    </row>
    <row r="1109" spans="1:1" ht="13" x14ac:dyDescent="0.15">
      <c r="A1109" s="2" t="s">
        <v>1109</v>
      </c>
    </row>
    <row r="1110" spans="1:1" ht="13" x14ac:dyDescent="0.15">
      <c r="A1110" s="2" t="s">
        <v>1110</v>
      </c>
    </row>
    <row r="1111" spans="1:1" ht="13" x14ac:dyDescent="0.15">
      <c r="A1111" s="2" t="s">
        <v>1111</v>
      </c>
    </row>
    <row r="1112" spans="1:1" ht="13" x14ac:dyDescent="0.15">
      <c r="A1112" s="2" t="s">
        <v>1112</v>
      </c>
    </row>
    <row r="1113" spans="1:1" ht="13" x14ac:dyDescent="0.15">
      <c r="A1113" s="2" t="s">
        <v>1113</v>
      </c>
    </row>
    <row r="1114" spans="1:1" ht="13" x14ac:dyDescent="0.15">
      <c r="A1114" s="2" t="s">
        <v>1114</v>
      </c>
    </row>
    <row r="1115" spans="1:1" ht="13" x14ac:dyDescent="0.15">
      <c r="A1115" s="2" t="s">
        <v>1115</v>
      </c>
    </row>
    <row r="1116" spans="1:1" ht="13" x14ac:dyDescent="0.15">
      <c r="A1116" s="2" t="s">
        <v>1116</v>
      </c>
    </row>
    <row r="1117" spans="1:1" ht="13" x14ac:dyDescent="0.15">
      <c r="A1117" s="2" t="s">
        <v>1117</v>
      </c>
    </row>
    <row r="1118" spans="1:1" ht="13" x14ac:dyDescent="0.15">
      <c r="A1118" s="2" t="s">
        <v>1118</v>
      </c>
    </row>
    <row r="1119" spans="1:1" ht="13" x14ac:dyDescent="0.15">
      <c r="A1119" s="2" t="s">
        <v>1119</v>
      </c>
    </row>
    <row r="1120" spans="1:1" ht="13" x14ac:dyDescent="0.15">
      <c r="A1120" s="2" t="s">
        <v>1120</v>
      </c>
    </row>
    <row r="1121" spans="1:1" ht="13" x14ac:dyDescent="0.15">
      <c r="A1121" s="2" t="s">
        <v>1121</v>
      </c>
    </row>
    <row r="1122" spans="1:1" ht="13" x14ac:dyDescent="0.15">
      <c r="A1122" s="2" t="s">
        <v>1122</v>
      </c>
    </row>
    <row r="1123" spans="1:1" ht="13" x14ac:dyDescent="0.15">
      <c r="A1123" s="2" t="s">
        <v>1123</v>
      </c>
    </row>
    <row r="1124" spans="1:1" ht="13" x14ac:dyDescent="0.15">
      <c r="A1124" s="2" t="s">
        <v>1124</v>
      </c>
    </row>
    <row r="1125" spans="1:1" ht="13" x14ac:dyDescent="0.15">
      <c r="A1125" s="2" t="s">
        <v>1125</v>
      </c>
    </row>
    <row r="1126" spans="1:1" ht="13" x14ac:dyDescent="0.15">
      <c r="A1126" s="2" t="s">
        <v>1126</v>
      </c>
    </row>
    <row r="1127" spans="1:1" ht="13" x14ac:dyDescent="0.15">
      <c r="A1127" s="2" t="s">
        <v>1127</v>
      </c>
    </row>
    <row r="1128" spans="1:1" ht="13" x14ac:dyDescent="0.15">
      <c r="A1128" s="2" t="s">
        <v>1128</v>
      </c>
    </row>
    <row r="1129" spans="1:1" ht="13" x14ac:dyDescent="0.15">
      <c r="A1129" s="2" t="s">
        <v>1129</v>
      </c>
    </row>
    <row r="1130" spans="1:1" ht="13" x14ac:dyDescent="0.15">
      <c r="A1130" s="2" t="s">
        <v>1130</v>
      </c>
    </row>
    <row r="1131" spans="1:1" ht="13" x14ac:dyDescent="0.15">
      <c r="A1131" s="2" t="s">
        <v>1131</v>
      </c>
    </row>
    <row r="1132" spans="1:1" ht="13" x14ac:dyDescent="0.15">
      <c r="A1132" s="2" t="s">
        <v>1132</v>
      </c>
    </row>
    <row r="1133" spans="1:1" ht="13" x14ac:dyDescent="0.15">
      <c r="A1133" s="2" t="s">
        <v>1133</v>
      </c>
    </row>
    <row r="1134" spans="1:1" ht="13" x14ac:dyDescent="0.15">
      <c r="A1134" s="2" t="s">
        <v>1134</v>
      </c>
    </row>
    <row r="1135" spans="1:1" ht="13" x14ac:dyDescent="0.15">
      <c r="A1135" s="2" t="s">
        <v>1135</v>
      </c>
    </row>
    <row r="1136" spans="1:1" ht="13" x14ac:dyDescent="0.15">
      <c r="A1136" s="2" t="s">
        <v>1136</v>
      </c>
    </row>
    <row r="1137" spans="1:1" ht="13" x14ac:dyDescent="0.15">
      <c r="A1137" s="2" t="s">
        <v>1137</v>
      </c>
    </row>
    <row r="1138" spans="1:1" ht="13" x14ac:dyDescent="0.15">
      <c r="A1138" s="2" t="s">
        <v>1138</v>
      </c>
    </row>
    <row r="1139" spans="1:1" ht="13" x14ac:dyDescent="0.15">
      <c r="A1139" s="2" t="s">
        <v>1139</v>
      </c>
    </row>
    <row r="1140" spans="1:1" ht="13" x14ac:dyDescent="0.15">
      <c r="A1140" s="2" t="s">
        <v>1140</v>
      </c>
    </row>
    <row r="1141" spans="1:1" ht="13" x14ac:dyDescent="0.15">
      <c r="A1141" s="2" t="s">
        <v>1141</v>
      </c>
    </row>
    <row r="1142" spans="1:1" ht="13" x14ac:dyDescent="0.15">
      <c r="A1142" s="2" t="s">
        <v>1142</v>
      </c>
    </row>
    <row r="1143" spans="1:1" ht="13" x14ac:dyDescent="0.15">
      <c r="A1143" s="2" t="s">
        <v>1143</v>
      </c>
    </row>
    <row r="1144" spans="1:1" ht="13" x14ac:dyDescent="0.15">
      <c r="A1144" s="2" t="s">
        <v>1144</v>
      </c>
    </row>
    <row r="1145" spans="1:1" ht="13" x14ac:dyDescent="0.15">
      <c r="A1145" s="2" t="s">
        <v>1145</v>
      </c>
    </row>
    <row r="1146" spans="1:1" ht="13" x14ac:dyDescent="0.15">
      <c r="A1146" s="2" t="s">
        <v>1146</v>
      </c>
    </row>
    <row r="1147" spans="1:1" ht="13" x14ac:dyDescent="0.15">
      <c r="A1147" s="2" t="s">
        <v>1147</v>
      </c>
    </row>
    <row r="1148" spans="1:1" ht="13" x14ac:dyDescent="0.15">
      <c r="A1148" s="2" t="s">
        <v>1148</v>
      </c>
    </row>
    <row r="1149" spans="1:1" ht="13" x14ac:dyDescent="0.15">
      <c r="A1149" s="2" t="s">
        <v>1149</v>
      </c>
    </row>
    <row r="1150" spans="1:1" ht="13" x14ac:dyDescent="0.15">
      <c r="A1150" s="2" t="s">
        <v>1150</v>
      </c>
    </row>
    <row r="1151" spans="1:1" ht="13" x14ac:dyDescent="0.15">
      <c r="A1151" s="2" t="s">
        <v>1151</v>
      </c>
    </row>
    <row r="1152" spans="1:1" ht="13" x14ac:dyDescent="0.15">
      <c r="A1152" s="2" t="s">
        <v>1152</v>
      </c>
    </row>
    <row r="1153" spans="1:1" ht="13" x14ac:dyDescent="0.15">
      <c r="A1153" s="2" t="s">
        <v>1153</v>
      </c>
    </row>
    <row r="1154" spans="1:1" ht="13" x14ac:dyDescent="0.15">
      <c r="A1154" s="2" t="s">
        <v>1154</v>
      </c>
    </row>
    <row r="1155" spans="1:1" ht="13" x14ac:dyDescent="0.15">
      <c r="A1155" s="2" t="s">
        <v>1155</v>
      </c>
    </row>
    <row r="1156" spans="1:1" ht="13" x14ac:dyDescent="0.15">
      <c r="A1156" s="2" t="s">
        <v>1156</v>
      </c>
    </row>
    <row r="1157" spans="1:1" ht="13" x14ac:dyDescent="0.15">
      <c r="A1157" s="2" t="s">
        <v>1157</v>
      </c>
    </row>
    <row r="1158" spans="1:1" ht="13" x14ac:dyDescent="0.15">
      <c r="A1158" s="2" t="s">
        <v>1158</v>
      </c>
    </row>
    <row r="1159" spans="1:1" ht="13" x14ac:dyDescent="0.15">
      <c r="A1159" s="2" t="s">
        <v>1159</v>
      </c>
    </row>
    <row r="1160" spans="1:1" ht="13" x14ac:dyDescent="0.15">
      <c r="A1160" s="2" t="s">
        <v>1160</v>
      </c>
    </row>
    <row r="1161" spans="1:1" ht="13" x14ac:dyDescent="0.15">
      <c r="A1161" s="2" t="s">
        <v>1161</v>
      </c>
    </row>
    <row r="1162" spans="1:1" ht="13" x14ac:dyDescent="0.15">
      <c r="A1162" s="2" t="s">
        <v>1162</v>
      </c>
    </row>
    <row r="1163" spans="1:1" ht="13" x14ac:dyDescent="0.15">
      <c r="A1163" s="2" t="s">
        <v>1163</v>
      </c>
    </row>
    <row r="1164" spans="1:1" ht="13" x14ac:dyDescent="0.15">
      <c r="A1164" s="2" t="s">
        <v>1164</v>
      </c>
    </row>
    <row r="1165" spans="1:1" ht="13" x14ac:dyDescent="0.15">
      <c r="A1165" s="2" t="s">
        <v>1165</v>
      </c>
    </row>
    <row r="1166" spans="1:1" ht="13" x14ac:dyDescent="0.15">
      <c r="A1166" s="2" t="s">
        <v>1166</v>
      </c>
    </row>
    <row r="1167" spans="1:1" ht="13" x14ac:dyDescent="0.15">
      <c r="A1167" s="2" t="s">
        <v>1167</v>
      </c>
    </row>
    <row r="1168" spans="1:1" ht="13" x14ac:dyDescent="0.15">
      <c r="A1168" s="2" t="s">
        <v>1168</v>
      </c>
    </row>
    <row r="1169" spans="1:1" ht="13" x14ac:dyDescent="0.15">
      <c r="A1169" s="2" t="s">
        <v>1169</v>
      </c>
    </row>
    <row r="1170" spans="1:1" ht="13" x14ac:dyDescent="0.15">
      <c r="A1170" s="2" t="s">
        <v>1170</v>
      </c>
    </row>
    <row r="1171" spans="1:1" ht="13" x14ac:dyDescent="0.15">
      <c r="A1171" s="2" t="s">
        <v>1171</v>
      </c>
    </row>
    <row r="1172" spans="1:1" ht="13" x14ac:dyDescent="0.15">
      <c r="A1172" s="2" t="s">
        <v>1172</v>
      </c>
    </row>
    <row r="1173" spans="1:1" ht="13" x14ac:dyDescent="0.15">
      <c r="A1173" s="2" t="s">
        <v>1173</v>
      </c>
    </row>
    <row r="1174" spans="1:1" ht="13" x14ac:dyDescent="0.15">
      <c r="A1174" s="2" t="s">
        <v>1174</v>
      </c>
    </row>
    <row r="1175" spans="1:1" ht="13" x14ac:dyDescent="0.15">
      <c r="A1175" s="2" t="s">
        <v>1175</v>
      </c>
    </row>
    <row r="1176" spans="1:1" ht="13" x14ac:dyDescent="0.15">
      <c r="A1176" s="2" t="s">
        <v>1176</v>
      </c>
    </row>
    <row r="1177" spans="1:1" ht="13" x14ac:dyDescent="0.15">
      <c r="A1177" s="2" t="s">
        <v>1177</v>
      </c>
    </row>
    <row r="1178" spans="1:1" ht="13" x14ac:dyDescent="0.15">
      <c r="A1178" s="2" t="s">
        <v>1178</v>
      </c>
    </row>
    <row r="1179" spans="1:1" ht="13" x14ac:dyDescent="0.15">
      <c r="A1179" s="2" t="s">
        <v>1179</v>
      </c>
    </row>
    <row r="1180" spans="1:1" ht="13" x14ac:dyDescent="0.15">
      <c r="A1180" s="2" t="s">
        <v>1180</v>
      </c>
    </row>
    <row r="1181" spans="1:1" ht="13" x14ac:dyDescent="0.15">
      <c r="A1181" s="2" t="s">
        <v>1181</v>
      </c>
    </row>
    <row r="1182" spans="1:1" ht="13" x14ac:dyDescent="0.15">
      <c r="A1182" s="2" t="s">
        <v>1182</v>
      </c>
    </row>
    <row r="1183" spans="1:1" ht="13" x14ac:dyDescent="0.15">
      <c r="A1183" s="2" t="s">
        <v>1183</v>
      </c>
    </row>
    <row r="1184" spans="1:1" ht="13" x14ac:dyDescent="0.15">
      <c r="A1184" s="2" t="s">
        <v>1184</v>
      </c>
    </row>
    <row r="1185" spans="1:1" ht="13" x14ac:dyDescent="0.15">
      <c r="A1185" s="2" t="s">
        <v>1185</v>
      </c>
    </row>
    <row r="1186" spans="1:1" ht="13" x14ac:dyDescent="0.15">
      <c r="A1186" s="2" t="s">
        <v>1186</v>
      </c>
    </row>
    <row r="1187" spans="1:1" ht="13" x14ac:dyDescent="0.15">
      <c r="A1187" s="2" t="s">
        <v>1187</v>
      </c>
    </row>
    <row r="1188" spans="1:1" ht="13" x14ac:dyDescent="0.15">
      <c r="A1188" s="2" t="s">
        <v>1188</v>
      </c>
    </row>
    <row r="1189" spans="1:1" ht="13" x14ac:dyDescent="0.15">
      <c r="A1189" s="2" t="s">
        <v>1189</v>
      </c>
    </row>
    <row r="1190" spans="1:1" ht="13" x14ac:dyDescent="0.15">
      <c r="A1190" s="2" t="s">
        <v>1190</v>
      </c>
    </row>
    <row r="1191" spans="1:1" ht="13" x14ac:dyDescent="0.15">
      <c r="A1191" s="2" t="s">
        <v>1191</v>
      </c>
    </row>
    <row r="1192" spans="1:1" ht="13" x14ac:dyDescent="0.15">
      <c r="A1192" s="2" t="s">
        <v>1192</v>
      </c>
    </row>
    <row r="1193" spans="1:1" ht="13" x14ac:dyDescent="0.15">
      <c r="A1193" s="2" t="s">
        <v>1193</v>
      </c>
    </row>
    <row r="1194" spans="1:1" ht="13" x14ac:dyDescent="0.15">
      <c r="A1194" s="2" t="s">
        <v>1194</v>
      </c>
    </row>
    <row r="1195" spans="1:1" ht="13" x14ac:dyDescent="0.15">
      <c r="A1195" s="2" t="s">
        <v>1195</v>
      </c>
    </row>
    <row r="1196" spans="1:1" ht="13" x14ac:dyDescent="0.15">
      <c r="A1196" s="2" t="s">
        <v>1196</v>
      </c>
    </row>
    <row r="1197" spans="1:1" ht="13" x14ac:dyDescent="0.15">
      <c r="A1197" s="2" t="s">
        <v>1197</v>
      </c>
    </row>
    <row r="1198" spans="1:1" ht="13" x14ac:dyDescent="0.15">
      <c r="A1198" s="2" t="s">
        <v>1198</v>
      </c>
    </row>
    <row r="1199" spans="1:1" ht="13" x14ac:dyDescent="0.15">
      <c r="A1199" s="2" t="s">
        <v>1199</v>
      </c>
    </row>
    <row r="1200" spans="1:1" ht="13" x14ac:dyDescent="0.15">
      <c r="A1200" s="2" t="s">
        <v>1200</v>
      </c>
    </row>
    <row r="1201" spans="1:1" ht="13" x14ac:dyDescent="0.15">
      <c r="A1201" s="2" t="s">
        <v>1201</v>
      </c>
    </row>
    <row r="1202" spans="1:1" ht="13" x14ac:dyDescent="0.15">
      <c r="A1202" s="2" t="s">
        <v>1202</v>
      </c>
    </row>
    <row r="1203" spans="1:1" ht="13" x14ac:dyDescent="0.15">
      <c r="A1203" s="2" t="s">
        <v>1203</v>
      </c>
    </row>
    <row r="1204" spans="1:1" ht="13" x14ac:dyDescent="0.15">
      <c r="A1204" s="2" t="s">
        <v>1204</v>
      </c>
    </row>
    <row r="1205" spans="1:1" ht="13" x14ac:dyDescent="0.15">
      <c r="A1205" s="2" t="s">
        <v>1205</v>
      </c>
    </row>
    <row r="1206" spans="1:1" ht="13" x14ac:dyDescent="0.15">
      <c r="A1206" s="2" t="s">
        <v>1206</v>
      </c>
    </row>
    <row r="1207" spans="1:1" ht="13" x14ac:dyDescent="0.15">
      <c r="A1207" s="2" t="s">
        <v>1207</v>
      </c>
    </row>
    <row r="1208" spans="1:1" ht="13" x14ac:dyDescent="0.15">
      <c r="A1208" s="2" t="s">
        <v>1208</v>
      </c>
    </row>
    <row r="1209" spans="1:1" ht="13" x14ac:dyDescent="0.15">
      <c r="A1209" s="2" t="s">
        <v>1209</v>
      </c>
    </row>
    <row r="1210" spans="1:1" ht="13" x14ac:dyDescent="0.15">
      <c r="A1210" s="2" t="s">
        <v>1210</v>
      </c>
    </row>
    <row r="1211" spans="1:1" ht="13" x14ac:dyDescent="0.15">
      <c r="A1211" s="2" t="s">
        <v>1211</v>
      </c>
    </row>
    <row r="1212" spans="1:1" ht="13" x14ac:dyDescent="0.15">
      <c r="A1212" s="2" t="s">
        <v>1212</v>
      </c>
    </row>
    <row r="1213" spans="1:1" ht="13" x14ac:dyDescent="0.15">
      <c r="A1213" s="2" t="s">
        <v>1213</v>
      </c>
    </row>
    <row r="1214" spans="1:1" ht="13" x14ac:dyDescent="0.15">
      <c r="A1214" s="2" t="s">
        <v>1214</v>
      </c>
    </row>
    <row r="1215" spans="1:1" ht="13" x14ac:dyDescent="0.15">
      <c r="A1215" s="2" t="s">
        <v>1215</v>
      </c>
    </row>
    <row r="1216" spans="1:1" ht="13" x14ac:dyDescent="0.15">
      <c r="A1216" s="2" t="s">
        <v>1216</v>
      </c>
    </row>
    <row r="1217" spans="1:1" ht="13" x14ac:dyDescent="0.15">
      <c r="A1217" s="2" t="s">
        <v>1217</v>
      </c>
    </row>
    <row r="1218" spans="1:1" ht="13" x14ac:dyDescent="0.15">
      <c r="A1218" s="2" t="s">
        <v>1218</v>
      </c>
    </row>
    <row r="1219" spans="1:1" ht="13" x14ac:dyDescent="0.15">
      <c r="A1219" s="2" t="s">
        <v>1219</v>
      </c>
    </row>
    <row r="1220" spans="1:1" ht="13" x14ac:dyDescent="0.15">
      <c r="A1220" s="2" t="s">
        <v>1220</v>
      </c>
    </row>
    <row r="1221" spans="1:1" ht="13" x14ac:dyDescent="0.15">
      <c r="A1221" s="2" t="s">
        <v>1221</v>
      </c>
    </row>
    <row r="1222" spans="1:1" ht="13" x14ac:dyDescent="0.15">
      <c r="A1222" s="2" t="s">
        <v>1222</v>
      </c>
    </row>
    <row r="1223" spans="1:1" ht="13" x14ac:dyDescent="0.15">
      <c r="A1223" s="2" t="s">
        <v>1223</v>
      </c>
    </row>
    <row r="1224" spans="1:1" ht="13" x14ac:dyDescent="0.15">
      <c r="A1224" s="2" t="s">
        <v>1224</v>
      </c>
    </row>
    <row r="1225" spans="1:1" ht="13" x14ac:dyDescent="0.15">
      <c r="A1225" s="2" t="s">
        <v>1225</v>
      </c>
    </row>
    <row r="1226" spans="1:1" ht="13" x14ac:dyDescent="0.15">
      <c r="A1226" s="2" t="s">
        <v>1226</v>
      </c>
    </row>
    <row r="1227" spans="1:1" ht="13" x14ac:dyDescent="0.15">
      <c r="A1227" s="2" t="s">
        <v>1227</v>
      </c>
    </row>
    <row r="1228" spans="1:1" ht="13" x14ac:dyDescent="0.15">
      <c r="A1228" s="2" t="s">
        <v>1228</v>
      </c>
    </row>
    <row r="1229" spans="1:1" ht="13" x14ac:dyDescent="0.15">
      <c r="A1229" s="2" t="s">
        <v>1229</v>
      </c>
    </row>
    <row r="1230" spans="1:1" ht="13" x14ac:dyDescent="0.15">
      <c r="A1230" s="2" t="s">
        <v>1230</v>
      </c>
    </row>
    <row r="1231" spans="1:1" ht="13" x14ac:dyDescent="0.15">
      <c r="A1231" s="2" t="s">
        <v>1231</v>
      </c>
    </row>
    <row r="1232" spans="1:1" ht="13" x14ac:dyDescent="0.15">
      <c r="A1232" s="2" t="s">
        <v>1232</v>
      </c>
    </row>
    <row r="1233" spans="1:1" ht="13" x14ac:dyDescent="0.15">
      <c r="A1233" s="2" t="s">
        <v>1233</v>
      </c>
    </row>
    <row r="1234" spans="1:1" ht="13" x14ac:dyDescent="0.15">
      <c r="A1234" s="2" t="s">
        <v>1234</v>
      </c>
    </row>
    <row r="1235" spans="1:1" ht="13" x14ac:dyDescent="0.15">
      <c r="A1235" s="2" t="s">
        <v>1235</v>
      </c>
    </row>
    <row r="1236" spans="1:1" ht="13" x14ac:dyDescent="0.15">
      <c r="A1236" s="2" t="s">
        <v>1236</v>
      </c>
    </row>
    <row r="1237" spans="1:1" ht="13" x14ac:dyDescent="0.15">
      <c r="A1237" s="2" t="s">
        <v>1237</v>
      </c>
    </row>
    <row r="1238" spans="1:1" ht="13" x14ac:dyDescent="0.15">
      <c r="A1238" s="2" t="s">
        <v>1238</v>
      </c>
    </row>
    <row r="1239" spans="1:1" ht="13" x14ac:dyDescent="0.15">
      <c r="A1239" s="2" t="s">
        <v>1239</v>
      </c>
    </row>
    <row r="1240" spans="1:1" ht="13" x14ac:dyDescent="0.15">
      <c r="A1240" s="2" t="s">
        <v>1240</v>
      </c>
    </row>
    <row r="1241" spans="1:1" ht="13" x14ac:dyDescent="0.15">
      <c r="A1241" s="2" t="s">
        <v>1241</v>
      </c>
    </row>
    <row r="1242" spans="1:1" ht="13" x14ac:dyDescent="0.15">
      <c r="A1242" s="2" t="s">
        <v>1242</v>
      </c>
    </row>
    <row r="1243" spans="1:1" ht="13" x14ac:dyDescent="0.15">
      <c r="A1243" s="2" t="s">
        <v>1243</v>
      </c>
    </row>
    <row r="1244" spans="1:1" ht="13" x14ac:dyDescent="0.15">
      <c r="A1244" s="2" t="s">
        <v>1244</v>
      </c>
    </row>
    <row r="1245" spans="1:1" ht="13" x14ac:dyDescent="0.15">
      <c r="A1245" s="2" t="s">
        <v>1245</v>
      </c>
    </row>
    <row r="1246" spans="1:1" ht="13" x14ac:dyDescent="0.15">
      <c r="A1246" s="2" t="s">
        <v>1246</v>
      </c>
    </row>
    <row r="1247" spans="1:1" ht="13" x14ac:dyDescent="0.15">
      <c r="A1247" s="2" t="s">
        <v>1247</v>
      </c>
    </row>
    <row r="1248" spans="1:1" ht="13" x14ac:dyDescent="0.15">
      <c r="A1248" s="2" t="s">
        <v>1248</v>
      </c>
    </row>
    <row r="1249" spans="1:1" ht="13" x14ac:dyDescent="0.15">
      <c r="A1249" s="2" t="s">
        <v>1249</v>
      </c>
    </row>
    <row r="1250" spans="1:1" ht="13" x14ac:dyDescent="0.15">
      <c r="A1250" s="2" t="s">
        <v>1250</v>
      </c>
    </row>
    <row r="1251" spans="1:1" ht="13" x14ac:dyDescent="0.15">
      <c r="A1251" s="2" t="s">
        <v>1251</v>
      </c>
    </row>
    <row r="1252" spans="1:1" ht="13" x14ac:dyDescent="0.15">
      <c r="A1252" s="2" t="s">
        <v>1252</v>
      </c>
    </row>
    <row r="1253" spans="1:1" ht="13" x14ac:dyDescent="0.15">
      <c r="A1253" s="2" t="s">
        <v>1253</v>
      </c>
    </row>
    <row r="1254" spans="1:1" ht="13" x14ac:dyDescent="0.15">
      <c r="A1254" s="2" t="s">
        <v>1254</v>
      </c>
    </row>
    <row r="1255" spans="1:1" ht="13" x14ac:dyDescent="0.15">
      <c r="A1255" s="2" t="s">
        <v>1255</v>
      </c>
    </row>
    <row r="1256" spans="1:1" ht="13" x14ac:dyDescent="0.15">
      <c r="A1256" s="2" t="s">
        <v>1256</v>
      </c>
    </row>
    <row r="1257" spans="1:1" ht="13" x14ac:dyDescent="0.15">
      <c r="A1257" s="2" t="s">
        <v>1257</v>
      </c>
    </row>
    <row r="1258" spans="1:1" ht="13" x14ac:dyDescent="0.15">
      <c r="A1258" s="2" t="s">
        <v>1258</v>
      </c>
    </row>
    <row r="1259" spans="1:1" ht="13" x14ac:dyDescent="0.15">
      <c r="A1259" s="2" t="s">
        <v>1259</v>
      </c>
    </row>
    <row r="1260" spans="1:1" ht="13" x14ac:dyDescent="0.15">
      <c r="A1260" s="2" t="s">
        <v>1260</v>
      </c>
    </row>
    <row r="1261" spans="1:1" ht="13" x14ac:dyDescent="0.15">
      <c r="A1261" s="2" t="s">
        <v>1261</v>
      </c>
    </row>
    <row r="1262" spans="1:1" ht="13" x14ac:dyDescent="0.15">
      <c r="A1262" s="2" t="s">
        <v>1262</v>
      </c>
    </row>
    <row r="1263" spans="1:1" ht="13" x14ac:dyDescent="0.15">
      <c r="A1263" s="2" t="s">
        <v>1263</v>
      </c>
    </row>
    <row r="1264" spans="1:1" ht="13" x14ac:dyDescent="0.15">
      <c r="A1264" s="2" t="s">
        <v>1264</v>
      </c>
    </row>
    <row r="1265" spans="1:1" ht="13" x14ac:dyDescent="0.15">
      <c r="A1265" s="2" t="s">
        <v>1265</v>
      </c>
    </row>
    <row r="1266" spans="1:1" ht="13" x14ac:dyDescent="0.15">
      <c r="A1266" s="2" t="s">
        <v>1266</v>
      </c>
    </row>
    <row r="1267" spans="1:1" ht="13" x14ac:dyDescent="0.15">
      <c r="A1267" s="2" t="s">
        <v>1267</v>
      </c>
    </row>
    <row r="1268" spans="1:1" ht="13" x14ac:dyDescent="0.15">
      <c r="A1268" s="2" t="s">
        <v>1268</v>
      </c>
    </row>
    <row r="1269" spans="1:1" ht="13" x14ac:dyDescent="0.15">
      <c r="A1269" s="2" t="s">
        <v>1269</v>
      </c>
    </row>
    <row r="1270" spans="1:1" ht="13" x14ac:dyDescent="0.15">
      <c r="A1270" s="2" t="s">
        <v>1270</v>
      </c>
    </row>
    <row r="1271" spans="1:1" ht="13" x14ac:dyDescent="0.15">
      <c r="A1271" s="2" t="s">
        <v>1271</v>
      </c>
    </row>
    <row r="1272" spans="1:1" ht="13" x14ac:dyDescent="0.15">
      <c r="A1272" s="2" t="s">
        <v>1272</v>
      </c>
    </row>
    <row r="1273" spans="1:1" ht="13" x14ac:dyDescent="0.15">
      <c r="A1273" s="2" t="s">
        <v>1273</v>
      </c>
    </row>
    <row r="1274" spans="1:1" ht="13" x14ac:dyDescent="0.15">
      <c r="A1274" s="2" t="s">
        <v>1274</v>
      </c>
    </row>
    <row r="1275" spans="1:1" ht="13" x14ac:dyDescent="0.15">
      <c r="A1275" s="2" t="s">
        <v>1275</v>
      </c>
    </row>
    <row r="1276" spans="1:1" ht="13" x14ac:dyDescent="0.15">
      <c r="A1276" s="2" t="s">
        <v>1276</v>
      </c>
    </row>
    <row r="1277" spans="1:1" ht="13" x14ac:dyDescent="0.15">
      <c r="A1277" s="2" t="s">
        <v>1277</v>
      </c>
    </row>
    <row r="1278" spans="1:1" ht="13" x14ac:dyDescent="0.15">
      <c r="A1278" s="2" t="s">
        <v>1278</v>
      </c>
    </row>
    <row r="1279" spans="1:1" ht="13" x14ac:dyDescent="0.15">
      <c r="A1279" s="2" t="s">
        <v>1279</v>
      </c>
    </row>
    <row r="1280" spans="1:1" ht="13" x14ac:dyDescent="0.15">
      <c r="A1280" s="2" t="s">
        <v>1280</v>
      </c>
    </row>
    <row r="1281" spans="1:1" ht="13" x14ac:dyDescent="0.15">
      <c r="A1281" s="2" t="s">
        <v>1281</v>
      </c>
    </row>
    <row r="1282" spans="1:1" ht="13" x14ac:dyDescent="0.15">
      <c r="A1282" s="2" t="s">
        <v>1282</v>
      </c>
    </row>
    <row r="1283" spans="1:1" ht="13" x14ac:dyDescent="0.15">
      <c r="A1283" s="2" t="s">
        <v>1283</v>
      </c>
    </row>
    <row r="1284" spans="1:1" ht="13" x14ac:dyDescent="0.15">
      <c r="A1284" s="2" t="s">
        <v>1284</v>
      </c>
    </row>
    <row r="1285" spans="1:1" ht="13" x14ac:dyDescent="0.15">
      <c r="A1285" s="2" t="s">
        <v>1285</v>
      </c>
    </row>
    <row r="1286" spans="1:1" ht="13" x14ac:dyDescent="0.15">
      <c r="A1286" s="2" t="s">
        <v>1286</v>
      </c>
    </row>
    <row r="1287" spans="1:1" ht="13" x14ac:dyDescent="0.15">
      <c r="A1287" s="2" t="s">
        <v>1287</v>
      </c>
    </row>
    <row r="1288" spans="1:1" ht="13" x14ac:dyDescent="0.15">
      <c r="A1288" s="2" t="s">
        <v>1288</v>
      </c>
    </row>
    <row r="1289" spans="1:1" ht="13" x14ac:dyDescent="0.15">
      <c r="A1289" s="2" t="s">
        <v>1289</v>
      </c>
    </row>
    <row r="1290" spans="1:1" ht="13" x14ac:dyDescent="0.15">
      <c r="A1290" s="2" t="s">
        <v>1290</v>
      </c>
    </row>
    <row r="1291" spans="1:1" ht="13" x14ac:dyDescent="0.15">
      <c r="A1291" s="2" t="s">
        <v>1291</v>
      </c>
    </row>
    <row r="1292" spans="1:1" ht="13" x14ac:dyDescent="0.15">
      <c r="A1292" s="2" t="s">
        <v>1292</v>
      </c>
    </row>
    <row r="1293" spans="1:1" ht="13" x14ac:dyDescent="0.15">
      <c r="A1293" s="2" t="s">
        <v>1293</v>
      </c>
    </row>
    <row r="1294" spans="1:1" ht="13" x14ac:dyDescent="0.15">
      <c r="A1294" s="2" t="s">
        <v>1294</v>
      </c>
    </row>
    <row r="1295" spans="1:1" ht="13" x14ac:dyDescent="0.15">
      <c r="A1295" s="2" t="s">
        <v>1295</v>
      </c>
    </row>
    <row r="1296" spans="1:1" ht="13" x14ac:dyDescent="0.15">
      <c r="A1296" s="2" t="s">
        <v>1296</v>
      </c>
    </row>
    <row r="1297" spans="1:1" ht="13" x14ac:dyDescent="0.15">
      <c r="A1297" s="2" t="s">
        <v>1297</v>
      </c>
    </row>
    <row r="1298" spans="1:1" ht="13" x14ac:dyDescent="0.15">
      <c r="A1298" s="2" t="s">
        <v>1298</v>
      </c>
    </row>
    <row r="1299" spans="1:1" ht="13" x14ac:dyDescent="0.15">
      <c r="A1299" s="2" t="s">
        <v>1299</v>
      </c>
    </row>
    <row r="1300" spans="1:1" ht="13" x14ac:dyDescent="0.15">
      <c r="A1300" s="2" t="s">
        <v>1300</v>
      </c>
    </row>
    <row r="1301" spans="1:1" ht="13" x14ac:dyDescent="0.15">
      <c r="A1301" s="2" t="s">
        <v>1301</v>
      </c>
    </row>
    <row r="1302" spans="1:1" ht="13" x14ac:dyDescent="0.15">
      <c r="A1302" s="2" t="s">
        <v>1302</v>
      </c>
    </row>
    <row r="1303" spans="1:1" ht="13" x14ac:dyDescent="0.15">
      <c r="A1303" s="2" t="s">
        <v>1303</v>
      </c>
    </row>
    <row r="1304" spans="1:1" ht="13" x14ac:dyDescent="0.15">
      <c r="A1304" s="2" t="s">
        <v>1304</v>
      </c>
    </row>
    <row r="1305" spans="1:1" ht="13" x14ac:dyDescent="0.15">
      <c r="A1305" s="2" t="s">
        <v>1305</v>
      </c>
    </row>
    <row r="1306" spans="1:1" ht="13" x14ac:dyDescent="0.15">
      <c r="A1306" s="2" t="s">
        <v>1306</v>
      </c>
    </row>
    <row r="1307" spans="1:1" ht="13" x14ac:dyDescent="0.15">
      <c r="A1307" s="2" t="s">
        <v>1307</v>
      </c>
    </row>
    <row r="1308" spans="1:1" ht="13" x14ac:dyDescent="0.15">
      <c r="A1308" s="2" t="s">
        <v>1308</v>
      </c>
    </row>
    <row r="1309" spans="1:1" ht="13" x14ac:dyDescent="0.15">
      <c r="A1309" s="2" t="s">
        <v>1309</v>
      </c>
    </row>
    <row r="1310" spans="1:1" ht="13" x14ac:dyDescent="0.15">
      <c r="A1310" s="2" t="s">
        <v>1310</v>
      </c>
    </row>
    <row r="1311" spans="1:1" ht="13" x14ac:dyDescent="0.15">
      <c r="A1311" s="2" t="s">
        <v>1311</v>
      </c>
    </row>
    <row r="1312" spans="1:1" ht="13" x14ac:dyDescent="0.15">
      <c r="A1312" s="2" t="s">
        <v>1312</v>
      </c>
    </row>
    <row r="1313" spans="1:1" ht="13" x14ac:dyDescent="0.15">
      <c r="A1313" s="2" t="s">
        <v>1313</v>
      </c>
    </row>
    <row r="1314" spans="1:1" ht="13" x14ac:dyDescent="0.15">
      <c r="A1314" s="2" t="s">
        <v>1314</v>
      </c>
    </row>
    <row r="1315" spans="1:1" ht="13" x14ac:dyDescent="0.15">
      <c r="A1315" s="2" t="s">
        <v>1315</v>
      </c>
    </row>
    <row r="1316" spans="1:1" ht="13" x14ac:dyDescent="0.15">
      <c r="A1316" s="2" t="s">
        <v>1316</v>
      </c>
    </row>
    <row r="1317" spans="1:1" ht="13" x14ac:dyDescent="0.15">
      <c r="A1317" s="2" t="s">
        <v>1317</v>
      </c>
    </row>
    <row r="1318" spans="1:1" ht="13" x14ac:dyDescent="0.15">
      <c r="A1318" s="2" t="s">
        <v>1318</v>
      </c>
    </row>
    <row r="1319" spans="1:1" ht="13" x14ac:dyDescent="0.15">
      <c r="A1319" s="2" t="s">
        <v>1319</v>
      </c>
    </row>
    <row r="1320" spans="1:1" ht="13" x14ac:dyDescent="0.15">
      <c r="A1320" s="2" t="s">
        <v>1320</v>
      </c>
    </row>
    <row r="1321" spans="1:1" ht="13" x14ac:dyDescent="0.15">
      <c r="A1321" s="2" t="s">
        <v>1321</v>
      </c>
    </row>
    <row r="1322" spans="1:1" ht="13" x14ac:dyDescent="0.15">
      <c r="A1322" s="2" t="s">
        <v>1322</v>
      </c>
    </row>
    <row r="1323" spans="1:1" ht="13" x14ac:dyDescent="0.15">
      <c r="A1323" s="2" t="s">
        <v>1323</v>
      </c>
    </row>
    <row r="1324" spans="1:1" ht="13" x14ac:dyDescent="0.15">
      <c r="A1324" s="2" t="s">
        <v>1324</v>
      </c>
    </row>
    <row r="1325" spans="1:1" ht="13" x14ac:dyDescent="0.15">
      <c r="A1325" s="2" t="s">
        <v>1325</v>
      </c>
    </row>
    <row r="1326" spans="1:1" ht="13" x14ac:dyDescent="0.15">
      <c r="A1326" s="2" t="s">
        <v>1326</v>
      </c>
    </row>
    <row r="1327" spans="1:1" ht="13" x14ac:dyDescent="0.15">
      <c r="A1327" s="2" t="s">
        <v>1327</v>
      </c>
    </row>
    <row r="1328" spans="1:1" ht="13" x14ac:dyDescent="0.15">
      <c r="A1328" s="2" t="s">
        <v>1328</v>
      </c>
    </row>
    <row r="1329" spans="1:1" ht="13" x14ac:dyDescent="0.15">
      <c r="A1329" s="2" t="s">
        <v>1329</v>
      </c>
    </row>
    <row r="1330" spans="1:1" ht="13" x14ac:dyDescent="0.15">
      <c r="A1330" s="2" t="s">
        <v>1330</v>
      </c>
    </row>
    <row r="1331" spans="1:1" ht="13" x14ac:dyDescent="0.15">
      <c r="A1331" s="2" t="s">
        <v>1331</v>
      </c>
    </row>
    <row r="1332" spans="1:1" ht="13" x14ac:dyDescent="0.15">
      <c r="A1332" s="2" t="s">
        <v>1332</v>
      </c>
    </row>
    <row r="1333" spans="1:1" ht="13" x14ac:dyDescent="0.15">
      <c r="A1333" s="2" t="s">
        <v>1333</v>
      </c>
    </row>
    <row r="1334" spans="1:1" ht="13" x14ac:dyDescent="0.15">
      <c r="A1334" s="2" t="s">
        <v>1334</v>
      </c>
    </row>
    <row r="1335" spans="1:1" ht="13" x14ac:dyDescent="0.15">
      <c r="A1335" s="2" t="s">
        <v>1335</v>
      </c>
    </row>
    <row r="1336" spans="1:1" ht="13" x14ac:dyDescent="0.15">
      <c r="A1336" s="2" t="s">
        <v>1336</v>
      </c>
    </row>
    <row r="1337" spans="1:1" ht="13" x14ac:dyDescent="0.15">
      <c r="A1337" s="2" t="s">
        <v>1337</v>
      </c>
    </row>
    <row r="1338" spans="1:1" ht="13" x14ac:dyDescent="0.15">
      <c r="A1338" s="2" t="s">
        <v>1338</v>
      </c>
    </row>
    <row r="1339" spans="1:1" ht="13" x14ac:dyDescent="0.15">
      <c r="A1339" s="2" t="s">
        <v>1339</v>
      </c>
    </row>
    <row r="1340" spans="1:1" ht="13" x14ac:dyDescent="0.15">
      <c r="A1340" s="2" t="s">
        <v>1340</v>
      </c>
    </row>
    <row r="1341" spans="1:1" ht="13" x14ac:dyDescent="0.15">
      <c r="A1341" s="2" t="s">
        <v>1341</v>
      </c>
    </row>
    <row r="1342" spans="1:1" ht="13" x14ac:dyDescent="0.15">
      <c r="A1342" s="2" t="s">
        <v>1342</v>
      </c>
    </row>
    <row r="1343" spans="1:1" ht="13" x14ac:dyDescent="0.15">
      <c r="A1343" s="2" t="s">
        <v>1343</v>
      </c>
    </row>
    <row r="1344" spans="1:1" ht="13" x14ac:dyDescent="0.15">
      <c r="A1344" s="2" t="s">
        <v>1344</v>
      </c>
    </row>
    <row r="1345" spans="1:1" ht="13" x14ac:dyDescent="0.15">
      <c r="A1345" s="2" t="s">
        <v>1345</v>
      </c>
    </row>
    <row r="1346" spans="1:1" ht="13" x14ac:dyDescent="0.15">
      <c r="A1346" s="2" t="s">
        <v>1346</v>
      </c>
    </row>
    <row r="1347" spans="1:1" ht="13" x14ac:dyDescent="0.15">
      <c r="A1347" s="2" t="s">
        <v>1347</v>
      </c>
    </row>
    <row r="1348" spans="1:1" ht="13" x14ac:dyDescent="0.15">
      <c r="A1348" s="2" t="s">
        <v>1348</v>
      </c>
    </row>
    <row r="1349" spans="1:1" ht="13" x14ac:dyDescent="0.15">
      <c r="A1349" s="2" t="s">
        <v>1349</v>
      </c>
    </row>
    <row r="1350" spans="1:1" ht="13" x14ac:dyDescent="0.15">
      <c r="A1350" s="2" t="s">
        <v>1350</v>
      </c>
    </row>
    <row r="1351" spans="1:1" ht="13" x14ac:dyDescent="0.15">
      <c r="A1351" s="2" t="s">
        <v>1351</v>
      </c>
    </row>
    <row r="1352" spans="1:1" ht="13" x14ac:dyDescent="0.15">
      <c r="A1352" s="2" t="s">
        <v>1352</v>
      </c>
    </row>
    <row r="1353" spans="1:1" ht="13" x14ac:dyDescent="0.15">
      <c r="A1353" s="2" t="s">
        <v>1353</v>
      </c>
    </row>
    <row r="1354" spans="1:1" ht="13" x14ac:dyDescent="0.15">
      <c r="A1354" s="2" t="s">
        <v>1354</v>
      </c>
    </row>
    <row r="1355" spans="1:1" ht="13" x14ac:dyDescent="0.15">
      <c r="A1355" s="2" t="s">
        <v>1355</v>
      </c>
    </row>
    <row r="1356" spans="1:1" ht="13" x14ac:dyDescent="0.15">
      <c r="A1356" s="2" t="s">
        <v>1356</v>
      </c>
    </row>
    <row r="1357" spans="1:1" ht="13" x14ac:dyDescent="0.15">
      <c r="A1357" s="2" t="s">
        <v>1357</v>
      </c>
    </row>
    <row r="1358" spans="1:1" ht="13" x14ac:dyDescent="0.15">
      <c r="A1358" s="2" t="s">
        <v>1358</v>
      </c>
    </row>
    <row r="1359" spans="1:1" ht="13" x14ac:dyDescent="0.15">
      <c r="A1359" s="2" t="s">
        <v>1359</v>
      </c>
    </row>
    <row r="1360" spans="1:1" ht="13" x14ac:dyDescent="0.15">
      <c r="A1360" s="2" t="s">
        <v>1360</v>
      </c>
    </row>
    <row r="1361" spans="1:1" ht="13" x14ac:dyDescent="0.15">
      <c r="A1361" s="2" t="s">
        <v>1361</v>
      </c>
    </row>
    <row r="1362" spans="1:1" ht="13" x14ac:dyDescent="0.15">
      <c r="A1362" s="2" t="s">
        <v>1362</v>
      </c>
    </row>
    <row r="1363" spans="1:1" ht="13" x14ac:dyDescent="0.15">
      <c r="A1363" s="2" t="s">
        <v>1363</v>
      </c>
    </row>
    <row r="1364" spans="1:1" ht="13" x14ac:dyDescent="0.15">
      <c r="A1364" s="2" t="s">
        <v>1364</v>
      </c>
    </row>
    <row r="1365" spans="1:1" ht="13" x14ac:dyDescent="0.15">
      <c r="A1365" s="2" t="s">
        <v>1365</v>
      </c>
    </row>
    <row r="1366" spans="1:1" ht="13" x14ac:dyDescent="0.15">
      <c r="A1366" s="2" t="s">
        <v>1366</v>
      </c>
    </row>
    <row r="1367" spans="1:1" ht="13" x14ac:dyDescent="0.15">
      <c r="A1367" s="2" t="s">
        <v>1367</v>
      </c>
    </row>
    <row r="1368" spans="1:1" ht="13" x14ac:dyDescent="0.15">
      <c r="A1368" s="2" t="s">
        <v>1368</v>
      </c>
    </row>
    <row r="1369" spans="1:1" ht="13" x14ac:dyDescent="0.15">
      <c r="A1369" s="2" t="s">
        <v>1369</v>
      </c>
    </row>
    <row r="1370" spans="1:1" ht="13" x14ac:dyDescent="0.15">
      <c r="A1370" s="2" t="s">
        <v>1370</v>
      </c>
    </row>
    <row r="1371" spans="1:1" ht="13" x14ac:dyDescent="0.15">
      <c r="A1371" s="2" t="s">
        <v>1371</v>
      </c>
    </row>
    <row r="1372" spans="1:1" ht="13" x14ac:dyDescent="0.15">
      <c r="A1372" s="2" t="s">
        <v>1372</v>
      </c>
    </row>
    <row r="1373" spans="1:1" ht="13" x14ac:dyDescent="0.15">
      <c r="A1373" s="2" t="s">
        <v>1373</v>
      </c>
    </row>
    <row r="1374" spans="1:1" ht="13" x14ac:dyDescent="0.15">
      <c r="A1374" s="2" t="s">
        <v>1374</v>
      </c>
    </row>
    <row r="1375" spans="1:1" ht="13" x14ac:dyDescent="0.15">
      <c r="A1375" s="2" t="s">
        <v>1375</v>
      </c>
    </row>
    <row r="1376" spans="1:1" ht="13" x14ac:dyDescent="0.15">
      <c r="A1376" s="2" t="s">
        <v>1376</v>
      </c>
    </row>
    <row r="1377" spans="1:1" ht="13" x14ac:dyDescent="0.15">
      <c r="A1377" s="2" t="s">
        <v>1377</v>
      </c>
    </row>
    <row r="1378" spans="1:1" ht="13" x14ac:dyDescent="0.15">
      <c r="A1378" s="2" t="s">
        <v>1378</v>
      </c>
    </row>
    <row r="1379" spans="1:1" ht="13" x14ac:dyDescent="0.15">
      <c r="A1379" s="2" t="s">
        <v>1379</v>
      </c>
    </row>
    <row r="1380" spans="1:1" ht="13" x14ac:dyDescent="0.15">
      <c r="A1380" s="2" t="s">
        <v>1380</v>
      </c>
    </row>
    <row r="1381" spans="1:1" ht="13" x14ac:dyDescent="0.15">
      <c r="A1381" s="2" t="s">
        <v>1381</v>
      </c>
    </row>
    <row r="1382" spans="1:1" ht="13" x14ac:dyDescent="0.15">
      <c r="A1382" s="2" t="s">
        <v>1382</v>
      </c>
    </row>
    <row r="1383" spans="1:1" ht="13" x14ac:dyDescent="0.15">
      <c r="A1383" s="2" t="s">
        <v>1383</v>
      </c>
    </row>
    <row r="1384" spans="1:1" ht="13" x14ac:dyDescent="0.15">
      <c r="A1384" s="2" t="s">
        <v>1384</v>
      </c>
    </row>
    <row r="1385" spans="1:1" ht="13" x14ac:dyDescent="0.15">
      <c r="A1385" s="2" t="s">
        <v>1385</v>
      </c>
    </row>
    <row r="1386" spans="1:1" ht="13" x14ac:dyDescent="0.15">
      <c r="A1386" s="2" t="s">
        <v>1386</v>
      </c>
    </row>
    <row r="1387" spans="1:1" ht="13" x14ac:dyDescent="0.15">
      <c r="A1387" s="2" t="s">
        <v>1387</v>
      </c>
    </row>
    <row r="1388" spans="1:1" ht="13" x14ac:dyDescent="0.15">
      <c r="A1388" s="2" t="s">
        <v>1388</v>
      </c>
    </row>
    <row r="1389" spans="1:1" ht="13" x14ac:dyDescent="0.15">
      <c r="A1389" s="2" t="s">
        <v>1389</v>
      </c>
    </row>
    <row r="1390" spans="1:1" ht="13" x14ac:dyDescent="0.15">
      <c r="A1390" s="2" t="s">
        <v>1390</v>
      </c>
    </row>
    <row r="1391" spans="1:1" ht="13" x14ac:dyDescent="0.15">
      <c r="A1391" s="2" t="s">
        <v>1391</v>
      </c>
    </row>
    <row r="1392" spans="1:1" ht="13" x14ac:dyDescent="0.15">
      <c r="A1392" s="2" t="s">
        <v>1392</v>
      </c>
    </row>
    <row r="1393" spans="1:1" ht="13" x14ac:dyDescent="0.15">
      <c r="A1393" s="2" t="s">
        <v>1393</v>
      </c>
    </row>
    <row r="1394" spans="1:1" ht="13" x14ac:dyDescent="0.15">
      <c r="A1394" s="2" t="s">
        <v>1394</v>
      </c>
    </row>
    <row r="1395" spans="1:1" ht="13" x14ac:dyDescent="0.15">
      <c r="A1395" s="2" t="s">
        <v>1395</v>
      </c>
    </row>
    <row r="1396" spans="1:1" ht="13" x14ac:dyDescent="0.15">
      <c r="A1396" s="2" t="s">
        <v>1396</v>
      </c>
    </row>
    <row r="1397" spans="1:1" ht="13" x14ac:dyDescent="0.15">
      <c r="A1397" s="2" t="s">
        <v>1397</v>
      </c>
    </row>
    <row r="1398" spans="1:1" ht="13" x14ac:dyDescent="0.15">
      <c r="A1398" s="2" t="s">
        <v>1398</v>
      </c>
    </row>
    <row r="1399" spans="1:1" ht="13" x14ac:dyDescent="0.15">
      <c r="A1399" s="2" t="s">
        <v>1399</v>
      </c>
    </row>
    <row r="1400" spans="1:1" ht="13" x14ac:dyDescent="0.15">
      <c r="A1400" s="2" t="s">
        <v>1400</v>
      </c>
    </row>
    <row r="1401" spans="1:1" ht="13" x14ac:dyDescent="0.15">
      <c r="A1401" s="2" t="s">
        <v>1401</v>
      </c>
    </row>
    <row r="1402" spans="1:1" ht="13" x14ac:dyDescent="0.15">
      <c r="A1402" s="2" t="s">
        <v>1402</v>
      </c>
    </row>
    <row r="1403" spans="1:1" ht="13" x14ac:dyDescent="0.15">
      <c r="A1403" s="2" t="s">
        <v>1403</v>
      </c>
    </row>
    <row r="1404" spans="1:1" ht="13" x14ac:dyDescent="0.15">
      <c r="A1404" s="2" t="s">
        <v>1404</v>
      </c>
    </row>
    <row r="1405" spans="1:1" ht="13" x14ac:dyDescent="0.15">
      <c r="A1405" s="2" t="s">
        <v>1405</v>
      </c>
    </row>
    <row r="1406" spans="1:1" ht="13" x14ac:dyDescent="0.15">
      <c r="A1406" s="2" t="s">
        <v>1406</v>
      </c>
    </row>
    <row r="1407" spans="1:1" ht="13" x14ac:dyDescent="0.15">
      <c r="A1407" s="2" t="s">
        <v>1407</v>
      </c>
    </row>
    <row r="1408" spans="1:1" ht="13" x14ac:dyDescent="0.15">
      <c r="A1408" s="2" t="s">
        <v>1408</v>
      </c>
    </row>
    <row r="1409" spans="1:1" ht="13" x14ac:dyDescent="0.15">
      <c r="A1409" s="2" t="s">
        <v>1409</v>
      </c>
    </row>
    <row r="1410" spans="1:1" ht="13" x14ac:dyDescent="0.15">
      <c r="A1410" s="2" t="s">
        <v>1410</v>
      </c>
    </row>
    <row r="1411" spans="1:1" ht="13" x14ac:dyDescent="0.15">
      <c r="A1411" s="2" t="s">
        <v>1411</v>
      </c>
    </row>
    <row r="1412" spans="1:1" ht="13" x14ac:dyDescent="0.15">
      <c r="A1412" s="2" t="s">
        <v>1412</v>
      </c>
    </row>
    <row r="1413" spans="1:1" ht="13" x14ac:dyDescent="0.15">
      <c r="A1413" s="2" t="s">
        <v>1413</v>
      </c>
    </row>
    <row r="1414" spans="1:1" ht="13" x14ac:dyDescent="0.15">
      <c r="A1414" s="2" t="s">
        <v>1414</v>
      </c>
    </row>
    <row r="1415" spans="1:1" ht="13" x14ac:dyDescent="0.15">
      <c r="A1415" s="2" t="s">
        <v>1415</v>
      </c>
    </row>
    <row r="1416" spans="1:1" ht="13" x14ac:dyDescent="0.15">
      <c r="A1416" s="2" t="s">
        <v>1416</v>
      </c>
    </row>
    <row r="1417" spans="1:1" ht="13" x14ac:dyDescent="0.15">
      <c r="A1417" s="2" t="s">
        <v>1417</v>
      </c>
    </row>
    <row r="1418" spans="1:1" ht="13" x14ac:dyDescent="0.15">
      <c r="A1418" s="2" t="s">
        <v>1418</v>
      </c>
    </row>
    <row r="1419" spans="1:1" ht="13" x14ac:dyDescent="0.15">
      <c r="A1419" s="2" t="s">
        <v>1419</v>
      </c>
    </row>
    <row r="1420" spans="1:1" ht="13" x14ac:dyDescent="0.15">
      <c r="A1420" s="2" t="s">
        <v>1420</v>
      </c>
    </row>
    <row r="1421" spans="1:1" ht="13" x14ac:dyDescent="0.15">
      <c r="A1421" s="2" t="s">
        <v>1421</v>
      </c>
    </row>
    <row r="1422" spans="1:1" ht="13" x14ac:dyDescent="0.15">
      <c r="A1422" s="2" t="s">
        <v>1422</v>
      </c>
    </row>
    <row r="1423" spans="1:1" ht="13" x14ac:dyDescent="0.15">
      <c r="A1423" s="2" t="s">
        <v>1423</v>
      </c>
    </row>
    <row r="1424" spans="1:1" ht="13" x14ac:dyDescent="0.15">
      <c r="A1424" s="2" t="s">
        <v>1424</v>
      </c>
    </row>
    <row r="1425" spans="1:1" ht="13" x14ac:dyDescent="0.15">
      <c r="A1425" s="2" t="s">
        <v>1425</v>
      </c>
    </row>
    <row r="1426" spans="1:1" ht="13" x14ac:dyDescent="0.15">
      <c r="A1426" s="2" t="s">
        <v>1426</v>
      </c>
    </row>
    <row r="1427" spans="1:1" ht="13" x14ac:dyDescent="0.15">
      <c r="A1427" s="2" t="s">
        <v>1427</v>
      </c>
    </row>
    <row r="1428" spans="1:1" ht="13" x14ac:dyDescent="0.15">
      <c r="A1428" s="2" t="s">
        <v>1428</v>
      </c>
    </row>
    <row r="1429" spans="1:1" ht="13" x14ac:dyDescent="0.15">
      <c r="A1429" s="2" t="s">
        <v>1429</v>
      </c>
    </row>
    <row r="1430" spans="1:1" ht="13" x14ac:dyDescent="0.15">
      <c r="A1430" s="2" t="s">
        <v>1430</v>
      </c>
    </row>
    <row r="1431" spans="1:1" ht="13" x14ac:dyDescent="0.15">
      <c r="A1431" s="2" t="s">
        <v>1431</v>
      </c>
    </row>
    <row r="1432" spans="1:1" ht="13" x14ac:dyDescent="0.15">
      <c r="A1432" s="2" t="s">
        <v>1432</v>
      </c>
    </row>
    <row r="1433" spans="1:1" ht="13" x14ac:dyDescent="0.15">
      <c r="A1433" s="2" t="s">
        <v>1433</v>
      </c>
    </row>
    <row r="1434" spans="1:1" ht="13" x14ac:dyDescent="0.15">
      <c r="A1434" s="2" t="s">
        <v>1434</v>
      </c>
    </row>
    <row r="1435" spans="1:1" ht="13" x14ac:dyDescent="0.15">
      <c r="A1435" s="2" t="s">
        <v>1435</v>
      </c>
    </row>
    <row r="1436" spans="1:1" ht="13" x14ac:dyDescent="0.15">
      <c r="A1436" s="2" t="s">
        <v>1436</v>
      </c>
    </row>
    <row r="1437" spans="1:1" ht="13" x14ac:dyDescent="0.15">
      <c r="A1437" s="2" t="s">
        <v>1437</v>
      </c>
    </row>
    <row r="1438" spans="1:1" ht="13" x14ac:dyDescent="0.15">
      <c r="A1438" s="2" t="s">
        <v>1438</v>
      </c>
    </row>
    <row r="1439" spans="1:1" ht="13" x14ac:dyDescent="0.15">
      <c r="A1439" s="2" t="s">
        <v>1439</v>
      </c>
    </row>
    <row r="1440" spans="1:1" ht="13" x14ac:dyDescent="0.15">
      <c r="A1440" s="2" t="s">
        <v>1440</v>
      </c>
    </row>
    <row r="1441" spans="1:1" ht="13" x14ac:dyDescent="0.15">
      <c r="A1441" s="2" t="s">
        <v>1441</v>
      </c>
    </row>
    <row r="1442" spans="1:1" ht="13" x14ac:dyDescent="0.15">
      <c r="A1442" s="2" t="s">
        <v>1442</v>
      </c>
    </row>
    <row r="1443" spans="1:1" ht="13" x14ac:dyDescent="0.15">
      <c r="A1443" s="2" t="s">
        <v>1443</v>
      </c>
    </row>
    <row r="1444" spans="1:1" ht="13" x14ac:dyDescent="0.15">
      <c r="A1444" s="2" t="s">
        <v>1444</v>
      </c>
    </row>
    <row r="1445" spans="1:1" ht="13" x14ac:dyDescent="0.15">
      <c r="A1445" s="2" t="s">
        <v>1445</v>
      </c>
    </row>
    <row r="1446" spans="1:1" ht="13" x14ac:dyDescent="0.15">
      <c r="A1446" s="2" t="s">
        <v>1446</v>
      </c>
    </row>
    <row r="1447" spans="1:1" ht="13" x14ac:dyDescent="0.15">
      <c r="A1447" s="2" t="s">
        <v>1447</v>
      </c>
    </row>
    <row r="1448" spans="1:1" ht="13" x14ac:dyDescent="0.15">
      <c r="A1448" s="2" t="s">
        <v>1448</v>
      </c>
    </row>
    <row r="1449" spans="1:1" ht="13" x14ac:dyDescent="0.15">
      <c r="A1449" s="2" t="s">
        <v>1449</v>
      </c>
    </row>
    <row r="1450" spans="1:1" ht="13" x14ac:dyDescent="0.15">
      <c r="A1450" s="2" t="s">
        <v>1450</v>
      </c>
    </row>
    <row r="1451" spans="1:1" ht="13" x14ac:dyDescent="0.15">
      <c r="A1451" s="2" t="s">
        <v>1451</v>
      </c>
    </row>
    <row r="1452" spans="1:1" ht="13" x14ac:dyDescent="0.15">
      <c r="A1452" s="2" t="s">
        <v>1452</v>
      </c>
    </row>
    <row r="1453" spans="1:1" ht="13" x14ac:dyDescent="0.15">
      <c r="A1453" s="2" t="s">
        <v>1453</v>
      </c>
    </row>
    <row r="1454" spans="1:1" ht="13" x14ac:dyDescent="0.15">
      <c r="A1454" s="2" t="s">
        <v>1454</v>
      </c>
    </row>
    <row r="1455" spans="1:1" ht="13" x14ac:dyDescent="0.15">
      <c r="A1455" s="2" t="s">
        <v>1455</v>
      </c>
    </row>
    <row r="1456" spans="1:1" ht="13" x14ac:dyDescent="0.15">
      <c r="A1456" s="2" t="s">
        <v>1456</v>
      </c>
    </row>
    <row r="1457" spans="1:1" ht="13" x14ac:dyDescent="0.15">
      <c r="A1457" s="2" t="s">
        <v>1457</v>
      </c>
    </row>
    <row r="1458" spans="1:1" ht="13" x14ac:dyDescent="0.15">
      <c r="A1458" s="2" t="s">
        <v>1458</v>
      </c>
    </row>
    <row r="1459" spans="1:1" ht="13" x14ac:dyDescent="0.15">
      <c r="A1459" s="2" t="s">
        <v>1459</v>
      </c>
    </row>
    <row r="1460" spans="1:1" ht="13" x14ac:dyDescent="0.15">
      <c r="A1460" s="2" t="s">
        <v>1460</v>
      </c>
    </row>
    <row r="1461" spans="1:1" ht="13" x14ac:dyDescent="0.15">
      <c r="A1461" s="2" t="s">
        <v>1461</v>
      </c>
    </row>
    <row r="1462" spans="1:1" ht="13" x14ac:dyDescent="0.15">
      <c r="A1462" s="2" t="s">
        <v>1462</v>
      </c>
    </row>
    <row r="1463" spans="1:1" ht="13" x14ac:dyDescent="0.15">
      <c r="A1463" s="2" t="s">
        <v>1463</v>
      </c>
    </row>
    <row r="1464" spans="1:1" ht="13" x14ac:dyDescent="0.15">
      <c r="A1464" s="2" t="s">
        <v>1464</v>
      </c>
    </row>
    <row r="1465" spans="1:1" ht="13" x14ac:dyDescent="0.15">
      <c r="A1465" s="2" t="s">
        <v>1465</v>
      </c>
    </row>
    <row r="1466" spans="1:1" ht="13" x14ac:dyDescent="0.15">
      <c r="A1466" s="2" t="s">
        <v>1466</v>
      </c>
    </row>
    <row r="1467" spans="1:1" ht="13" x14ac:dyDescent="0.15">
      <c r="A1467" s="2" t="s">
        <v>1467</v>
      </c>
    </row>
    <row r="1468" spans="1:1" ht="13" x14ac:dyDescent="0.15">
      <c r="A1468" s="2" t="s">
        <v>1468</v>
      </c>
    </row>
    <row r="1469" spans="1:1" ht="13" x14ac:dyDescent="0.15">
      <c r="A1469" s="2" t="s">
        <v>1469</v>
      </c>
    </row>
    <row r="1470" spans="1:1" ht="13" x14ac:dyDescent="0.15">
      <c r="A1470" s="2" t="s">
        <v>1470</v>
      </c>
    </row>
    <row r="1471" spans="1:1" ht="13" x14ac:dyDescent="0.15">
      <c r="A1471" s="2" t="s">
        <v>1471</v>
      </c>
    </row>
    <row r="1472" spans="1:1" ht="13" x14ac:dyDescent="0.15">
      <c r="A1472" s="2" t="s">
        <v>1472</v>
      </c>
    </row>
    <row r="1473" spans="1:1" ht="13" x14ac:dyDescent="0.15">
      <c r="A1473" s="2" t="s">
        <v>1473</v>
      </c>
    </row>
    <row r="1474" spans="1:1" ht="13" x14ac:dyDescent="0.15">
      <c r="A1474" s="2" t="s">
        <v>1474</v>
      </c>
    </row>
    <row r="1475" spans="1:1" ht="13" x14ac:dyDescent="0.15">
      <c r="A1475" s="2" t="s">
        <v>1475</v>
      </c>
    </row>
    <row r="1476" spans="1:1" ht="13" x14ac:dyDescent="0.15">
      <c r="A1476" s="2" t="s">
        <v>1476</v>
      </c>
    </row>
    <row r="1477" spans="1:1" ht="13" x14ac:dyDescent="0.15">
      <c r="A1477" s="2" t="s">
        <v>1477</v>
      </c>
    </row>
    <row r="1478" spans="1:1" ht="13" x14ac:dyDescent="0.15">
      <c r="A1478" s="2" t="s">
        <v>1478</v>
      </c>
    </row>
    <row r="1479" spans="1:1" ht="13" x14ac:dyDescent="0.15">
      <c r="A1479" s="2" t="s">
        <v>1479</v>
      </c>
    </row>
    <row r="1480" spans="1:1" ht="13" x14ac:dyDescent="0.15">
      <c r="A1480" s="2" t="s">
        <v>1480</v>
      </c>
    </row>
    <row r="1481" spans="1:1" ht="13" x14ac:dyDescent="0.15">
      <c r="A1481" s="2" t="s">
        <v>1481</v>
      </c>
    </row>
    <row r="1482" spans="1:1" ht="13" x14ac:dyDescent="0.15">
      <c r="A1482" s="2" t="s">
        <v>1482</v>
      </c>
    </row>
    <row r="1483" spans="1:1" ht="13" x14ac:dyDescent="0.15">
      <c r="A1483" s="2" t="s">
        <v>1483</v>
      </c>
    </row>
    <row r="1484" spans="1:1" ht="13" x14ac:dyDescent="0.15">
      <c r="A1484" s="2" t="s">
        <v>1484</v>
      </c>
    </row>
    <row r="1485" spans="1:1" ht="13" x14ac:dyDescent="0.15">
      <c r="A1485" s="2" t="s">
        <v>1485</v>
      </c>
    </row>
    <row r="1486" spans="1:1" ht="13" x14ac:dyDescent="0.15">
      <c r="A1486" s="2" t="s">
        <v>1486</v>
      </c>
    </row>
    <row r="1487" spans="1:1" ht="13" x14ac:dyDescent="0.15">
      <c r="A1487" s="2" t="s">
        <v>1487</v>
      </c>
    </row>
    <row r="1488" spans="1:1" ht="13" x14ac:dyDescent="0.15">
      <c r="A1488" s="2" t="s">
        <v>1488</v>
      </c>
    </row>
    <row r="1489" spans="1:1" ht="13" x14ac:dyDescent="0.15">
      <c r="A1489" s="2" t="s">
        <v>1489</v>
      </c>
    </row>
    <row r="1490" spans="1:1" ht="13" x14ac:dyDescent="0.15">
      <c r="A1490" s="2" t="s">
        <v>1490</v>
      </c>
    </row>
    <row r="1491" spans="1:1" ht="13" x14ac:dyDescent="0.15">
      <c r="A1491" s="2" t="s">
        <v>1491</v>
      </c>
    </row>
    <row r="1492" spans="1:1" ht="13" x14ac:dyDescent="0.15">
      <c r="A1492" s="2" t="s">
        <v>1492</v>
      </c>
    </row>
    <row r="1493" spans="1:1" ht="13" x14ac:dyDescent="0.15">
      <c r="A1493" s="2" t="s">
        <v>1493</v>
      </c>
    </row>
    <row r="1494" spans="1:1" ht="13" x14ac:dyDescent="0.15">
      <c r="A1494" s="2" t="s">
        <v>1494</v>
      </c>
    </row>
    <row r="1495" spans="1:1" ht="13" x14ac:dyDescent="0.15">
      <c r="A1495" s="2" t="s">
        <v>1495</v>
      </c>
    </row>
    <row r="1496" spans="1:1" ht="13" x14ac:dyDescent="0.15">
      <c r="A1496" s="2" t="s">
        <v>1496</v>
      </c>
    </row>
    <row r="1497" spans="1:1" ht="13" x14ac:dyDescent="0.15">
      <c r="A1497" s="2" t="s">
        <v>1497</v>
      </c>
    </row>
    <row r="1498" spans="1:1" ht="13" x14ac:dyDescent="0.15">
      <c r="A1498" s="2" t="s">
        <v>1498</v>
      </c>
    </row>
    <row r="1499" spans="1:1" ht="13" x14ac:dyDescent="0.15">
      <c r="A1499" s="2" t="s">
        <v>1499</v>
      </c>
    </row>
    <row r="1500" spans="1:1" ht="13" x14ac:dyDescent="0.15">
      <c r="A1500" s="2" t="s">
        <v>1500</v>
      </c>
    </row>
    <row r="1501" spans="1:1" ht="13" x14ac:dyDescent="0.15">
      <c r="A1501" s="2" t="s">
        <v>1501</v>
      </c>
    </row>
    <row r="1502" spans="1:1" ht="13" x14ac:dyDescent="0.15">
      <c r="A1502" s="2" t="s">
        <v>1502</v>
      </c>
    </row>
    <row r="1503" spans="1:1" ht="13" x14ac:dyDescent="0.15">
      <c r="A1503" s="2" t="s">
        <v>1503</v>
      </c>
    </row>
    <row r="1504" spans="1:1" ht="13" x14ac:dyDescent="0.15">
      <c r="A1504" s="2" t="s">
        <v>1504</v>
      </c>
    </row>
    <row r="1505" spans="1:1" ht="13" x14ac:dyDescent="0.15">
      <c r="A1505" s="2" t="s">
        <v>1505</v>
      </c>
    </row>
    <row r="1506" spans="1:1" ht="13" x14ac:dyDescent="0.15">
      <c r="A1506" s="2" t="s">
        <v>1506</v>
      </c>
    </row>
    <row r="1507" spans="1:1" ht="13" x14ac:dyDescent="0.15">
      <c r="A1507" s="2" t="s">
        <v>1507</v>
      </c>
    </row>
    <row r="1508" spans="1:1" ht="13" x14ac:dyDescent="0.15">
      <c r="A1508" s="2" t="s">
        <v>1508</v>
      </c>
    </row>
    <row r="1509" spans="1:1" ht="13" x14ac:dyDescent="0.15">
      <c r="A1509" s="2" t="s">
        <v>1509</v>
      </c>
    </row>
    <row r="1510" spans="1:1" ht="13" x14ac:dyDescent="0.15">
      <c r="A1510" s="2" t="s">
        <v>1510</v>
      </c>
    </row>
    <row r="1511" spans="1:1" ht="13" x14ac:dyDescent="0.15">
      <c r="A1511" s="2" t="s">
        <v>1511</v>
      </c>
    </row>
    <row r="1512" spans="1:1" ht="13" x14ac:dyDescent="0.15">
      <c r="A1512" s="2" t="s">
        <v>1512</v>
      </c>
    </row>
    <row r="1513" spans="1:1" ht="13" x14ac:dyDescent="0.15">
      <c r="A1513" s="2" t="s">
        <v>1513</v>
      </c>
    </row>
    <row r="1514" spans="1:1" ht="13" x14ac:dyDescent="0.15">
      <c r="A1514" s="2" t="s">
        <v>1514</v>
      </c>
    </row>
    <row r="1515" spans="1:1" ht="13" x14ac:dyDescent="0.15">
      <c r="A1515" s="2" t="s">
        <v>1515</v>
      </c>
    </row>
    <row r="1516" spans="1:1" ht="13" x14ac:dyDescent="0.15">
      <c r="A1516" s="2" t="s">
        <v>1516</v>
      </c>
    </row>
    <row r="1517" spans="1:1" ht="13" x14ac:dyDescent="0.15">
      <c r="A1517" s="2" t="s">
        <v>1517</v>
      </c>
    </row>
    <row r="1518" spans="1:1" ht="13" x14ac:dyDescent="0.15">
      <c r="A1518" s="2" t="s">
        <v>1518</v>
      </c>
    </row>
    <row r="1519" spans="1:1" ht="13" x14ac:dyDescent="0.15">
      <c r="A1519" s="2" t="s">
        <v>1519</v>
      </c>
    </row>
    <row r="1520" spans="1:1" ht="13" x14ac:dyDescent="0.15">
      <c r="A1520" s="2" t="s">
        <v>1520</v>
      </c>
    </row>
    <row r="1521" spans="1:1" ht="13" x14ac:dyDescent="0.15">
      <c r="A1521" s="2" t="s">
        <v>1521</v>
      </c>
    </row>
    <row r="1522" spans="1:1" ht="13" x14ac:dyDescent="0.15">
      <c r="A1522" s="2" t="s">
        <v>1522</v>
      </c>
    </row>
    <row r="1523" spans="1:1" ht="13" x14ac:dyDescent="0.15">
      <c r="A1523" s="2" t="s">
        <v>1523</v>
      </c>
    </row>
    <row r="1524" spans="1:1" ht="13" x14ac:dyDescent="0.15">
      <c r="A1524" s="2" t="s">
        <v>1524</v>
      </c>
    </row>
    <row r="1525" spans="1:1" ht="13" x14ac:dyDescent="0.15">
      <c r="A1525" s="2" t="s">
        <v>1525</v>
      </c>
    </row>
    <row r="1526" spans="1:1" ht="13" x14ac:dyDescent="0.15">
      <c r="A1526" s="2" t="s">
        <v>1526</v>
      </c>
    </row>
    <row r="1527" spans="1:1" ht="13" x14ac:dyDescent="0.15">
      <c r="A1527" s="2" t="s">
        <v>1527</v>
      </c>
    </row>
    <row r="1528" spans="1:1" ht="13" x14ac:dyDescent="0.15">
      <c r="A1528" s="2" t="s">
        <v>1528</v>
      </c>
    </row>
    <row r="1529" spans="1:1" ht="13" x14ac:dyDescent="0.15">
      <c r="A1529" s="2" t="s">
        <v>1529</v>
      </c>
    </row>
    <row r="1530" spans="1:1" ht="13" x14ac:dyDescent="0.15">
      <c r="A1530" s="2" t="s">
        <v>1530</v>
      </c>
    </row>
    <row r="1531" spans="1:1" ht="13" x14ac:dyDescent="0.15">
      <c r="A1531" s="2" t="s">
        <v>1531</v>
      </c>
    </row>
    <row r="1532" spans="1:1" ht="13" x14ac:dyDescent="0.15">
      <c r="A1532" s="2" t="s">
        <v>1532</v>
      </c>
    </row>
    <row r="1533" spans="1:1" ht="13" x14ac:dyDescent="0.15">
      <c r="A1533" s="2" t="s">
        <v>1533</v>
      </c>
    </row>
    <row r="1534" spans="1:1" ht="13" x14ac:dyDescent="0.15">
      <c r="A1534" s="2" t="s">
        <v>1534</v>
      </c>
    </row>
    <row r="1535" spans="1:1" ht="13" x14ac:dyDescent="0.15">
      <c r="A1535" s="2" t="s">
        <v>1535</v>
      </c>
    </row>
    <row r="1536" spans="1:1" ht="13" x14ac:dyDescent="0.15">
      <c r="A1536" s="2" t="s">
        <v>1536</v>
      </c>
    </row>
    <row r="1537" spans="1:1" ht="13" x14ac:dyDescent="0.15">
      <c r="A1537" s="2" t="s">
        <v>1537</v>
      </c>
    </row>
    <row r="1538" spans="1:1" ht="13" x14ac:dyDescent="0.15">
      <c r="A1538" s="2" t="s">
        <v>1538</v>
      </c>
    </row>
    <row r="1539" spans="1:1" ht="13" x14ac:dyDescent="0.15">
      <c r="A1539" s="2" t="s">
        <v>1539</v>
      </c>
    </row>
    <row r="1540" spans="1:1" ht="13" x14ac:dyDescent="0.15">
      <c r="A1540" s="2" t="s">
        <v>1540</v>
      </c>
    </row>
    <row r="1541" spans="1:1" ht="13" x14ac:dyDescent="0.15">
      <c r="A1541" s="2" t="s">
        <v>1541</v>
      </c>
    </row>
    <row r="1542" spans="1:1" ht="13" x14ac:dyDescent="0.15">
      <c r="A1542" s="2" t="s">
        <v>1542</v>
      </c>
    </row>
    <row r="1543" spans="1:1" ht="13" x14ac:dyDescent="0.15">
      <c r="A1543" s="2" t="s">
        <v>1543</v>
      </c>
    </row>
    <row r="1544" spans="1:1" ht="13" x14ac:dyDescent="0.15">
      <c r="A1544" s="2" t="s">
        <v>1544</v>
      </c>
    </row>
    <row r="1545" spans="1:1" ht="13" x14ac:dyDescent="0.15">
      <c r="A1545" s="2" t="s">
        <v>1545</v>
      </c>
    </row>
    <row r="1546" spans="1:1" ht="13" x14ac:dyDescent="0.15">
      <c r="A1546" s="2" t="s">
        <v>1546</v>
      </c>
    </row>
    <row r="1547" spans="1:1" ht="13" x14ac:dyDescent="0.15">
      <c r="A1547" s="2" t="s">
        <v>1547</v>
      </c>
    </row>
    <row r="1548" spans="1:1" ht="13" x14ac:dyDescent="0.15">
      <c r="A1548" s="2" t="s">
        <v>1548</v>
      </c>
    </row>
    <row r="1549" spans="1:1" ht="13" x14ac:dyDescent="0.15">
      <c r="A1549" s="2" t="s">
        <v>1549</v>
      </c>
    </row>
    <row r="1550" spans="1:1" ht="13" x14ac:dyDescent="0.15">
      <c r="A1550" s="2" t="s">
        <v>1550</v>
      </c>
    </row>
    <row r="1551" spans="1:1" ht="13" x14ac:dyDescent="0.15">
      <c r="A1551" s="2" t="s">
        <v>1551</v>
      </c>
    </row>
    <row r="1552" spans="1:1" ht="13" x14ac:dyDescent="0.15">
      <c r="A1552" s="2" t="s">
        <v>1552</v>
      </c>
    </row>
    <row r="1553" spans="1:1" ht="13" x14ac:dyDescent="0.15">
      <c r="A1553" s="2" t="s">
        <v>1553</v>
      </c>
    </row>
    <row r="1554" spans="1:1" ht="13" x14ac:dyDescent="0.15">
      <c r="A1554" s="2" t="s">
        <v>1554</v>
      </c>
    </row>
    <row r="1555" spans="1:1" ht="13" x14ac:dyDescent="0.15">
      <c r="A1555" s="2" t="s">
        <v>1555</v>
      </c>
    </row>
    <row r="1556" spans="1:1" ht="13" x14ac:dyDescent="0.15">
      <c r="A1556" s="2" t="s">
        <v>1556</v>
      </c>
    </row>
    <row r="1557" spans="1:1" ht="13" x14ac:dyDescent="0.15">
      <c r="A1557" s="2" t="s">
        <v>1557</v>
      </c>
    </row>
    <row r="1558" spans="1:1" ht="13" x14ac:dyDescent="0.15">
      <c r="A1558" s="2" t="s">
        <v>1558</v>
      </c>
    </row>
    <row r="1559" spans="1:1" ht="13" x14ac:dyDescent="0.15">
      <c r="A1559" s="2" t="s">
        <v>1559</v>
      </c>
    </row>
    <row r="1560" spans="1:1" ht="13" x14ac:dyDescent="0.15">
      <c r="A1560" s="2" t="s">
        <v>1560</v>
      </c>
    </row>
    <row r="1561" spans="1:1" ht="13" x14ac:dyDescent="0.15">
      <c r="A1561" s="2" t="s">
        <v>1561</v>
      </c>
    </row>
    <row r="1562" spans="1:1" ht="13" x14ac:dyDescent="0.15">
      <c r="A1562" s="2" t="s">
        <v>1562</v>
      </c>
    </row>
    <row r="1563" spans="1:1" ht="13" x14ac:dyDescent="0.15">
      <c r="A1563" s="2" t="s">
        <v>1563</v>
      </c>
    </row>
    <row r="1564" spans="1:1" ht="13" x14ac:dyDescent="0.15">
      <c r="A1564" s="2" t="s">
        <v>1564</v>
      </c>
    </row>
    <row r="1565" spans="1:1" ht="13" x14ac:dyDescent="0.15">
      <c r="A1565" s="2" t="s">
        <v>1565</v>
      </c>
    </row>
    <row r="1566" spans="1:1" ht="13" x14ac:dyDescent="0.15">
      <c r="A1566" s="2" t="s">
        <v>1566</v>
      </c>
    </row>
    <row r="1567" spans="1:1" ht="13" x14ac:dyDescent="0.15">
      <c r="A1567" s="2" t="s">
        <v>1567</v>
      </c>
    </row>
    <row r="1568" spans="1:1" ht="13" x14ac:dyDescent="0.15">
      <c r="A1568" s="2" t="s">
        <v>1568</v>
      </c>
    </row>
    <row r="1569" spans="1:1" ht="13" x14ac:dyDescent="0.15">
      <c r="A1569" s="2" t="s">
        <v>1569</v>
      </c>
    </row>
    <row r="1570" spans="1:1" ht="13" x14ac:dyDescent="0.15">
      <c r="A1570" s="2" t="s">
        <v>1570</v>
      </c>
    </row>
    <row r="1571" spans="1:1" ht="13" x14ac:dyDescent="0.15">
      <c r="A1571" s="2" t="s">
        <v>1571</v>
      </c>
    </row>
    <row r="1572" spans="1:1" ht="13" x14ac:dyDescent="0.15">
      <c r="A1572" s="2" t="s">
        <v>1572</v>
      </c>
    </row>
    <row r="1573" spans="1:1" ht="13" x14ac:dyDescent="0.15">
      <c r="A1573" s="2" t="s">
        <v>1573</v>
      </c>
    </row>
    <row r="1574" spans="1:1" ht="13" x14ac:dyDescent="0.15">
      <c r="A1574" s="2" t="s">
        <v>1574</v>
      </c>
    </row>
    <row r="1575" spans="1:1" ht="13" x14ac:dyDescent="0.15">
      <c r="A1575" s="2" t="s">
        <v>1575</v>
      </c>
    </row>
    <row r="1576" spans="1:1" ht="13" x14ac:dyDescent="0.15">
      <c r="A1576" s="2" t="s">
        <v>1576</v>
      </c>
    </row>
    <row r="1577" spans="1:1" ht="13" x14ac:dyDescent="0.15">
      <c r="A1577" s="2" t="s">
        <v>1577</v>
      </c>
    </row>
    <row r="1578" spans="1:1" ht="13" x14ac:dyDescent="0.15">
      <c r="A1578" s="2" t="s">
        <v>1578</v>
      </c>
    </row>
    <row r="1579" spans="1:1" ht="13" x14ac:dyDescent="0.15">
      <c r="A1579" s="2" t="s">
        <v>1579</v>
      </c>
    </row>
    <row r="1580" spans="1:1" ht="13" x14ac:dyDescent="0.15">
      <c r="A1580" s="2" t="s">
        <v>1580</v>
      </c>
    </row>
    <row r="1581" spans="1:1" ht="13" x14ac:dyDescent="0.15">
      <c r="A1581" s="2" t="s">
        <v>1581</v>
      </c>
    </row>
    <row r="1582" spans="1:1" ht="13" x14ac:dyDescent="0.15">
      <c r="A1582" s="2" t="s">
        <v>1582</v>
      </c>
    </row>
    <row r="1583" spans="1:1" ht="13" x14ac:dyDescent="0.15">
      <c r="A1583" s="2" t="s">
        <v>1583</v>
      </c>
    </row>
    <row r="1584" spans="1:1" ht="13" x14ac:dyDescent="0.15">
      <c r="A1584" s="2" t="s">
        <v>1584</v>
      </c>
    </row>
    <row r="1585" spans="1:1" ht="13" x14ac:dyDescent="0.15">
      <c r="A1585" s="2" t="s">
        <v>1585</v>
      </c>
    </row>
    <row r="1586" spans="1:1" ht="13" x14ac:dyDescent="0.15">
      <c r="A1586" s="2" t="s">
        <v>1586</v>
      </c>
    </row>
    <row r="1587" spans="1:1" ht="13" x14ac:dyDescent="0.15">
      <c r="A1587" s="2" t="s">
        <v>1587</v>
      </c>
    </row>
    <row r="1588" spans="1:1" ht="13" x14ac:dyDescent="0.15">
      <c r="A1588" s="2" t="s">
        <v>1588</v>
      </c>
    </row>
    <row r="1589" spans="1:1" ht="13" x14ac:dyDescent="0.15">
      <c r="A1589" s="2" t="s">
        <v>1589</v>
      </c>
    </row>
    <row r="1590" spans="1:1" ht="13" x14ac:dyDescent="0.15">
      <c r="A1590" s="2" t="s">
        <v>1590</v>
      </c>
    </row>
    <row r="1591" spans="1:1" ht="13" x14ac:dyDescent="0.15">
      <c r="A1591" s="2" t="s">
        <v>1591</v>
      </c>
    </row>
    <row r="1592" spans="1:1" ht="13" x14ac:dyDescent="0.15">
      <c r="A1592" s="2" t="s">
        <v>1592</v>
      </c>
    </row>
    <row r="1593" spans="1:1" ht="13" x14ac:dyDescent="0.15">
      <c r="A1593" s="2" t="s">
        <v>1593</v>
      </c>
    </row>
    <row r="1594" spans="1:1" ht="13" x14ac:dyDescent="0.15">
      <c r="A1594" s="2" t="s">
        <v>1594</v>
      </c>
    </row>
    <row r="1595" spans="1:1" ht="13" x14ac:dyDescent="0.15">
      <c r="A1595" s="2" t="s">
        <v>1595</v>
      </c>
    </row>
    <row r="1596" spans="1:1" ht="13" x14ac:dyDescent="0.15">
      <c r="A1596" s="2" t="s">
        <v>1596</v>
      </c>
    </row>
    <row r="1597" spans="1:1" ht="13" x14ac:dyDescent="0.15">
      <c r="A1597" s="2" t="s">
        <v>1597</v>
      </c>
    </row>
    <row r="1598" spans="1:1" ht="13" x14ac:dyDescent="0.15">
      <c r="A1598" s="2" t="s">
        <v>1598</v>
      </c>
    </row>
    <row r="1599" spans="1:1" ht="13" x14ac:dyDescent="0.15">
      <c r="A1599" s="2" t="s">
        <v>1599</v>
      </c>
    </row>
    <row r="1600" spans="1:1" ht="13" x14ac:dyDescent="0.15">
      <c r="A1600" s="2" t="s">
        <v>1600</v>
      </c>
    </row>
    <row r="1601" spans="1:1" ht="13" x14ac:dyDescent="0.15">
      <c r="A1601" s="2" t="s">
        <v>1601</v>
      </c>
    </row>
    <row r="1602" spans="1:1" ht="13" x14ac:dyDescent="0.15">
      <c r="A1602" s="2" t="s">
        <v>1602</v>
      </c>
    </row>
    <row r="1603" spans="1:1" ht="13" x14ac:dyDescent="0.15">
      <c r="A1603" s="2" t="s">
        <v>1603</v>
      </c>
    </row>
    <row r="1604" spans="1:1" ht="13" x14ac:dyDescent="0.15">
      <c r="A1604" s="2" t="s">
        <v>1604</v>
      </c>
    </row>
    <row r="1605" spans="1:1" ht="13" x14ac:dyDescent="0.15">
      <c r="A1605" s="2" t="s">
        <v>1605</v>
      </c>
    </row>
    <row r="1606" spans="1:1" ht="13" x14ac:dyDescent="0.15">
      <c r="A1606" s="2" t="s">
        <v>1606</v>
      </c>
    </row>
    <row r="1607" spans="1:1" ht="13" x14ac:dyDescent="0.15">
      <c r="A1607" s="2" t="s">
        <v>1607</v>
      </c>
    </row>
    <row r="1608" spans="1:1" ht="13" x14ac:dyDescent="0.15">
      <c r="A1608" s="2" t="s">
        <v>1608</v>
      </c>
    </row>
    <row r="1609" spans="1:1" ht="13" x14ac:dyDescent="0.15">
      <c r="A1609" s="2" t="s">
        <v>1609</v>
      </c>
    </row>
    <row r="1610" spans="1:1" ht="13" x14ac:dyDescent="0.15">
      <c r="A1610" s="2" t="s">
        <v>1610</v>
      </c>
    </row>
    <row r="1611" spans="1:1" ht="13" x14ac:dyDescent="0.15">
      <c r="A1611" s="2" t="s">
        <v>1611</v>
      </c>
    </row>
    <row r="1612" spans="1:1" ht="13" x14ac:dyDescent="0.15">
      <c r="A1612" s="2" t="s">
        <v>1612</v>
      </c>
    </row>
    <row r="1613" spans="1:1" ht="13" x14ac:dyDescent="0.15">
      <c r="A1613" s="2" t="s">
        <v>1613</v>
      </c>
    </row>
    <row r="1614" spans="1:1" ht="13" x14ac:dyDescent="0.15">
      <c r="A1614" s="2" t="s">
        <v>1614</v>
      </c>
    </row>
    <row r="1615" spans="1:1" ht="13" x14ac:dyDescent="0.15">
      <c r="A1615" s="2" t="s">
        <v>1615</v>
      </c>
    </row>
    <row r="1616" spans="1:1" ht="13" x14ac:dyDescent="0.15">
      <c r="A1616" s="2" t="s">
        <v>1616</v>
      </c>
    </row>
    <row r="1617" spans="1:1" ht="13" x14ac:dyDescent="0.15">
      <c r="A1617" s="2" t="s">
        <v>1617</v>
      </c>
    </row>
    <row r="1618" spans="1:1" ht="13" x14ac:dyDescent="0.15">
      <c r="A1618" s="2" t="s">
        <v>1618</v>
      </c>
    </row>
    <row r="1619" spans="1:1" ht="13" x14ac:dyDescent="0.15">
      <c r="A1619" s="2" t="s">
        <v>1619</v>
      </c>
    </row>
    <row r="1620" spans="1:1" ht="13" x14ac:dyDescent="0.15">
      <c r="A1620" s="2" t="s">
        <v>1620</v>
      </c>
    </row>
    <row r="1621" spans="1:1" ht="13" x14ac:dyDescent="0.15">
      <c r="A1621" s="2" t="s">
        <v>1621</v>
      </c>
    </row>
    <row r="1622" spans="1:1" ht="13" x14ac:dyDescent="0.15">
      <c r="A1622" s="2" t="s">
        <v>1622</v>
      </c>
    </row>
    <row r="1623" spans="1:1" ht="13" x14ac:dyDescent="0.15">
      <c r="A1623" s="2" t="s">
        <v>1623</v>
      </c>
    </row>
    <row r="1624" spans="1:1" ht="13" x14ac:dyDescent="0.15">
      <c r="A1624" s="2" t="s">
        <v>1624</v>
      </c>
    </row>
    <row r="1625" spans="1:1" ht="13" x14ac:dyDescent="0.15">
      <c r="A1625" s="2" t="s">
        <v>1625</v>
      </c>
    </row>
    <row r="1626" spans="1:1" ht="13" x14ac:dyDescent="0.15">
      <c r="A1626" s="2" t="s">
        <v>1626</v>
      </c>
    </row>
    <row r="1627" spans="1:1" ht="13" x14ac:dyDescent="0.15">
      <c r="A1627" s="2" t="s">
        <v>1627</v>
      </c>
    </row>
    <row r="1628" spans="1:1" ht="13" x14ac:dyDescent="0.15">
      <c r="A1628" s="2" t="s">
        <v>1628</v>
      </c>
    </row>
    <row r="1629" spans="1:1" ht="13" x14ac:dyDescent="0.15">
      <c r="A1629" s="2" t="s">
        <v>1629</v>
      </c>
    </row>
    <row r="1630" spans="1:1" ht="13" x14ac:dyDescent="0.15">
      <c r="A1630" s="2" t="s">
        <v>1630</v>
      </c>
    </row>
    <row r="1631" spans="1:1" ht="13" x14ac:dyDescent="0.15">
      <c r="A1631" s="2" t="s">
        <v>1631</v>
      </c>
    </row>
    <row r="1632" spans="1:1" ht="13" x14ac:dyDescent="0.15">
      <c r="A1632" s="2" t="s">
        <v>1632</v>
      </c>
    </row>
    <row r="1633" spans="1:1" ht="13" x14ac:dyDescent="0.15">
      <c r="A1633" s="2" t="s">
        <v>1633</v>
      </c>
    </row>
    <row r="1634" spans="1:1" ht="13" x14ac:dyDescent="0.15">
      <c r="A1634" s="2" t="s">
        <v>1634</v>
      </c>
    </row>
    <row r="1635" spans="1:1" ht="13" x14ac:dyDescent="0.15">
      <c r="A1635" s="2" t="s">
        <v>1635</v>
      </c>
    </row>
    <row r="1636" spans="1:1" ht="13" x14ac:dyDescent="0.15">
      <c r="A1636" s="2" t="s">
        <v>1636</v>
      </c>
    </row>
    <row r="1637" spans="1:1" ht="13" x14ac:dyDescent="0.15">
      <c r="A1637" s="2" t="s">
        <v>1637</v>
      </c>
    </row>
    <row r="1638" spans="1:1" ht="13" x14ac:dyDescent="0.15">
      <c r="A1638" s="2" t="s">
        <v>1638</v>
      </c>
    </row>
    <row r="1639" spans="1:1" ht="13" x14ac:dyDescent="0.15">
      <c r="A1639" s="2" t="s">
        <v>1639</v>
      </c>
    </row>
    <row r="1640" spans="1:1" ht="13" x14ac:dyDescent="0.15">
      <c r="A1640" s="2" t="s">
        <v>1640</v>
      </c>
    </row>
    <row r="1641" spans="1:1" ht="13" x14ac:dyDescent="0.15">
      <c r="A1641" s="2" t="s">
        <v>1641</v>
      </c>
    </row>
    <row r="1642" spans="1:1" ht="13" x14ac:dyDescent="0.15">
      <c r="A1642" s="2" t="s">
        <v>1642</v>
      </c>
    </row>
    <row r="1643" spans="1:1" ht="13" x14ac:dyDescent="0.15">
      <c r="A1643" s="2" t="s">
        <v>1643</v>
      </c>
    </row>
    <row r="1644" spans="1:1" ht="13" x14ac:dyDescent="0.15">
      <c r="A1644" s="2" t="s">
        <v>1644</v>
      </c>
    </row>
    <row r="1645" spans="1:1" ht="13" x14ac:dyDescent="0.15">
      <c r="A1645" s="2" t="s">
        <v>1645</v>
      </c>
    </row>
    <row r="1646" spans="1:1" ht="13" x14ac:dyDescent="0.15">
      <c r="A1646" s="2" t="s">
        <v>1646</v>
      </c>
    </row>
    <row r="1647" spans="1:1" ht="13" x14ac:dyDescent="0.15">
      <c r="A1647" s="2" t="s">
        <v>1647</v>
      </c>
    </row>
    <row r="1648" spans="1:1" ht="13" x14ac:dyDescent="0.15">
      <c r="A1648" s="2" t="s">
        <v>1648</v>
      </c>
    </row>
    <row r="1649" spans="1:1" ht="13" x14ac:dyDescent="0.15">
      <c r="A1649" s="2" t="s">
        <v>1649</v>
      </c>
    </row>
    <row r="1650" spans="1:1" ht="13" x14ac:dyDescent="0.15">
      <c r="A1650" s="2" t="s">
        <v>1650</v>
      </c>
    </row>
    <row r="1651" spans="1:1" ht="13" x14ac:dyDescent="0.15">
      <c r="A1651" s="2" t="s">
        <v>1651</v>
      </c>
    </row>
    <row r="1652" spans="1:1" ht="13" x14ac:dyDescent="0.15">
      <c r="A1652" s="2" t="s">
        <v>1652</v>
      </c>
    </row>
    <row r="1653" spans="1:1" ht="13" x14ac:dyDescent="0.15">
      <c r="A1653" s="2" t="s">
        <v>1653</v>
      </c>
    </row>
    <row r="1654" spans="1:1" ht="13" x14ac:dyDescent="0.15">
      <c r="A1654" s="2" t="s">
        <v>1654</v>
      </c>
    </row>
    <row r="1655" spans="1:1" ht="13" x14ac:dyDescent="0.15">
      <c r="A1655" s="2" t="s">
        <v>1655</v>
      </c>
    </row>
    <row r="1656" spans="1:1" ht="13" x14ac:dyDescent="0.15">
      <c r="A1656" s="2" t="s">
        <v>1656</v>
      </c>
    </row>
    <row r="1657" spans="1:1" ht="13" x14ac:dyDescent="0.15">
      <c r="A1657" s="2" t="s">
        <v>1657</v>
      </c>
    </row>
    <row r="1658" spans="1:1" ht="13" x14ac:dyDescent="0.15">
      <c r="A1658" s="2" t="s">
        <v>1658</v>
      </c>
    </row>
    <row r="1659" spans="1:1" ht="13" x14ac:dyDescent="0.15">
      <c r="A1659" s="2" t="s">
        <v>1659</v>
      </c>
    </row>
    <row r="1660" spans="1:1" ht="13" x14ac:dyDescent="0.15">
      <c r="A1660" s="2" t="s">
        <v>1660</v>
      </c>
    </row>
    <row r="1661" spans="1:1" ht="13" x14ac:dyDescent="0.15">
      <c r="A1661" s="2" t="s">
        <v>1661</v>
      </c>
    </row>
    <row r="1662" spans="1:1" ht="13" x14ac:dyDescent="0.15">
      <c r="A1662" s="2" t="s">
        <v>1662</v>
      </c>
    </row>
    <row r="1663" spans="1:1" ht="13" x14ac:dyDescent="0.15">
      <c r="A1663" s="2" t="s">
        <v>1663</v>
      </c>
    </row>
    <row r="1664" spans="1:1" ht="13" x14ac:dyDescent="0.15">
      <c r="A1664" s="2" t="s">
        <v>1664</v>
      </c>
    </row>
    <row r="1665" spans="1:1" ht="13" x14ac:dyDescent="0.15">
      <c r="A1665" s="2" t="s">
        <v>1665</v>
      </c>
    </row>
    <row r="1666" spans="1:1" ht="13" x14ac:dyDescent="0.15">
      <c r="A1666" s="2" t="s">
        <v>1666</v>
      </c>
    </row>
    <row r="1667" spans="1:1" ht="13" x14ac:dyDescent="0.15">
      <c r="A1667" s="2" t="s">
        <v>1667</v>
      </c>
    </row>
    <row r="1668" spans="1:1" ht="13" x14ac:dyDescent="0.15">
      <c r="A1668" s="2" t="s">
        <v>1668</v>
      </c>
    </row>
    <row r="1669" spans="1:1" ht="13" x14ac:dyDescent="0.15">
      <c r="A1669" s="2" t="s">
        <v>1669</v>
      </c>
    </row>
    <row r="1670" spans="1:1" ht="13" x14ac:dyDescent="0.15">
      <c r="A1670" s="2" t="s">
        <v>1670</v>
      </c>
    </row>
    <row r="1671" spans="1:1" ht="13" x14ac:dyDescent="0.15">
      <c r="A1671" s="2" t="s">
        <v>1671</v>
      </c>
    </row>
    <row r="1672" spans="1:1" ht="13" x14ac:dyDescent="0.15">
      <c r="A1672" s="2" t="s">
        <v>1672</v>
      </c>
    </row>
    <row r="1673" spans="1:1" ht="13" x14ac:dyDescent="0.15">
      <c r="A1673" s="2" t="s">
        <v>1673</v>
      </c>
    </row>
    <row r="1674" spans="1:1" ht="13" x14ac:dyDescent="0.15">
      <c r="A1674" s="2" t="s">
        <v>1674</v>
      </c>
    </row>
    <row r="1675" spans="1:1" ht="13" x14ac:dyDescent="0.15">
      <c r="A1675" s="2" t="s">
        <v>1675</v>
      </c>
    </row>
    <row r="1676" spans="1:1" ht="13" x14ac:dyDescent="0.15">
      <c r="A1676" s="2" t="s">
        <v>1676</v>
      </c>
    </row>
    <row r="1677" spans="1:1" ht="13" x14ac:dyDescent="0.15">
      <c r="A1677" s="2" t="s">
        <v>1677</v>
      </c>
    </row>
    <row r="1678" spans="1:1" ht="13" x14ac:dyDescent="0.15">
      <c r="A1678" s="2" t="s">
        <v>1678</v>
      </c>
    </row>
    <row r="1679" spans="1:1" ht="13" x14ac:dyDescent="0.15">
      <c r="A1679" s="2" t="s">
        <v>1679</v>
      </c>
    </row>
    <row r="1680" spans="1:1" ht="13" x14ac:dyDescent="0.15">
      <c r="A1680" s="2" t="s">
        <v>1680</v>
      </c>
    </row>
    <row r="1681" spans="1:1" ht="13" x14ac:dyDescent="0.15">
      <c r="A1681" s="2" t="s">
        <v>1681</v>
      </c>
    </row>
    <row r="1682" spans="1:1" ht="13" x14ac:dyDescent="0.15">
      <c r="A1682" s="2" t="s">
        <v>1682</v>
      </c>
    </row>
    <row r="1683" spans="1:1" ht="13" x14ac:dyDescent="0.15">
      <c r="A1683" s="2" t="s">
        <v>1683</v>
      </c>
    </row>
    <row r="1684" spans="1:1" ht="13" x14ac:dyDescent="0.15">
      <c r="A1684" s="2" t="s">
        <v>1684</v>
      </c>
    </row>
    <row r="1685" spans="1:1" ht="13" x14ac:dyDescent="0.15">
      <c r="A1685" s="2" t="s">
        <v>1685</v>
      </c>
    </row>
    <row r="1686" spans="1:1" ht="13" x14ac:dyDescent="0.15">
      <c r="A1686" s="2" t="s">
        <v>1686</v>
      </c>
    </row>
    <row r="1687" spans="1:1" ht="13" x14ac:dyDescent="0.15">
      <c r="A1687" s="2" t="s">
        <v>1687</v>
      </c>
    </row>
    <row r="1688" spans="1:1" ht="13" x14ac:dyDescent="0.15">
      <c r="A1688" s="2" t="s">
        <v>1688</v>
      </c>
    </row>
    <row r="1689" spans="1:1" ht="13" x14ac:dyDescent="0.15">
      <c r="A1689" s="2" t="s">
        <v>1689</v>
      </c>
    </row>
    <row r="1690" spans="1:1" ht="13" x14ac:dyDescent="0.15">
      <c r="A1690" s="2" t="s">
        <v>1690</v>
      </c>
    </row>
    <row r="1691" spans="1:1" ht="13" x14ac:dyDescent="0.15">
      <c r="A1691" s="2" t="s">
        <v>1691</v>
      </c>
    </row>
    <row r="1692" spans="1:1" ht="13" x14ac:dyDescent="0.15">
      <c r="A1692" s="2" t="s">
        <v>1692</v>
      </c>
    </row>
    <row r="1693" spans="1:1" ht="13" x14ac:dyDescent="0.15">
      <c r="A1693" s="2" t="s">
        <v>1693</v>
      </c>
    </row>
    <row r="1694" spans="1:1" ht="13" x14ac:dyDescent="0.15">
      <c r="A1694" s="2" t="s">
        <v>1694</v>
      </c>
    </row>
    <row r="1695" spans="1:1" ht="13" x14ac:dyDescent="0.15">
      <c r="A1695" s="2" t="s">
        <v>1695</v>
      </c>
    </row>
    <row r="1696" spans="1:1" ht="13" x14ac:dyDescent="0.15">
      <c r="A1696" s="2" t="s">
        <v>1696</v>
      </c>
    </row>
    <row r="1697" spans="1:1" ht="13" x14ac:dyDescent="0.15">
      <c r="A1697" s="2" t="s">
        <v>1697</v>
      </c>
    </row>
    <row r="1698" spans="1:1" ht="13" x14ac:dyDescent="0.15">
      <c r="A1698" s="2" t="s">
        <v>1698</v>
      </c>
    </row>
    <row r="1699" spans="1:1" ht="13" x14ac:dyDescent="0.15">
      <c r="A1699" s="2" t="s">
        <v>1699</v>
      </c>
    </row>
    <row r="1700" spans="1:1" ht="13" x14ac:dyDescent="0.15">
      <c r="A1700" s="2" t="s">
        <v>1700</v>
      </c>
    </row>
    <row r="1701" spans="1:1" ht="13" x14ac:dyDescent="0.15">
      <c r="A1701" s="2" t="s">
        <v>1701</v>
      </c>
    </row>
    <row r="1702" spans="1:1" ht="13" x14ac:dyDescent="0.15">
      <c r="A1702" s="2" t="s">
        <v>1702</v>
      </c>
    </row>
    <row r="1703" spans="1:1" ht="13" x14ac:dyDescent="0.15">
      <c r="A1703" s="2" t="s">
        <v>1703</v>
      </c>
    </row>
    <row r="1704" spans="1:1" ht="13" x14ac:dyDescent="0.15">
      <c r="A1704" s="2" t="s">
        <v>1704</v>
      </c>
    </row>
    <row r="1705" spans="1:1" ht="13" x14ac:dyDescent="0.15">
      <c r="A1705" s="2" t="s">
        <v>1705</v>
      </c>
    </row>
    <row r="1706" spans="1:1" ht="13" x14ac:dyDescent="0.15">
      <c r="A1706" s="2" t="s">
        <v>1706</v>
      </c>
    </row>
    <row r="1707" spans="1:1" ht="13" x14ac:dyDescent="0.15">
      <c r="A1707" s="2" t="s">
        <v>1707</v>
      </c>
    </row>
    <row r="1708" spans="1:1" ht="13" x14ac:dyDescent="0.15">
      <c r="A1708" s="2" t="s">
        <v>1708</v>
      </c>
    </row>
    <row r="1709" spans="1:1" ht="13" x14ac:dyDescent="0.15">
      <c r="A1709" s="2" t="s">
        <v>1709</v>
      </c>
    </row>
    <row r="1710" spans="1:1" ht="13" x14ac:dyDescent="0.15">
      <c r="A1710" s="2" t="s">
        <v>1710</v>
      </c>
    </row>
    <row r="1711" spans="1:1" ht="13" x14ac:dyDescent="0.15">
      <c r="A1711" s="2" t="s">
        <v>1711</v>
      </c>
    </row>
    <row r="1712" spans="1:1" ht="13" x14ac:dyDescent="0.15">
      <c r="A1712" s="2" t="s">
        <v>1712</v>
      </c>
    </row>
    <row r="1713" spans="1:1" ht="13" x14ac:dyDescent="0.15">
      <c r="A1713" s="2" t="s">
        <v>1713</v>
      </c>
    </row>
    <row r="1714" spans="1:1" ht="13" x14ac:dyDescent="0.15">
      <c r="A1714" s="2" t="s">
        <v>1714</v>
      </c>
    </row>
    <row r="1715" spans="1:1" ht="13" x14ac:dyDescent="0.15">
      <c r="A1715" s="2" t="s">
        <v>1715</v>
      </c>
    </row>
    <row r="1716" spans="1:1" ht="13" x14ac:dyDescent="0.15">
      <c r="A1716" s="2" t="s">
        <v>1716</v>
      </c>
    </row>
    <row r="1717" spans="1:1" ht="13" x14ac:dyDescent="0.15">
      <c r="A1717" s="2" t="s">
        <v>1717</v>
      </c>
    </row>
    <row r="1718" spans="1:1" ht="13" x14ac:dyDescent="0.15">
      <c r="A1718" s="2" t="s">
        <v>1718</v>
      </c>
    </row>
    <row r="1719" spans="1:1" ht="13" x14ac:dyDescent="0.15">
      <c r="A1719" s="2" t="s">
        <v>1719</v>
      </c>
    </row>
    <row r="1720" spans="1:1" ht="13" x14ac:dyDescent="0.15">
      <c r="A1720" s="2" t="s">
        <v>1720</v>
      </c>
    </row>
    <row r="1721" spans="1:1" ht="13" x14ac:dyDescent="0.15">
      <c r="A1721" s="2" t="s">
        <v>1721</v>
      </c>
    </row>
    <row r="1722" spans="1:1" ht="13" x14ac:dyDescent="0.15">
      <c r="A1722" s="2" t="s">
        <v>1722</v>
      </c>
    </row>
    <row r="1723" spans="1:1" ht="13" x14ac:dyDescent="0.15">
      <c r="A1723" s="2" t="s">
        <v>1723</v>
      </c>
    </row>
    <row r="1724" spans="1:1" ht="13" x14ac:dyDescent="0.15">
      <c r="A1724" s="2" t="s">
        <v>1724</v>
      </c>
    </row>
    <row r="1725" spans="1:1" ht="13" x14ac:dyDescent="0.15">
      <c r="A1725" s="2" t="s">
        <v>1725</v>
      </c>
    </row>
    <row r="1726" spans="1:1" ht="13" x14ac:dyDescent="0.15">
      <c r="A1726" s="2" t="s">
        <v>1726</v>
      </c>
    </row>
    <row r="1727" spans="1:1" ht="13" x14ac:dyDescent="0.15">
      <c r="A1727" s="2" t="s">
        <v>1727</v>
      </c>
    </row>
    <row r="1728" spans="1:1" ht="13" x14ac:dyDescent="0.15">
      <c r="A1728" s="2" t="s">
        <v>1728</v>
      </c>
    </row>
    <row r="1729" spans="1:1" ht="13" x14ac:dyDescent="0.15">
      <c r="A1729" s="2" t="s">
        <v>1729</v>
      </c>
    </row>
    <row r="1730" spans="1:1" ht="13" x14ac:dyDescent="0.15">
      <c r="A1730" s="2" t="s">
        <v>1730</v>
      </c>
    </row>
    <row r="1731" spans="1:1" ht="13" x14ac:dyDescent="0.15">
      <c r="A1731" s="2" t="s">
        <v>1731</v>
      </c>
    </row>
    <row r="1732" spans="1:1" ht="13" x14ac:dyDescent="0.15">
      <c r="A1732" s="2" t="s">
        <v>1732</v>
      </c>
    </row>
    <row r="1733" spans="1:1" ht="13" x14ac:dyDescent="0.15">
      <c r="A1733" s="2" t="s">
        <v>1733</v>
      </c>
    </row>
    <row r="1734" spans="1:1" ht="13" x14ac:dyDescent="0.15">
      <c r="A1734" s="2" t="s">
        <v>1734</v>
      </c>
    </row>
    <row r="1735" spans="1:1" ht="13" x14ac:dyDescent="0.15">
      <c r="A1735" s="2" t="s">
        <v>1735</v>
      </c>
    </row>
    <row r="1736" spans="1:1" ht="13" x14ac:dyDescent="0.15">
      <c r="A1736" s="2" t="s">
        <v>1736</v>
      </c>
    </row>
    <row r="1737" spans="1:1" ht="13" x14ac:dyDescent="0.15">
      <c r="A1737" s="2" t="s">
        <v>1737</v>
      </c>
    </row>
    <row r="1738" spans="1:1" ht="13" x14ac:dyDescent="0.15">
      <c r="A1738" s="2" t="s">
        <v>1738</v>
      </c>
    </row>
    <row r="1739" spans="1:1" ht="13" x14ac:dyDescent="0.15">
      <c r="A1739" s="2" t="s">
        <v>1739</v>
      </c>
    </row>
    <row r="1740" spans="1:1" ht="13" x14ac:dyDescent="0.15">
      <c r="A1740" s="2" t="s">
        <v>1740</v>
      </c>
    </row>
    <row r="1741" spans="1:1" ht="13" x14ac:dyDescent="0.15">
      <c r="A1741" s="2" t="s">
        <v>1741</v>
      </c>
    </row>
    <row r="1742" spans="1:1" ht="13" x14ac:dyDescent="0.15">
      <c r="A1742" s="2" t="s">
        <v>1742</v>
      </c>
    </row>
    <row r="1743" spans="1:1" ht="13" x14ac:dyDescent="0.15">
      <c r="A1743" s="2" t="s">
        <v>1743</v>
      </c>
    </row>
    <row r="1744" spans="1:1" ht="13" x14ac:dyDescent="0.15">
      <c r="A1744" s="2" t="s">
        <v>1744</v>
      </c>
    </row>
    <row r="1745" spans="1:1" ht="13" x14ac:dyDescent="0.15">
      <c r="A1745" s="2" t="s">
        <v>1745</v>
      </c>
    </row>
    <row r="1746" spans="1:1" ht="13" x14ac:dyDescent="0.15">
      <c r="A1746" s="2" t="s">
        <v>1746</v>
      </c>
    </row>
    <row r="1747" spans="1:1" ht="13" x14ac:dyDescent="0.15">
      <c r="A1747" s="2" t="s">
        <v>1747</v>
      </c>
    </row>
    <row r="1748" spans="1:1" ht="13" x14ac:dyDescent="0.15">
      <c r="A1748" s="2" t="s">
        <v>1748</v>
      </c>
    </row>
    <row r="1749" spans="1:1" ht="13" x14ac:dyDescent="0.15">
      <c r="A1749" s="2" t="s">
        <v>1749</v>
      </c>
    </row>
    <row r="1750" spans="1:1" ht="13" x14ac:dyDescent="0.15">
      <c r="A1750" s="2" t="s">
        <v>1750</v>
      </c>
    </row>
    <row r="1751" spans="1:1" ht="13" x14ac:dyDescent="0.15">
      <c r="A1751" s="2" t="s">
        <v>1751</v>
      </c>
    </row>
    <row r="1752" spans="1:1" ht="13" x14ac:dyDescent="0.15">
      <c r="A1752" s="2" t="s">
        <v>1752</v>
      </c>
    </row>
    <row r="1753" spans="1:1" ht="13" x14ac:dyDescent="0.15">
      <c r="A1753" s="2" t="s">
        <v>1753</v>
      </c>
    </row>
    <row r="1754" spans="1:1" ht="13" x14ac:dyDescent="0.15">
      <c r="A1754" s="2" t="s">
        <v>1754</v>
      </c>
    </row>
    <row r="1755" spans="1:1" ht="13" x14ac:dyDescent="0.15">
      <c r="A1755" s="2" t="s">
        <v>1755</v>
      </c>
    </row>
    <row r="1756" spans="1:1" ht="13" x14ac:dyDescent="0.15">
      <c r="A1756" s="2" t="s">
        <v>1756</v>
      </c>
    </row>
    <row r="1757" spans="1:1" ht="13" x14ac:dyDescent="0.15">
      <c r="A1757" s="2" t="s">
        <v>1757</v>
      </c>
    </row>
    <row r="1758" spans="1:1" ht="13" x14ac:dyDescent="0.15">
      <c r="A1758" s="2" t="s">
        <v>1758</v>
      </c>
    </row>
    <row r="1759" spans="1:1" ht="13" x14ac:dyDescent="0.15">
      <c r="A1759" s="2" t="s">
        <v>1759</v>
      </c>
    </row>
    <row r="1760" spans="1:1" ht="13" x14ac:dyDescent="0.15">
      <c r="A1760" s="2" t="s">
        <v>1760</v>
      </c>
    </row>
    <row r="1761" spans="1:1" ht="13" x14ac:dyDescent="0.15">
      <c r="A1761" s="2" t="s">
        <v>1761</v>
      </c>
    </row>
    <row r="1762" spans="1:1" ht="13" x14ac:dyDescent="0.15">
      <c r="A1762" s="2" t="s">
        <v>1762</v>
      </c>
    </row>
    <row r="1763" spans="1:1" ht="13" x14ac:dyDescent="0.15">
      <c r="A1763" s="2" t="s">
        <v>1763</v>
      </c>
    </row>
    <row r="1764" spans="1:1" ht="13" x14ac:dyDescent="0.15">
      <c r="A1764" s="2" t="s">
        <v>1764</v>
      </c>
    </row>
    <row r="1765" spans="1:1" ht="13" x14ac:dyDescent="0.15">
      <c r="A1765" s="2" t="s">
        <v>1765</v>
      </c>
    </row>
    <row r="1766" spans="1:1" ht="13" x14ac:dyDescent="0.15">
      <c r="A1766" s="2" t="s">
        <v>1766</v>
      </c>
    </row>
    <row r="1767" spans="1:1" ht="13" x14ac:dyDescent="0.15">
      <c r="A1767" s="2" t="s">
        <v>1767</v>
      </c>
    </row>
    <row r="1768" spans="1:1" ht="13" x14ac:dyDescent="0.15">
      <c r="A1768" s="2" t="s">
        <v>1768</v>
      </c>
    </row>
    <row r="1769" spans="1:1" ht="13" x14ac:dyDescent="0.15">
      <c r="A1769" s="2" t="s">
        <v>1769</v>
      </c>
    </row>
    <row r="1770" spans="1:1" ht="13" x14ac:dyDescent="0.15">
      <c r="A1770" s="2" t="s">
        <v>1770</v>
      </c>
    </row>
    <row r="1771" spans="1:1" ht="13" x14ac:dyDescent="0.15">
      <c r="A1771" s="2" t="s">
        <v>1771</v>
      </c>
    </row>
    <row r="1772" spans="1:1" ht="13" x14ac:dyDescent="0.15">
      <c r="A1772" s="2" t="s">
        <v>1772</v>
      </c>
    </row>
    <row r="1773" spans="1:1" ht="13" x14ac:dyDescent="0.15">
      <c r="A1773" s="2" t="s">
        <v>1773</v>
      </c>
    </row>
    <row r="1774" spans="1:1" ht="13" x14ac:dyDescent="0.15">
      <c r="A1774" s="2" t="s">
        <v>1774</v>
      </c>
    </row>
    <row r="1775" spans="1:1" ht="13" x14ac:dyDescent="0.15">
      <c r="A1775" s="2" t="s">
        <v>1775</v>
      </c>
    </row>
    <row r="1776" spans="1:1" ht="13" x14ac:dyDescent="0.15">
      <c r="A1776" s="2" t="s">
        <v>1776</v>
      </c>
    </row>
    <row r="1777" spans="1:1" ht="13" x14ac:dyDescent="0.15">
      <c r="A1777" s="2" t="s">
        <v>1777</v>
      </c>
    </row>
    <row r="1778" spans="1:1" ht="13" x14ac:dyDescent="0.15">
      <c r="A1778" s="2" t="s">
        <v>1778</v>
      </c>
    </row>
    <row r="1779" spans="1:1" ht="13" x14ac:dyDescent="0.15">
      <c r="A1779" s="2" t="s">
        <v>1779</v>
      </c>
    </row>
    <row r="1780" spans="1:1" ht="13" x14ac:dyDescent="0.15">
      <c r="A1780" s="2" t="s">
        <v>1780</v>
      </c>
    </row>
    <row r="1781" spans="1:1" ht="13" x14ac:dyDescent="0.15">
      <c r="A1781" s="2" t="s">
        <v>1781</v>
      </c>
    </row>
    <row r="1782" spans="1:1" ht="13" x14ac:dyDescent="0.15">
      <c r="A1782" s="2" t="s">
        <v>1782</v>
      </c>
    </row>
    <row r="1783" spans="1:1" ht="13" x14ac:dyDescent="0.15">
      <c r="A1783" s="2" t="s">
        <v>1783</v>
      </c>
    </row>
    <row r="1784" spans="1:1" ht="13" x14ac:dyDescent="0.15">
      <c r="A1784" s="2" t="s">
        <v>1784</v>
      </c>
    </row>
    <row r="1785" spans="1:1" ht="13" x14ac:dyDescent="0.15">
      <c r="A1785" s="2" t="s">
        <v>1785</v>
      </c>
    </row>
    <row r="1786" spans="1:1" ht="13" x14ac:dyDescent="0.15">
      <c r="A1786" s="2" t="s">
        <v>1786</v>
      </c>
    </row>
    <row r="1787" spans="1:1" ht="13" x14ac:dyDescent="0.15">
      <c r="A1787" s="2" t="s">
        <v>1787</v>
      </c>
    </row>
    <row r="1788" spans="1:1" ht="13" x14ac:dyDescent="0.15">
      <c r="A1788" s="2" t="s">
        <v>1788</v>
      </c>
    </row>
    <row r="1789" spans="1:1" ht="13" x14ac:dyDescent="0.15">
      <c r="A1789" s="2" t="s">
        <v>1789</v>
      </c>
    </row>
    <row r="1790" spans="1:1" ht="13" x14ac:dyDescent="0.15">
      <c r="A1790" s="2" t="s">
        <v>1790</v>
      </c>
    </row>
    <row r="1791" spans="1:1" ht="13" x14ac:dyDescent="0.15">
      <c r="A1791" s="2" t="s">
        <v>1791</v>
      </c>
    </row>
    <row r="1792" spans="1:1" ht="13" x14ac:dyDescent="0.15">
      <c r="A1792" s="2" t="s">
        <v>1792</v>
      </c>
    </row>
    <row r="1793" spans="1:1" ht="13" x14ac:dyDescent="0.15">
      <c r="A1793" s="2" t="s">
        <v>1793</v>
      </c>
    </row>
    <row r="1794" spans="1:1" ht="13" x14ac:dyDescent="0.15">
      <c r="A1794" s="2" t="s">
        <v>1794</v>
      </c>
    </row>
    <row r="1795" spans="1:1" ht="13" x14ac:dyDescent="0.15">
      <c r="A1795" s="2" t="s">
        <v>1795</v>
      </c>
    </row>
    <row r="1796" spans="1:1" ht="13" x14ac:dyDescent="0.15">
      <c r="A1796" s="2" t="s">
        <v>1796</v>
      </c>
    </row>
    <row r="1797" spans="1:1" ht="13" x14ac:dyDescent="0.15">
      <c r="A1797" s="2" t="s">
        <v>1797</v>
      </c>
    </row>
    <row r="1798" spans="1:1" ht="13" x14ac:dyDescent="0.15">
      <c r="A1798" s="2" t="s">
        <v>1798</v>
      </c>
    </row>
    <row r="1799" spans="1:1" ht="13" x14ac:dyDescent="0.15">
      <c r="A1799" s="2" t="s">
        <v>1799</v>
      </c>
    </row>
    <row r="1800" spans="1:1" ht="13" x14ac:dyDescent="0.15">
      <c r="A1800" s="2" t="s">
        <v>1800</v>
      </c>
    </row>
    <row r="1801" spans="1:1" ht="13" x14ac:dyDescent="0.15">
      <c r="A1801" s="2" t="s">
        <v>1801</v>
      </c>
    </row>
    <row r="1802" spans="1:1" ht="13" x14ac:dyDescent="0.15">
      <c r="A1802" s="2" t="s">
        <v>1802</v>
      </c>
    </row>
    <row r="1803" spans="1:1" ht="13" x14ac:dyDescent="0.15">
      <c r="A1803" s="2" t="s">
        <v>1803</v>
      </c>
    </row>
    <row r="1804" spans="1:1" ht="13" x14ac:dyDescent="0.15">
      <c r="A1804" s="2" t="s">
        <v>1804</v>
      </c>
    </row>
    <row r="1805" spans="1:1" ht="13" x14ac:dyDescent="0.15">
      <c r="A1805" s="2" t="s">
        <v>1805</v>
      </c>
    </row>
    <row r="1806" spans="1:1" ht="13" x14ac:dyDescent="0.15">
      <c r="A1806" s="2" t="s">
        <v>1806</v>
      </c>
    </row>
    <row r="1807" spans="1:1" ht="13" x14ac:dyDescent="0.15">
      <c r="A1807" s="2" t="s">
        <v>1807</v>
      </c>
    </row>
    <row r="1808" spans="1:1" ht="13" x14ac:dyDescent="0.15">
      <c r="A1808" s="2" t="s">
        <v>1808</v>
      </c>
    </row>
    <row r="1809" spans="1:1" ht="13" x14ac:dyDescent="0.15">
      <c r="A1809" s="2" t="s">
        <v>1809</v>
      </c>
    </row>
    <row r="1810" spans="1:1" ht="13" x14ac:dyDescent="0.15">
      <c r="A1810" s="2" t="s">
        <v>1810</v>
      </c>
    </row>
    <row r="1811" spans="1:1" ht="13" x14ac:dyDescent="0.15">
      <c r="A1811" s="2" t="s">
        <v>1811</v>
      </c>
    </row>
    <row r="1812" spans="1:1" ht="13" x14ac:dyDescent="0.15">
      <c r="A1812" s="2" t="s">
        <v>1812</v>
      </c>
    </row>
    <row r="1813" spans="1:1" ht="13" x14ac:dyDescent="0.15">
      <c r="A1813" s="2" t="s">
        <v>1813</v>
      </c>
    </row>
    <row r="1814" spans="1:1" ht="13" x14ac:dyDescent="0.15">
      <c r="A1814" s="2" t="s">
        <v>1814</v>
      </c>
    </row>
    <row r="1815" spans="1:1" ht="13" x14ac:dyDescent="0.15">
      <c r="A1815" s="2" t="s">
        <v>1815</v>
      </c>
    </row>
    <row r="1816" spans="1:1" ht="13" x14ac:dyDescent="0.15">
      <c r="A1816" s="2" t="s">
        <v>1816</v>
      </c>
    </row>
    <row r="1817" spans="1:1" ht="13" x14ac:dyDescent="0.15">
      <c r="A1817" s="2" t="s">
        <v>1817</v>
      </c>
    </row>
    <row r="1818" spans="1:1" ht="13" x14ac:dyDescent="0.15">
      <c r="A1818" s="2" t="s">
        <v>1818</v>
      </c>
    </row>
    <row r="1819" spans="1:1" ht="13" x14ac:dyDescent="0.15">
      <c r="A1819" s="2" t="s">
        <v>1819</v>
      </c>
    </row>
    <row r="1820" spans="1:1" ht="13" x14ac:dyDescent="0.15">
      <c r="A1820" s="2" t="s">
        <v>1820</v>
      </c>
    </row>
    <row r="1821" spans="1:1" ht="13" x14ac:dyDescent="0.15">
      <c r="A1821" s="2" t="s">
        <v>1821</v>
      </c>
    </row>
    <row r="1822" spans="1:1" ht="13" x14ac:dyDescent="0.15">
      <c r="A1822" s="2" t="s">
        <v>1822</v>
      </c>
    </row>
    <row r="1823" spans="1:1" ht="13" x14ac:dyDescent="0.15">
      <c r="A1823" s="2" t="s">
        <v>1823</v>
      </c>
    </row>
    <row r="1824" spans="1:1" ht="13" x14ac:dyDescent="0.15">
      <c r="A1824" s="2" t="s">
        <v>1824</v>
      </c>
    </row>
    <row r="1825" spans="1:1" ht="13" x14ac:dyDescent="0.15">
      <c r="A1825" s="2" t="s">
        <v>1825</v>
      </c>
    </row>
    <row r="1826" spans="1:1" ht="13" x14ac:dyDescent="0.15">
      <c r="A1826" s="2" t="s">
        <v>1826</v>
      </c>
    </row>
    <row r="1827" spans="1:1" ht="13" x14ac:dyDescent="0.15">
      <c r="A1827" s="2" t="s">
        <v>1827</v>
      </c>
    </row>
    <row r="1828" spans="1:1" ht="13" x14ac:dyDescent="0.15">
      <c r="A1828" s="2" t="s">
        <v>1828</v>
      </c>
    </row>
    <row r="1829" spans="1:1" ht="13" x14ac:dyDescent="0.15">
      <c r="A1829" s="2" t="s">
        <v>1829</v>
      </c>
    </row>
    <row r="1830" spans="1:1" ht="13" x14ac:dyDescent="0.15">
      <c r="A1830" s="2" t="s">
        <v>1830</v>
      </c>
    </row>
    <row r="1831" spans="1:1" ht="13" x14ac:dyDescent="0.15">
      <c r="A1831" s="2" t="s">
        <v>1831</v>
      </c>
    </row>
    <row r="1832" spans="1:1" ht="13" x14ac:dyDescent="0.15">
      <c r="A1832" s="2" t="s">
        <v>1832</v>
      </c>
    </row>
    <row r="1833" spans="1:1" ht="13" x14ac:dyDescent="0.15">
      <c r="A1833" s="2" t="s">
        <v>1833</v>
      </c>
    </row>
    <row r="1834" spans="1:1" ht="13" x14ac:dyDescent="0.15">
      <c r="A1834" s="2" t="s">
        <v>1834</v>
      </c>
    </row>
    <row r="1835" spans="1:1" ht="13" x14ac:dyDescent="0.15">
      <c r="A1835" s="2" t="s">
        <v>1835</v>
      </c>
    </row>
    <row r="1836" spans="1:1" ht="13" x14ac:dyDescent="0.15">
      <c r="A1836" s="2" t="s">
        <v>1836</v>
      </c>
    </row>
    <row r="1837" spans="1:1" ht="13" x14ac:dyDescent="0.15">
      <c r="A1837" s="2" t="s">
        <v>1837</v>
      </c>
    </row>
    <row r="1838" spans="1:1" ht="13" x14ac:dyDescent="0.15">
      <c r="A1838" s="2" t="s">
        <v>1838</v>
      </c>
    </row>
    <row r="1839" spans="1:1" ht="13" x14ac:dyDescent="0.15">
      <c r="A1839" s="2" t="s">
        <v>1839</v>
      </c>
    </row>
    <row r="1840" spans="1:1" ht="13" x14ac:dyDescent="0.15">
      <c r="A1840" s="2" t="s">
        <v>1840</v>
      </c>
    </row>
    <row r="1841" spans="1:1" ht="13" x14ac:dyDescent="0.15">
      <c r="A1841" s="2" t="s">
        <v>1841</v>
      </c>
    </row>
    <row r="1842" spans="1:1" ht="13" x14ac:dyDescent="0.15">
      <c r="A1842" s="2" t="s">
        <v>1842</v>
      </c>
    </row>
    <row r="1843" spans="1:1" ht="13" x14ac:dyDescent="0.15">
      <c r="A1843" s="2" t="s">
        <v>1843</v>
      </c>
    </row>
    <row r="1844" spans="1:1" ht="13" x14ac:dyDescent="0.15">
      <c r="A1844" s="2" t="s">
        <v>1844</v>
      </c>
    </row>
    <row r="1845" spans="1:1" ht="13" x14ac:dyDescent="0.15">
      <c r="A1845" s="2" t="s">
        <v>1845</v>
      </c>
    </row>
    <row r="1846" spans="1:1" ht="13" x14ac:dyDescent="0.15">
      <c r="A1846" s="2" t="s">
        <v>1846</v>
      </c>
    </row>
    <row r="1847" spans="1:1" ht="13" x14ac:dyDescent="0.15">
      <c r="A1847" s="2" t="s">
        <v>1847</v>
      </c>
    </row>
    <row r="1848" spans="1:1" ht="13" x14ac:dyDescent="0.15">
      <c r="A1848" s="2" t="s">
        <v>1848</v>
      </c>
    </row>
    <row r="1849" spans="1:1" ht="13" x14ac:dyDescent="0.15">
      <c r="A1849" s="2" t="s">
        <v>1849</v>
      </c>
    </row>
    <row r="1850" spans="1:1" ht="13" x14ac:dyDescent="0.15">
      <c r="A1850" s="2" t="s">
        <v>1850</v>
      </c>
    </row>
    <row r="1851" spans="1:1" ht="13" x14ac:dyDescent="0.15">
      <c r="A1851" s="2" t="s">
        <v>1851</v>
      </c>
    </row>
    <row r="1852" spans="1:1" ht="13" x14ac:dyDescent="0.15">
      <c r="A1852" s="2" t="s">
        <v>1852</v>
      </c>
    </row>
    <row r="1853" spans="1:1" ht="13" x14ac:dyDescent="0.15">
      <c r="A1853" s="2" t="s">
        <v>1853</v>
      </c>
    </row>
    <row r="1854" spans="1:1" ht="13" x14ac:dyDescent="0.15">
      <c r="A1854" s="2" t="s">
        <v>1854</v>
      </c>
    </row>
    <row r="1855" spans="1:1" ht="13" x14ac:dyDescent="0.15">
      <c r="A1855" s="2" t="s">
        <v>1855</v>
      </c>
    </row>
    <row r="1856" spans="1:1" ht="13" x14ac:dyDescent="0.15">
      <c r="A1856" s="2" t="s">
        <v>1856</v>
      </c>
    </row>
    <row r="1857" spans="1:1" ht="13" x14ac:dyDescent="0.15">
      <c r="A1857" s="2" t="s">
        <v>1857</v>
      </c>
    </row>
    <row r="1858" spans="1:1" ht="13" x14ac:dyDescent="0.15">
      <c r="A1858" s="2" t="s">
        <v>1858</v>
      </c>
    </row>
    <row r="1859" spans="1:1" ht="13" x14ac:dyDescent="0.15">
      <c r="A1859" s="2" t="s">
        <v>1859</v>
      </c>
    </row>
    <row r="1860" spans="1:1" ht="13" x14ac:dyDescent="0.15">
      <c r="A1860" s="2" t="s">
        <v>1860</v>
      </c>
    </row>
    <row r="1861" spans="1:1" ht="13" x14ac:dyDescent="0.15">
      <c r="A1861" s="2" t="s">
        <v>1861</v>
      </c>
    </row>
    <row r="1862" spans="1:1" ht="13" x14ac:dyDescent="0.15">
      <c r="A1862" s="2" t="s">
        <v>1862</v>
      </c>
    </row>
    <row r="1863" spans="1:1" ht="13" x14ac:dyDescent="0.15">
      <c r="A1863" s="2" t="s">
        <v>1863</v>
      </c>
    </row>
    <row r="1864" spans="1:1" ht="13" x14ac:dyDescent="0.15">
      <c r="A1864" s="2" t="s">
        <v>1864</v>
      </c>
    </row>
    <row r="1865" spans="1:1" ht="13" x14ac:dyDescent="0.15">
      <c r="A1865" s="2" t="s">
        <v>1865</v>
      </c>
    </row>
    <row r="1866" spans="1:1" ht="13" x14ac:dyDescent="0.15">
      <c r="A1866" s="2" t="s">
        <v>1866</v>
      </c>
    </row>
    <row r="1867" spans="1:1" ht="13" x14ac:dyDescent="0.15">
      <c r="A1867" s="2" t="s">
        <v>1867</v>
      </c>
    </row>
    <row r="1868" spans="1:1" ht="13" x14ac:dyDescent="0.15">
      <c r="A1868" s="2" t="s">
        <v>1868</v>
      </c>
    </row>
    <row r="1869" spans="1:1" ht="13" x14ac:dyDescent="0.15">
      <c r="A1869" s="2" t="s">
        <v>1869</v>
      </c>
    </row>
    <row r="1870" spans="1:1" ht="13" x14ac:dyDescent="0.15">
      <c r="A1870" s="2" t="s">
        <v>1870</v>
      </c>
    </row>
    <row r="1871" spans="1:1" ht="13" x14ac:dyDescent="0.15">
      <c r="A1871" s="2" t="s">
        <v>1871</v>
      </c>
    </row>
    <row r="1872" spans="1:1" ht="13" x14ac:dyDescent="0.15">
      <c r="A1872" s="2" t="s">
        <v>1872</v>
      </c>
    </row>
    <row r="1873" spans="1:1" ht="13" x14ac:dyDescent="0.15">
      <c r="A1873" s="2" t="s">
        <v>1873</v>
      </c>
    </row>
    <row r="1874" spans="1:1" ht="13" x14ac:dyDescent="0.15">
      <c r="A1874" s="2" t="s">
        <v>1874</v>
      </c>
    </row>
    <row r="1875" spans="1:1" ht="13" x14ac:dyDescent="0.15">
      <c r="A1875" s="2" t="s">
        <v>1875</v>
      </c>
    </row>
    <row r="1876" spans="1:1" ht="13" x14ac:dyDescent="0.15">
      <c r="A1876" s="2" t="s">
        <v>1876</v>
      </c>
    </row>
    <row r="1877" spans="1:1" ht="13" x14ac:dyDescent="0.15">
      <c r="A1877" s="2" t="s">
        <v>1877</v>
      </c>
    </row>
    <row r="1878" spans="1:1" ht="13" x14ac:dyDescent="0.15">
      <c r="A1878" s="2" t="s">
        <v>1878</v>
      </c>
    </row>
    <row r="1879" spans="1:1" ht="13" x14ac:dyDescent="0.15">
      <c r="A1879" s="2" t="s">
        <v>1879</v>
      </c>
    </row>
    <row r="1880" spans="1:1" ht="13" x14ac:dyDescent="0.15">
      <c r="A1880" s="2" t="s">
        <v>1880</v>
      </c>
    </row>
    <row r="1881" spans="1:1" ht="13" x14ac:dyDescent="0.15">
      <c r="A1881" s="2" t="s">
        <v>1881</v>
      </c>
    </row>
    <row r="1882" spans="1:1" ht="13" x14ac:dyDescent="0.15">
      <c r="A1882" s="2" t="s">
        <v>1882</v>
      </c>
    </row>
    <row r="1883" spans="1:1" ht="13" x14ac:dyDescent="0.15">
      <c r="A1883" s="2" t="s">
        <v>1883</v>
      </c>
    </row>
    <row r="1884" spans="1:1" ht="13" x14ac:dyDescent="0.15">
      <c r="A1884" s="2" t="s">
        <v>1884</v>
      </c>
    </row>
    <row r="1885" spans="1:1" ht="13" x14ac:dyDescent="0.15">
      <c r="A1885" s="2" t="s">
        <v>1885</v>
      </c>
    </row>
    <row r="1886" spans="1:1" ht="13" x14ac:dyDescent="0.15">
      <c r="A1886" s="2" t="s">
        <v>1886</v>
      </c>
    </row>
    <row r="1887" spans="1:1" ht="13" x14ac:dyDescent="0.15">
      <c r="A1887" s="2" t="s">
        <v>1887</v>
      </c>
    </row>
    <row r="1888" spans="1:1" ht="13" x14ac:dyDescent="0.15">
      <c r="A1888" s="2" t="s">
        <v>1888</v>
      </c>
    </row>
    <row r="1889" spans="1:1" ht="13" x14ac:dyDescent="0.15">
      <c r="A1889" s="2" t="s">
        <v>1889</v>
      </c>
    </row>
    <row r="1890" spans="1:1" ht="13" x14ac:dyDescent="0.15">
      <c r="A1890" s="2" t="s">
        <v>1890</v>
      </c>
    </row>
    <row r="1891" spans="1:1" ht="13" x14ac:dyDescent="0.15">
      <c r="A1891" s="2" t="s">
        <v>1891</v>
      </c>
    </row>
    <row r="1892" spans="1:1" ht="13" x14ac:dyDescent="0.15">
      <c r="A1892" s="2" t="s">
        <v>1892</v>
      </c>
    </row>
    <row r="1893" spans="1:1" ht="13" x14ac:dyDescent="0.15">
      <c r="A1893" s="2" t="s">
        <v>1893</v>
      </c>
    </row>
    <row r="1894" spans="1:1" ht="13" x14ac:dyDescent="0.15">
      <c r="A1894" s="2" t="s">
        <v>1894</v>
      </c>
    </row>
    <row r="1895" spans="1:1" ht="13" x14ac:dyDescent="0.15">
      <c r="A1895" s="2" t="s">
        <v>1895</v>
      </c>
    </row>
    <row r="1896" spans="1:1" ht="13" x14ac:dyDescent="0.15">
      <c r="A1896" s="2" t="s">
        <v>1896</v>
      </c>
    </row>
    <row r="1897" spans="1:1" ht="13" x14ac:dyDescent="0.15">
      <c r="A1897" s="2" t="s">
        <v>1897</v>
      </c>
    </row>
    <row r="1898" spans="1:1" ht="13" x14ac:dyDescent="0.15">
      <c r="A1898" s="2" t="s">
        <v>1898</v>
      </c>
    </row>
    <row r="1899" spans="1:1" ht="13" x14ac:dyDescent="0.15">
      <c r="A1899" s="2" t="s">
        <v>1899</v>
      </c>
    </row>
    <row r="1900" spans="1:1" ht="13" x14ac:dyDescent="0.15">
      <c r="A1900" s="2" t="s">
        <v>1900</v>
      </c>
    </row>
    <row r="1901" spans="1:1" ht="13" x14ac:dyDescent="0.15">
      <c r="A1901" s="2" t="s">
        <v>1901</v>
      </c>
    </row>
    <row r="1902" spans="1:1" ht="13" x14ac:dyDescent="0.15">
      <c r="A1902" s="2" t="s">
        <v>1902</v>
      </c>
    </row>
    <row r="1903" spans="1:1" ht="13" x14ac:dyDescent="0.15">
      <c r="A1903" s="2" t="s">
        <v>1903</v>
      </c>
    </row>
    <row r="1904" spans="1:1" ht="13" x14ac:dyDescent="0.15">
      <c r="A1904" s="2" t="s">
        <v>1904</v>
      </c>
    </row>
    <row r="1905" spans="1:1" ht="13" x14ac:dyDescent="0.15">
      <c r="A1905" s="2" t="s">
        <v>1905</v>
      </c>
    </row>
    <row r="1906" spans="1:1" ht="13" x14ac:dyDescent="0.15">
      <c r="A1906" s="2" t="s">
        <v>1906</v>
      </c>
    </row>
    <row r="1907" spans="1:1" ht="13" x14ac:dyDescent="0.15">
      <c r="A1907" s="2" t="s">
        <v>1907</v>
      </c>
    </row>
    <row r="1908" spans="1:1" ht="13" x14ac:dyDescent="0.15">
      <c r="A1908" s="2" t="s">
        <v>1908</v>
      </c>
    </row>
    <row r="1909" spans="1:1" ht="13" x14ac:dyDescent="0.15">
      <c r="A1909" s="2" t="s">
        <v>1909</v>
      </c>
    </row>
    <row r="1910" spans="1:1" ht="13" x14ac:dyDescent="0.15">
      <c r="A1910" s="2" t="s">
        <v>1910</v>
      </c>
    </row>
    <row r="1911" spans="1:1" ht="13" x14ac:dyDescent="0.15">
      <c r="A1911" s="2" t="s">
        <v>1911</v>
      </c>
    </row>
    <row r="1912" spans="1:1" ht="13" x14ac:dyDescent="0.15">
      <c r="A1912" s="2" t="s">
        <v>1912</v>
      </c>
    </row>
    <row r="1913" spans="1:1" ht="13" x14ac:dyDescent="0.15">
      <c r="A1913" s="2" t="s">
        <v>1913</v>
      </c>
    </row>
    <row r="1914" spans="1:1" ht="13" x14ac:dyDescent="0.15">
      <c r="A1914" s="2" t="s">
        <v>1914</v>
      </c>
    </row>
    <row r="1915" spans="1:1" ht="13" x14ac:dyDescent="0.15">
      <c r="A1915" s="2" t="s">
        <v>1915</v>
      </c>
    </row>
    <row r="1916" spans="1:1" ht="13" x14ac:dyDescent="0.15">
      <c r="A1916" s="2" t="s">
        <v>1916</v>
      </c>
    </row>
    <row r="1917" spans="1:1" ht="13" x14ac:dyDescent="0.15">
      <c r="A1917" s="2" t="s">
        <v>1917</v>
      </c>
    </row>
    <row r="1918" spans="1:1" ht="13" x14ac:dyDescent="0.15">
      <c r="A1918" s="2" t="s">
        <v>1918</v>
      </c>
    </row>
    <row r="1919" spans="1:1" ht="13" x14ac:dyDescent="0.15">
      <c r="A1919" s="2" t="s">
        <v>1919</v>
      </c>
    </row>
    <row r="1920" spans="1:1" ht="13" x14ac:dyDescent="0.15">
      <c r="A1920" s="2" t="s">
        <v>1920</v>
      </c>
    </row>
    <row r="1921" spans="1:1" ht="13" x14ac:dyDescent="0.15">
      <c r="A1921" s="2" t="s">
        <v>1921</v>
      </c>
    </row>
    <row r="1922" spans="1:1" ht="13" x14ac:dyDescent="0.15">
      <c r="A1922" s="2" t="s">
        <v>1922</v>
      </c>
    </row>
    <row r="1923" spans="1:1" ht="13" x14ac:dyDescent="0.15">
      <c r="A1923" s="2" t="s">
        <v>1923</v>
      </c>
    </row>
    <row r="1924" spans="1:1" ht="13" x14ac:dyDescent="0.15">
      <c r="A1924" s="2" t="s">
        <v>1924</v>
      </c>
    </row>
    <row r="1925" spans="1:1" ht="13" x14ac:dyDescent="0.15">
      <c r="A1925" s="2" t="s">
        <v>1925</v>
      </c>
    </row>
    <row r="1926" spans="1:1" ht="13" x14ac:dyDescent="0.15">
      <c r="A1926" s="2" t="s">
        <v>1926</v>
      </c>
    </row>
    <row r="1927" spans="1:1" ht="13" x14ac:dyDescent="0.15">
      <c r="A1927" s="2" t="s">
        <v>1927</v>
      </c>
    </row>
    <row r="1928" spans="1:1" ht="13" x14ac:dyDescent="0.15">
      <c r="A1928" s="2" t="s">
        <v>1928</v>
      </c>
    </row>
    <row r="1929" spans="1:1" ht="13" x14ac:dyDescent="0.15">
      <c r="A1929" s="2" t="s">
        <v>1929</v>
      </c>
    </row>
    <row r="1930" spans="1:1" ht="13" x14ac:dyDescent="0.15">
      <c r="A1930" s="2" t="s">
        <v>1930</v>
      </c>
    </row>
    <row r="1931" spans="1:1" ht="13" x14ac:dyDescent="0.15">
      <c r="A1931" s="2" t="s">
        <v>1931</v>
      </c>
    </row>
    <row r="1932" spans="1:1" ht="13" x14ac:dyDescent="0.15">
      <c r="A1932" s="2" t="s">
        <v>1932</v>
      </c>
    </row>
    <row r="1933" spans="1:1" ht="13" x14ac:dyDescent="0.15">
      <c r="A1933" s="2" t="s">
        <v>1933</v>
      </c>
    </row>
    <row r="1934" spans="1:1" ht="13" x14ac:dyDescent="0.15">
      <c r="A1934" s="2" t="s">
        <v>1934</v>
      </c>
    </row>
    <row r="1935" spans="1:1" ht="13" x14ac:dyDescent="0.15">
      <c r="A1935" s="2" t="s">
        <v>1935</v>
      </c>
    </row>
    <row r="1936" spans="1:1" ht="13" x14ac:dyDescent="0.15">
      <c r="A1936" s="2" t="s">
        <v>1936</v>
      </c>
    </row>
    <row r="1937" spans="1:1" ht="13" x14ac:dyDescent="0.15">
      <c r="A1937" s="2" t="s">
        <v>1937</v>
      </c>
    </row>
    <row r="1938" spans="1:1" ht="13" x14ac:dyDescent="0.15">
      <c r="A1938" s="2" t="s">
        <v>1938</v>
      </c>
    </row>
    <row r="1939" spans="1:1" ht="13" x14ac:dyDescent="0.15">
      <c r="A1939" s="2" t="s">
        <v>1939</v>
      </c>
    </row>
    <row r="1940" spans="1:1" ht="13" x14ac:dyDescent="0.15">
      <c r="A1940" s="2" t="s">
        <v>1940</v>
      </c>
    </row>
    <row r="1941" spans="1:1" ht="13" x14ac:dyDescent="0.15">
      <c r="A1941" s="2" t="s">
        <v>1941</v>
      </c>
    </row>
    <row r="1942" spans="1:1" ht="13" x14ac:dyDescent="0.15">
      <c r="A1942" s="2" t="s">
        <v>1942</v>
      </c>
    </row>
    <row r="1943" spans="1:1" ht="13" x14ac:dyDescent="0.15">
      <c r="A1943" s="2" t="s">
        <v>1943</v>
      </c>
    </row>
    <row r="1944" spans="1:1" ht="13" x14ac:dyDescent="0.15">
      <c r="A1944" s="2" t="s">
        <v>1944</v>
      </c>
    </row>
    <row r="1945" spans="1:1" ht="13" x14ac:dyDescent="0.15">
      <c r="A1945" s="2" t="s">
        <v>1945</v>
      </c>
    </row>
    <row r="1946" spans="1:1" ht="13" x14ac:dyDescent="0.15">
      <c r="A1946" s="2" t="s">
        <v>1946</v>
      </c>
    </row>
    <row r="1947" spans="1:1" ht="13" x14ac:dyDescent="0.15">
      <c r="A1947" s="2" t="s">
        <v>1947</v>
      </c>
    </row>
    <row r="1948" spans="1:1" ht="13" x14ac:dyDescent="0.15">
      <c r="A1948" s="2" t="s">
        <v>1948</v>
      </c>
    </row>
    <row r="1949" spans="1:1" ht="13" x14ac:dyDescent="0.15">
      <c r="A1949" s="2" t="s">
        <v>1949</v>
      </c>
    </row>
    <row r="1950" spans="1:1" ht="13" x14ac:dyDescent="0.15">
      <c r="A1950" s="2" t="s">
        <v>1950</v>
      </c>
    </row>
    <row r="1951" spans="1:1" ht="13" x14ac:dyDescent="0.15">
      <c r="A1951" s="2" t="s">
        <v>1951</v>
      </c>
    </row>
    <row r="1952" spans="1:1" ht="13" x14ac:dyDescent="0.15">
      <c r="A1952" s="2" t="s">
        <v>1952</v>
      </c>
    </row>
    <row r="1953" spans="1:1" ht="13" x14ac:dyDescent="0.15">
      <c r="A1953" s="2" t="s">
        <v>1953</v>
      </c>
    </row>
    <row r="1954" spans="1:1" ht="13" x14ac:dyDescent="0.15">
      <c r="A1954" s="2" t="s">
        <v>1954</v>
      </c>
    </row>
    <row r="1955" spans="1:1" ht="13" x14ac:dyDescent="0.15">
      <c r="A1955" s="2" t="s">
        <v>1955</v>
      </c>
    </row>
    <row r="1956" spans="1:1" ht="13" x14ac:dyDescent="0.15">
      <c r="A1956" s="2" t="s">
        <v>1956</v>
      </c>
    </row>
    <row r="1957" spans="1:1" ht="13" x14ac:dyDescent="0.15">
      <c r="A1957" s="2" t="s">
        <v>1957</v>
      </c>
    </row>
    <row r="1958" spans="1:1" ht="13" x14ac:dyDescent="0.15">
      <c r="A1958" s="2" t="s">
        <v>1958</v>
      </c>
    </row>
    <row r="1959" spans="1:1" ht="13" x14ac:dyDescent="0.15">
      <c r="A1959" s="2" t="s">
        <v>1959</v>
      </c>
    </row>
    <row r="1960" spans="1:1" ht="13" x14ac:dyDescent="0.15">
      <c r="A1960" s="2" t="s">
        <v>1960</v>
      </c>
    </row>
    <row r="1961" spans="1:1" ht="13" x14ac:dyDescent="0.15">
      <c r="A1961" s="2" t="s">
        <v>1961</v>
      </c>
    </row>
    <row r="1962" spans="1:1" ht="13" x14ac:dyDescent="0.15">
      <c r="A1962" s="2" t="s">
        <v>1962</v>
      </c>
    </row>
    <row r="1963" spans="1:1" ht="13" x14ac:dyDescent="0.15">
      <c r="A1963" s="2" t="s">
        <v>1963</v>
      </c>
    </row>
    <row r="1964" spans="1:1" ht="13" x14ac:dyDescent="0.15">
      <c r="A1964" s="2" t="s">
        <v>1964</v>
      </c>
    </row>
    <row r="1965" spans="1:1" ht="13" x14ac:dyDescent="0.15">
      <c r="A1965" s="2" t="s">
        <v>1965</v>
      </c>
    </row>
    <row r="1966" spans="1:1" ht="13" x14ac:dyDescent="0.15">
      <c r="A1966" s="2" t="s">
        <v>1966</v>
      </c>
    </row>
    <row r="1967" spans="1:1" ht="13" x14ac:dyDescent="0.15">
      <c r="A1967" s="2" t="s">
        <v>1967</v>
      </c>
    </row>
    <row r="1968" spans="1:1" ht="13" x14ac:dyDescent="0.15">
      <c r="A1968" s="2" t="s">
        <v>1968</v>
      </c>
    </row>
    <row r="1969" spans="1:1" ht="13" x14ac:dyDescent="0.15">
      <c r="A1969" s="2" t="s">
        <v>1969</v>
      </c>
    </row>
    <row r="1970" spans="1:1" ht="13" x14ac:dyDescent="0.15">
      <c r="A1970" s="2" t="s">
        <v>1970</v>
      </c>
    </row>
    <row r="1971" spans="1:1" ht="13" x14ac:dyDescent="0.15">
      <c r="A1971" s="2" t="s">
        <v>1971</v>
      </c>
    </row>
    <row r="1972" spans="1:1" ht="13" x14ac:dyDescent="0.15">
      <c r="A1972" s="2" t="s">
        <v>1972</v>
      </c>
    </row>
    <row r="1973" spans="1:1" ht="13" x14ac:dyDescent="0.15">
      <c r="A1973" s="2" t="s">
        <v>1973</v>
      </c>
    </row>
    <row r="1974" spans="1:1" ht="13" x14ac:dyDescent="0.15">
      <c r="A1974" s="2" t="s">
        <v>1974</v>
      </c>
    </row>
    <row r="1975" spans="1:1" ht="13" x14ac:dyDescent="0.15">
      <c r="A1975" s="2" t="s">
        <v>1975</v>
      </c>
    </row>
    <row r="1976" spans="1:1" ht="13" x14ac:dyDescent="0.15">
      <c r="A1976" s="2" t="s">
        <v>1976</v>
      </c>
    </row>
    <row r="1977" spans="1:1" ht="13" x14ac:dyDescent="0.15">
      <c r="A1977" s="2" t="s">
        <v>1977</v>
      </c>
    </row>
    <row r="1978" spans="1:1" ht="13" x14ac:dyDescent="0.15">
      <c r="A1978" s="2" t="s">
        <v>1978</v>
      </c>
    </row>
    <row r="1979" spans="1:1" ht="13" x14ac:dyDescent="0.15">
      <c r="A1979" s="2" t="s">
        <v>1979</v>
      </c>
    </row>
    <row r="1980" spans="1:1" ht="13" x14ac:dyDescent="0.15">
      <c r="A1980" s="2" t="s">
        <v>1980</v>
      </c>
    </row>
    <row r="1981" spans="1:1" ht="13" x14ac:dyDescent="0.15">
      <c r="A1981" s="2" t="s">
        <v>1981</v>
      </c>
    </row>
    <row r="1982" spans="1:1" ht="13" x14ac:dyDescent="0.15">
      <c r="A1982" s="2" t="s">
        <v>1982</v>
      </c>
    </row>
    <row r="1983" spans="1:1" ht="13" x14ac:dyDescent="0.15">
      <c r="A1983" s="2" t="s">
        <v>1983</v>
      </c>
    </row>
    <row r="1984" spans="1:1" ht="13" x14ac:dyDescent="0.15">
      <c r="A1984" s="2" t="s">
        <v>1984</v>
      </c>
    </row>
    <row r="1985" spans="1:1" ht="13" x14ac:dyDescent="0.15">
      <c r="A1985" s="2" t="s">
        <v>1985</v>
      </c>
    </row>
    <row r="1986" spans="1:1" ht="13" x14ac:dyDescent="0.15">
      <c r="A1986" s="2" t="s">
        <v>1986</v>
      </c>
    </row>
    <row r="1987" spans="1:1" ht="13" x14ac:dyDescent="0.15">
      <c r="A1987" s="2" t="s">
        <v>1987</v>
      </c>
    </row>
    <row r="1988" spans="1:1" ht="13" x14ac:dyDescent="0.15">
      <c r="A1988" s="2" t="s">
        <v>1988</v>
      </c>
    </row>
    <row r="1989" spans="1:1" ht="13" x14ac:dyDescent="0.15">
      <c r="A1989" s="2" t="s">
        <v>1989</v>
      </c>
    </row>
    <row r="1990" spans="1:1" ht="13" x14ac:dyDescent="0.15">
      <c r="A1990" s="2" t="s">
        <v>1990</v>
      </c>
    </row>
    <row r="1991" spans="1:1" ht="13" x14ac:dyDescent="0.15">
      <c r="A1991" s="2" t="s">
        <v>1991</v>
      </c>
    </row>
    <row r="1992" spans="1:1" ht="13" x14ac:dyDescent="0.15">
      <c r="A1992" s="2" t="s">
        <v>1992</v>
      </c>
    </row>
    <row r="1993" spans="1:1" ht="13" x14ac:dyDescent="0.15">
      <c r="A1993" s="2" t="s">
        <v>1993</v>
      </c>
    </row>
    <row r="1994" spans="1:1" ht="13" x14ac:dyDescent="0.15">
      <c r="A1994" s="2" t="s">
        <v>1994</v>
      </c>
    </row>
    <row r="1995" spans="1:1" ht="13" x14ac:dyDescent="0.15">
      <c r="A1995" s="2" t="s">
        <v>1995</v>
      </c>
    </row>
    <row r="1996" spans="1:1" ht="13" x14ac:dyDescent="0.15">
      <c r="A1996" s="2" t="s">
        <v>1996</v>
      </c>
    </row>
    <row r="1997" spans="1:1" ht="13" x14ac:dyDescent="0.15">
      <c r="A1997" s="2" t="s">
        <v>1997</v>
      </c>
    </row>
    <row r="1998" spans="1:1" ht="13" x14ac:dyDescent="0.15">
      <c r="A1998" s="2" t="s">
        <v>1998</v>
      </c>
    </row>
    <row r="1999" spans="1:1" ht="13" x14ac:dyDescent="0.15">
      <c r="A1999" s="2" t="s">
        <v>1999</v>
      </c>
    </row>
    <row r="2000" spans="1:1" ht="13" x14ac:dyDescent="0.15">
      <c r="A2000" s="2" t="s">
        <v>2000</v>
      </c>
    </row>
    <row r="2001" spans="1:1" ht="13" x14ac:dyDescent="0.15">
      <c r="A2001" s="2" t="s">
        <v>2001</v>
      </c>
    </row>
    <row r="2002" spans="1:1" ht="13" x14ac:dyDescent="0.15">
      <c r="A2002" s="2" t="s">
        <v>2002</v>
      </c>
    </row>
    <row r="2003" spans="1:1" ht="13" x14ac:dyDescent="0.15">
      <c r="A2003" s="2" t="s">
        <v>2003</v>
      </c>
    </row>
    <row r="2004" spans="1:1" ht="13" x14ac:dyDescent="0.15">
      <c r="A2004" s="2" t="s">
        <v>2004</v>
      </c>
    </row>
    <row r="2005" spans="1:1" ht="13" x14ac:dyDescent="0.15">
      <c r="A2005" s="2" t="s">
        <v>2005</v>
      </c>
    </row>
    <row r="2006" spans="1:1" ht="13" x14ac:dyDescent="0.15">
      <c r="A2006" s="2" t="s">
        <v>2006</v>
      </c>
    </row>
    <row r="2007" spans="1:1" ht="13" x14ac:dyDescent="0.15">
      <c r="A2007" s="2" t="s">
        <v>2007</v>
      </c>
    </row>
    <row r="2008" spans="1:1" ht="13" x14ac:dyDescent="0.15">
      <c r="A2008" s="2" t="s">
        <v>2008</v>
      </c>
    </row>
    <row r="2009" spans="1:1" ht="13" x14ac:dyDescent="0.15">
      <c r="A2009" s="2" t="s">
        <v>2009</v>
      </c>
    </row>
    <row r="2010" spans="1:1" ht="13" x14ac:dyDescent="0.15">
      <c r="A2010" s="2" t="s">
        <v>2010</v>
      </c>
    </row>
    <row r="2011" spans="1:1" ht="13" x14ac:dyDescent="0.15">
      <c r="A2011" s="2" t="s">
        <v>2011</v>
      </c>
    </row>
    <row r="2012" spans="1:1" ht="13" x14ac:dyDescent="0.15">
      <c r="A2012" s="2" t="s">
        <v>2012</v>
      </c>
    </row>
    <row r="2013" spans="1:1" ht="13" x14ac:dyDescent="0.15">
      <c r="A2013" s="2" t="s">
        <v>2013</v>
      </c>
    </row>
    <row r="2014" spans="1:1" ht="13" x14ac:dyDescent="0.15">
      <c r="A2014" s="2" t="s">
        <v>2014</v>
      </c>
    </row>
    <row r="2015" spans="1:1" ht="13" x14ac:dyDescent="0.15">
      <c r="A2015" s="2" t="s">
        <v>2015</v>
      </c>
    </row>
    <row r="2016" spans="1:1" ht="13" x14ac:dyDescent="0.15">
      <c r="A2016" s="2" t="s">
        <v>2016</v>
      </c>
    </row>
    <row r="2017" spans="1:1" ht="13" x14ac:dyDescent="0.15">
      <c r="A2017" s="2" t="s">
        <v>2017</v>
      </c>
    </row>
    <row r="2018" spans="1:1" ht="13" x14ac:dyDescent="0.15">
      <c r="A2018" s="2" t="s">
        <v>2018</v>
      </c>
    </row>
    <row r="2019" spans="1:1" ht="13" x14ac:dyDescent="0.15">
      <c r="A2019" s="2" t="s">
        <v>2019</v>
      </c>
    </row>
    <row r="2020" spans="1:1" ht="13" x14ac:dyDescent="0.15">
      <c r="A2020" s="2" t="s">
        <v>2020</v>
      </c>
    </row>
    <row r="2021" spans="1:1" ht="13" x14ac:dyDescent="0.15">
      <c r="A2021" s="2" t="s">
        <v>2021</v>
      </c>
    </row>
    <row r="2022" spans="1:1" ht="13" x14ac:dyDescent="0.15">
      <c r="A2022" s="2" t="s">
        <v>2022</v>
      </c>
    </row>
    <row r="2023" spans="1:1" ht="13" x14ac:dyDescent="0.15">
      <c r="A2023" s="2" t="s">
        <v>2023</v>
      </c>
    </row>
    <row r="2024" spans="1:1" ht="13" x14ac:dyDescent="0.15">
      <c r="A2024" s="2" t="s">
        <v>2024</v>
      </c>
    </row>
    <row r="2025" spans="1:1" ht="13" x14ac:dyDescent="0.15">
      <c r="A2025" s="2" t="s">
        <v>2025</v>
      </c>
    </row>
    <row r="2026" spans="1:1" ht="13" x14ac:dyDescent="0.15">
      <c r="A2026" s="2" t="s">
        <v>2026</v>
      </c>
    </row>
    <row r="2027" spans="1:1" ht="13" x14ac:dyDescent="0.15">
      <c r="A2027" s="2" t="s">
        <v>2027</v>
      </c>
    </row>
    <row r="2028" spans="1:1" ht="13" x14ac:dyDescent="0.15">
      <c r="A2028" s="2" t="s">
        <v>2028</v>
      </c>
    </row>
    <row r="2029" spans="1:1" ht="13" x14ac:dyDescent="0.15">
      <c r="A2029" s="2" t="s">
        <v>2029</v>
      </c>
    </row>
    <row r="2030" spans="1:1" ht="13" x14ac:dyDescent="0.15">
      <c r="A2030" s="2" t="s">
        <v>2030</v>
      </c>
    </row>
    <row r="2031" spans="1:1" ht="13" x14ac:dyDescent="0.15">
      <c r="A2031" s="2" t="s">
        <v>2031</v>
      </c>
    </row>
    <row r="2032" spans="1:1" ht="13" x14ac:dyDescent="0.15">
      <c r="A2032" s="2" t="s">
        <v>2032</v>
      </c>
    </row>
    <row r="2033" spans="1:1" ht="13" x14ac:dyDescent="0.15">
      <c r="A2033" s="2" t="s">
        <v>2033</v>
      </c>
    </row>
    <row r="2034" spans="1:1" ht="13" x14ac:dyDescent="0.15">
      <c r="A2034" s="2" t="s">
        <v>2034</v>
      </c>
    </row>
    <row r="2035" spans="1:1" ht="13" x14ac:dyDescent="0.15">
      <c r="A2035" s="2" t="s">
        <v>2035</v>
      </c>
    </row>
    <row r="2036" spans="1:1" ht="13" x14ac:dyDescent="0.15">
      <c r="A2036" s="2" t="s">
        <v>2036</v>
      </c>
    </row>
    <row r="2037" spans="1:1" ht="13" x14ac:dyDescent="0.15">
      <c r="A2037" s="2" t="s">
        <v>2037</v>
      </c>
    </row>
    <row r="2038" spans="1:1" ht="13" x14ac:dyDescent="0.15">
      <c r="A2038" s="2" t="s">
        <v>2038</v>
      </c>
    </row>
    <row r="2039" spans="1:1" ht="13" x14ac:dyDescent="0.15">
      <c r="A2039" s="2" t="s">
        <v>2039</v>
      </c>
    </row>
    <row r="2040" spans="1:1" ht="13" x14ac:dyDescent="0.15">
      <c r="A2040" s="2" t="s">
        <v>2040</v>
      </c>
    </row>
    <row r="2041" spans="1:1" ht="13" x14ac:dyDescent="0.15">
      <c r="A2041" s="2" t="s">
        <v>2041</v>
      </c>
    </row>
    <row r="2042" spans="1:1" ht="13" x14ac:dyDescent="0.15">
      <c r="A2042" s="2" t="s">
        <v>2042</v>
      </c>
    </row>
    <row r="2043" spans="1:1" ht="13" x14ac:dyDescent="0.15">
      <c r="A2043" s="2" t="s">
        <v>2043</v>
      </c>
    </row>
    <row r="2044" spans="1:1" ht="13" x14ac:dyDescent="0.15">
      <c r="A2044" s="2" t="s">
        <v>2044</v>
      </c>
    </row>
    <row r="2045" spans="1:1" ht="13" x14ac:dyDescent="0.15">
      <c r="A2045" s="2" t="s">
        <v>2045</v>
      </c>
    </row>
    <row r="2046" spans="1:1" ht="13" x14ac:dyDescent="0.15">
      <c r="A2046" s="2" t="s">
        <v>2046</v>
      </c>
    </row>
    <row r="2047" spans="1:1" ht="13" x14ac:dyDescent="0.15">
      <c r="A2047" s="2" t="s">
        <v>2047</v>
      </c>
    </row>
    <row r="2048" spans="1:1" ht="13" x14ac:dyDescent="0.15">
      <c r="A2048" s="2" t="s">
        <v>2048</v>
      </c>
    </row>
    <row r="2049" spans="1:1" ht="13" x14ac:dyDescent="0.15">
      <c r="A2049" s="2" t="s">
        <v>2049</v>
      </c>
    </row>
    <row r="2050" spans="1:1" ht="13" x14ac:dyDescent="0.15">
      <c r="A2050" s="2" t="s">
        <v>2050</v>
      </c>
    </row>
    <row r="2051" spans="1:1" ht="13" x14ac:dyDescent="0.15">
      <c r="A2051" s="2" t="s">
        <v>2051</v>
      </c>
    </row>
    <row r="2052" spans="1:1" ht="13" x14ac:dyDescent="0.15">
      <c r="A2052" s="2" t="s">
        <v>2052</v>
      </c>
    </row>
    <row r="2053" spans="1:1" ht="13" x14ac:dyDescent="0.15">
      <c r="A2053" s="2" t="s">
        <v>2053</v>
      </c>
    </row>
    <row r="2054" spans="1:1" ht="13" x14ac:dyDescent="0.15">
      <c r="A2054" s="2" t="s">
        <v>2054</v>
      </c>
    </row>
    <row r="2055" spans="1:1" ht="13" x14ac:dyDescent="0.15">
      <c r="A2055" s="2" t="s">
        <v>2055</v>
      </c>
    </row>
    <row r="2056" spans="1:1" ht="13" x14ac:dyDescent="0.15">
      <c r="A2056" s="2" t="s">
        <v>2056</v>
      </c>
    </row>
    <row r="2057" spans="1:1" ht="13" x14ac:dyDescent="0.15">
      <c r="A2057" s="2" t="s">
        <v>2057</v>
      </c>
    </row>
    <row r="2058" spans="1:1" ht="13" x14ac:dyDescent="0.15">
      <c r="A2058" s="2" t="s">
        <v>2058</v>
      </c>
    </row>
    <row r="2059" spans="1:1" ht="13" x14ac:dyDescent="0.15">
      <c r="A2059" s="2" t="s">
        <v>2059</v>
      </c>
    </row>
    <row r="2060" spans="1:1" ht="13" x14ac:dyDescent="0.15">
      <c r="A2060" s="2" t="s">
        <v>2060</v>
      </c>
    </row>
    <row r="2061" spans="1:1" ht="13" x14ac:dyDescent="0.15">
      <c r="A2061" s="2" t="s">
        <v>2061</v>
      </c>
    </row>
    <row r="2062" spans="1:1" ht="13" x14ac:dyDescent="0.15">
      <c r="A2062" s="2" t="s">
        <v>2062</v>
      </c>
    </row>
    <row r="2063" spans="1:1" ht="13" x14ac:dyDescent="0.15">
      <c r="A2063" s="2" t="s">
        <v>2063</v>
      </c>
    </row>
    <row r="2064" spans="1:1" ht="13" x14ac:dyDescent="0.15">
      <c r="A2064" s="2" t="s">
        <v>2064</v>
      </c>
    </row>
    <row r="2065" spans="1:1" ht="13" x14ac:dyDescent="0.15">
      <c r="A2065" s="2" t="s">
        <v>2065</v>
      </c>
    </row>
    <row r="2066" spans="1:1" ht="13" x14ac:dyDescent="0.15">
      <c r="A2066" s="2" t="s">
        <v>2066</v>
      </c>
    </row>
    <row r="2067" spans="1:1" ht="13" x14ac:dyDescent="0.15">
      <c r="A2067" s="2" t="s">
        <v>2067</v>
      </c>
    </row>
    <row r="2068" spans="1:1" ht="13" x14ac:dyDescent="0.15">
      <c r="A2068" s="2" t="s">
        <v>2068</v>
      </c>
    </row>
    <row r="2069" spans="1:1" ht="13" x14ac:dyDescent="0.15">
      <c r="A2069" s="2" t="s">
        <v>2069</v>
      </c>
    </row>
    <row r="2070" spans="1:1" ht="13" x14ac:dyDescent="0.15">
      <c r="A2070" s="2" t="s">
        <v>2070</v>
      </c>
    </row>
    <row r="2071" spans="1:1" ht="13" x14ac:dyDescent="0.15">
      <c r="A2071" s="2" t="s">
        <v>2071</v>
      </c>
    </row>
    <row r="2072" spans="1:1" ht="13" x14ac:dyDescent="0.15">
      <c r="A2072" s="2" t="s">
        <v>2072</v>
      </c>
    </row>
    <row r="2073" spans="1:1" ht="13" x14ac:dyDescent="0.15">
      <c r="A2073" s="2" t="s">
        <v>2073</v>
      </c>
    </row>
    <row r="2074" spans="1:1" ht="13" x14ac:dyDescent="0.15">
      <c r="A2074" s="2" t="s">
        <v>2074</v>
      </c>
    </row>
    <row r="2075" spans="1:1" ht="13" x14ac:dyDescent="0.15">
      <c r="A2075" s="2" t="s">
        <v>2075</v>
      </c>
    </row>
    <row r="2076" spans="1:1" ht="13" x14ac:dyDescent="0.15">
      <c r="A2076" s="2" t="s">
        <v>2076</v>
      </c>
    </row>
    <row r="2077" spans="1:1" ht="13" x14ac:dyDescent="0.15">
      <c r="A2077" s="2" t="s">
        <v>2077</v>
      </c>
    </row>
    <row r="2078" spans="1:1" ht="13" x14ac:dyDescent="0.15">
      <c r="A2078" s="2" t="s">
        <v>2078</v>
      </c>
    </row>
    <row r="2079" spans="1:1" ht="13" x14ac:dyDescent="0.15">
      <c r="A2079" s="2" t="s">
        <v>2079</v>
      </c>
    </row>
    <row r="2080" spans="1:1" ht="13" x14ac:dyDescent="0.15">
      <c r="A2080" s="2" t="s">
        <v>2080</v>
      </c>
    </row>
    <row r="2081" spans="1:1" ht="13" x14ac:dyDescent="0.15">
      <c r="A2081" s="2" t="s">
        <v>2081</v>
      </c>
    </row>
    <row r="2082" spans="1:1" ht="13" x14ac:dyDescent="0.15">
      <c r="A2082" s="2" t="s">
        <v>2082</v>
      </c>
    </row>
    <row r="2083" spans="1:1" ht="13" x14ac:dyDescent="0.15">
      <c r="A2083" s="2" t="s">
        <v>2083</v>
      </c>
    </row>
    <row r="2084" spans="1:1" ht="13" x14ac:dyDescent="0.15">
      <c r="A2084" s="2" t="s">
        <v>2084</v>
      </c>
    </row>
    <row r="2085" spans="1:1" ht="13" x14ac:dyDescent="0.15">
      <c r="A2085" s="2" t="s">
        <v>2085</v>
      </c>
    </row>
    <row r="2086" spans="1:1" ht="13" x14ac:dyDescent="0.15">
      <c r="A2086" s="2" t="s">
        <v>2086</v>
      </c>
    </row>
    <row r="2087" spans="1:1" ht="13" x14ac:dyDescent="0.15">
      <c r="A2087" s="2" t="s">
        <v>2087</v>
      </c>
    </row>
    <row r="2088" spans="1:1" ht="13" x14ac:dyDescent="0.15">
      <c r="A2088" s="2" t="s">
        <v>2088</v>
      </c>
    </row>
    <row r="2089" spans="1:1" ht="13" x14ac:dyDescent="0.15">
      <c r="A2089" s="2" t="s">
        <v>2089</v>
      </c>
    </row>
    <row r="2090" spans="1:1" ht="13" x14ac:dyDescent="0.15">
      <c r="A2090" s="2" t="s">
        <v>2090</v>
      </c>
    </row>
    <row r="2091" spans="1:1" ht="13" x14ac:dyDescent="0.15">
      <c r="A2091" s="2" t="s">
        <v>2091</v>
      </c>
    </row>
    <row r="2092" spans="1:1" ht="13" x14ac:dyDescent="0.15">
      <c r="A2092" s="2" t="s">
        <v>2092</v>
      </c>
    </row>
    <row r="2093" spans="1:1" ht="13" x14ac:dyDescent="0.15">
      <c r="A2093" s="2" t="s">
        <v>2093</v>
      </c>
    </row>
    <row r="2094" spans="1:1" ht="13" x14ac:dyDescent="0.15">
      <c r="A2094" s="2" t="s">
        <v>2094</v>
      </c>
    </row>
    <row r="2095" spans="1:1" ht="13" x14ac:dyDescent="0.15">
      <c r="A2095" s="2" t="s">
        <v>2095</v>
      </c>
    </row>
    <row r="2096" spans="1:1" ht="13" x14ac:dyDescent="0.15">
      <c r="A2096" s="2" t="s">
        <v>2096</v>
      </c>
    </row>
    <row r="2097" spans="1:1" ht="13" x14ac:dyDescent="0.15">
      <c r="A2097" s="2" t="s">
        <v>2097</v>
      </c>
    </row>
    <row r="2098" spans="1:1" ht="13" x14ac:dyDescent="0.15">
      <c r="A2098" s="2" t="s">
        <v>2098</v>
      </c>
    </row>
    <row r="2099" spans="1:1" ht="13" x14ac:dyDescent="0.15">
      <c r="A2099" s="2" t="s">
        <v>2099</v>
      </c>
    </row>
    <row r="2100" spans="1:1" ht="13" x14ac:dyDescent="0.15">
      <c r="A2100" s="2" t="s">
        <v>2100</v>
      </c>
    </row>
    <row r="2101" spans="1:1" ht="13" x14ac:dyDescent="0.15">
      <c r="A2101" s="2" t="s">
        <v>2101</v>
      </c>
    </row>
    <row r="2102" spans="1:1" ht="13" x14ac:dyDescent="0.15">
      <c r="A2102" s="2" t="s">
        <v>2102</v>
      </c>
    </row>
    <row r="2103" spans="1:1" ht="13" x14ac:dyDescent="0.15">
      <c r="A2103" s="2" t="s">
        <v>2103</v>
      </c>
    </row>
    <row r="2104" spans="1:1" ht="13" x14ac:dyDescent="0.15">
      <c r="A2104" s="2" t="s">
        <v>2104</v>
      </c>
    </row>
    <row r="2105" spans="1:1" ht="13" x14ac:dyDescent="0.15">
      <c r="A2105" s="2" t="s">
        <v>2105</v>
      </c>
    </row>
    <row r="2106" spans="1:1" ht="13" x14ac:dyDescent="0.15">
      <c r="A2106" s="2" t="s">
        <v>2106</v>
      </c>
    </row>
    <row r="2107" spans="1:1" ht="13" x14ac:dyDescent="0.15">
      <c r="A2107" s="2" t="s">
        <v>2107</v>
      </c>
    </row>
    <row r="2108" spans="1:1" ht="13" x14ac:dyDescent="0.15">
      <c r="A2108" s="2" t="s">
        <v>2108</v>
      </c>
    </row>
    <row r="2109" spans="1:1" ht="13" x14ac:dyDescent="0.15">
      <c r="A2109" s="2" t="s">
        <v>2109</v>
      </c>
    </row>
    <row r="2110" spans="1:1" ht="13" x14ac:dyDescent="0.15">
      <c r="A2110" s="2" t="s">
        <v>2110</v>
      </c>
    </row>
    <row r="2111" spans="1:1" ht="13" x14ac:dyDescent="0.15">
      <c r="A2111" s="2" t="s">
        <v>2111</v>
      </c>
    </row>
    <row r="2112" spans="1:1" ht="13" x14ac:dyDescent="0.15">
      <c r="A2112" s="2" t="s">
        <v>2112</v>
      </c>
    </row>
    <row r="2113" spans="1:1" ht="13" x14ac:dyDescent="0.15">
      <c r="A2113" s="2" t="s">
        <v>2113</v>
      </c>
    </row>
    <row r="2114" spans="1:1" ht="13" x14ac:dyDescent="0.15">
      <c r="A2114" s="2" t="s">
        <v>2114</v>
      </c>
    </row>
    <row r="2115" spans="1:1" ht="13" x14ac:dyDescent="0.15">
      <c r="A2115" s="2" t="s">
        <v>2115</v>
      </c>
    </row>
    <row r="2116" spans="1:1" ht="13" x14ac:dyDescent="0.15">
      <c r="A2116" s="2" t="s">
        <v>2116</v>
      </c>
    </row>
    <row r="2117" spans="1:1" ht="13" x14ac:dyDescent="0.15">
      <c r="A2117" s="2" t="s">
        <v>2117</v>
      </c>
    </row>
    <row r="2118" spans="1:1" ht="13" x14ac:dyDescent="0.15">
      <c r="A2118" s="2" t="s">
        <v>2118</v>
      </c>
    </row>
    <row r="2119" spans="1:1" ht="13" x14ac:dyDescent="0.15">
      <c r="A2119" s="2" t="s">
        <v>2119</v>
      </c>
    </row>
    <row r="2120" spans="1:1" ht="13" x14ac:dyDescent="0.15">
      <c r="A2120" s="2" t="s">
        <v>2120</v>
      </c>
    </row>
    <row r="2121" spans="1:1" ht="13" x14ac:dyDescent="0.15">
      <c r="A2121" s="2" t="s">
        <v>2121</v>
      </c>
    </row>
    <row r="2122" spans="1:1" ht="13" x14ac:dyDescent="0.15">
      <c r="A2122" s="2" t="s">
        <v>2122</v>
      </c>
    </row>
    <row r="2123" spans="1:1" ht="13" x14ac:dyDescent="0.15">
      <c r="A2123" s="2" t="s">
        <v>2123</v>
      </c>
    </row>
    <row r="2124" spans="1:1" ht="13" x14ac:dyDescent="0.15">
      <c r="A2124" s="2" t="s">
        <v>2124</v>
      </c>
    </row>
    <row r="2125" spans="1:1" ht="13" x14ac:dyDescent="0.15">
      <c r="A2125" s="2" t="s">
        <v>2125</v>
      </c>
    </row>
    <row r="2126" spans="1:1" ht="13" x14ac:dyDescent="0.15">
      <c r="A2126" s="2" t="s">
        <v>2126</v>
      </c>
    </row>
    <row r="2127" spans="1:1" ht="13" x14ac:dyDescent="0.15">
      <c r="A2127" s="2" t="s">
        <v>2127</v>
      </c>
    </row>
    <row r="2128" spans="1:1" ht="13" x14ac:dyDescent="0.15">
      <c r="A2128" s="2" t="s">
        <v>2128</v>
      </c>
    </row>
    <row r="2129" spans="1:1" ht="13" x14ac:dyDescent="0.15">
      <c r="A2129" s="2" t="s">
        <v>2129</v>
      </c>
    </row>
    <row r="2130" spans="1:1" ht="13" x14ac:dyDescent="0.15">
      <c r="A2130" s="2" t="s">
        <v>2130</v>
      </c>
    </row>
    <row r="2131" spans="1:1" ht="13" x14ac:dyDescent="0.15">
      <c r="A2131" s="2" t="s">
        <v>2131</v>
      </c>
    </row>
    <row r="2132" spans="1:1" ht="13" x14ac:dyDescent="0.15">
      <c r="A2132" s="2" t="s">
        <v>2132</v>
      </c>
    </row>
    <row r="2133" spans="1:1" ht="13" x14ac:dyDescent="0.15">
      <c r="A2133" s="2" t="s">
        <v>2133</v>
      </c>
    </row>
    <row r="2134" spans="1:1" ht="13" x14ac:dyDescent="0.15">
      <c r="A2134" s="2" t="s">
        <v>2134</v>
      </c>
    </row>
    <row r="2135" spans="1:1" ht="13" x14ac:dyDescent="0.15">
      <c r="A2135" s="2" t="s">
        <v>2135</v>
      </c>
    </row>
    <row r="2136" spans="1:1" ht="13" x14ac:dyDescent="0.15">
      <c r="A2136" s="2" t="s">
        <v>2136</v>
      </c>
    </row>
    <row r="2137" spans="1:1" ht="13" x14ac:dyDescent="0.15">
      <c r="A2137" s="2" t="s">
        <v>2137</v>
      </c>
    </row>
    <row r="2138" spans="1:1" ht="13" x14ac:dyDescent="0.15">
      <c r="A2138" s="2" t="s">
        <v>2138</v>
      </c>
    </row>
    <row r="2139" spans="1:1" ht="13" x14ac:dyDescent="0.15">
      <c r="A2139" s="2" t="s">
        <v>2139</v>
      </c>
    </row>
    <row r="2140" spans="1:1" ht="13" x14ac:dyDescent="0.15">
      <c r="A2140" s="2" t="s">
        <v>2140</v>
      </c>
    </row>
    <row r="2141" spans="1:1" ht="13" x14ac:dyDescent="0.15">
      <c r="A2141" s="2" t="s">
        <v>2141</v>
      </c>
    </row>
    <row r="2142" spans="1:1" ht="13" x14ac:dyDescent="0.15">
      <c r="A2142" s="2" t="s">
        <v>2142</v>
      </c>
    </row>
    <row r="2143" spans="1:1" ht="13" x14ac:dyDescent="0.15">
      <c r="A2143" s="2" t="s">
        <v>2143</v>
      </c>
    </row>
    <row r="2144" spans="1:1" ht="13" x14ac:dyDescent="0.15">
      <c r="A2144" s="2" t="s">
        <v>2144</v>
      </c>
    </row>
    <row r="2145" spans="1:1" ht="13" x14ac:dyDescent="0.15">
      <c r="A2145" s="2" t="s">
        <v>2145</v>
      </c>
    </row>
    <row r="2146" spans="1:1" ht="13" x14ac:dyDescent="0.15">
      <c r="A2146" s="2" t="s">
        <v>2146</v>
      </c>
    </row>
    <row r="2147" spans="1:1" ht="13" x14ac:dyDescent="0.15">
      <c r="A2147" s="2" t="s">
        <v>2147</v>
      </c>
    </row>
    <row r="2148" spans="1:1" ht="13" x14ac:dyDescent="0.15">
      <c r="A2148" s="2" t="s">
        <v>2148</v>
      </c>
    </row>
    <row r="2149" spans="1:1" ht="13" x14ac:dyDescent="0.15">
      <c r="A2149" s="2" t="s">
        <v>2149</v>
      </c>
    </row>
    <row r="2150" spans="1:1" ht="13" x14ac:dyDescent="0.15">
      <c r="A2150" s="2" t="s">
        <v>2150</v>
      </c>
    </row>
    <row r="2151" spans="1:1" ht="13" x14ac:dyDescent="0.15">
      <c r="A2151" s="2" t="s">
        <v>2151</v>
      </c>
    </row>
    <row r="2152" spans="1:1" ht="13" x14ac:dyDescent="0.15">
      <c r="A2152" s="2" t="s">
        <v>2152</v>
      </c>
    </row>
    <row r="2153" spans="1:1" ht="13" x14ac:dyDescent="0.15">
      <c r="A2153" s="2" t="s">
        <v>2153</v>
      </c>
    </row>
    <row r="2154" spans="1:1" ht="13" x14ac:dyDescent="0.15">
      <c r="A2154" s="2" t="s">
        <v>2154</v>
      </c>
    </row>
    <row r="2155" spans="1:1" ht="13" x14ac:dyDescent="0.15">
      <c r="A2155" s="2" t="s">
        <v>2155</v>
      </c>
    </row>
    <row r="2156" spans="1:1" ht="13" x14ac:dyDescent="0.15">
      <c r="A2156" s="2" t="s">
        <v>2156</v>
      </c>
    </row>
    <row r="2157" spans="1:1" ht="13" x14ac:dyDescent="0.15">
      <c r="A2157" s="2" t="s">
        <v>2157</v>
      </c>
    </row>
    <row r="2158" spans="1:1" ht="13" x14ac:dyDescent="0.15">
      <c r="A2158" s="2" t="s">
        <v>2158</v>
      </c>
    </row>
    <row r="2159" spans="1:1" ht="13" x14ac:dyDescent="0.15">
      <c r="A2159" s="2" t="s">
        <v>2159</v>
      </c>
    </row>
    <row r="2160" spans="1:1" ht="13" x14ac:dyDescent="0.15">
      <c r="A2160" s="2" t="s">
        <v>2160</v>
      </c>
    </row>
    <row r="2161" spans="1:1" ht="13" x14ac:dyDescent="0.15">
      <c r="A2161" s="2" t="s">
        <v>2161</v>
      </c>
    </row>
    <row r="2162" spans="1:1" ht="13" x14ac:dyDescent="0.15">
      <c r="A2162" s="2" t="s">
        <v>2162</v>
      </c>
    </row>
    <row r="2163" spans="1:1" ht="13" x14ac:dyDescent="0.15">
      <c r="A2163" s="2" t="s">
        <v>2163</v>
      </c>
    </row>
    <row r="2164" spans="1:1" ht="13" x14ac:dyDescent="0.15">
      <c r="A2164" s="2" t="s">
        <v>2164</v>
      </c>
    </row>
    <row r="2165" spans="1:1" ht="13" x14ac:dyDescent="0.15">
      <c r="A2165" s="2" t="s">
        <v>2165</v>
      </c>
    </row>
    <row r="2166" spans="1:1" ht="13" x14ac:dyDescent="0.15">
      <c r="A2166" s="2" t="s">
        <v>2166</v>
      </c>
    </row>
    <row r="2167" spans="1:1" ht="13" x14ac:dyDescent="0.15">
      <c r="A2167" s="2" t="s">
        <v>2167</v>
      </c>
    </row>
    <row r="2168" spans="1:1" ht="13" x14ac:dyDescent="0.15">
      <c r="A2168" s="2" t="s">
        <v>2168</v>
      </c>
    </row>
    <row r="2169" spans="1:1" ht="13" x14ac:dyDescent="0.15">
      <c r="A2169" s="2" t="s">
        <v>2169</v>
      </c>
    </row>
    <row r="2170" spans="1:1" ht="13" x14ac:dyDescent="0.15">
      <c r="A2170" s="2" t="s">
        <v>2170</v>
      </c>
    </row>
    <row r="2171" spans="1:1" ht="13" x14ac:dyDescent="0.15">
      <c r="A2171" s="2" t="s">
        <v>2171</v>
      </c>
    </row>
    <row r="2172" spans="1:1" ht="13" x14ac:dyDescent="0.15">
      <c r="A2172" s="2" t="s">
        <v>2172</v>
      </c>
    </row>
    <row r="2173" spans="1:1" ht="13" x14ac:dyDescent="0.15">
      <c r="A2173" s="2" t="s">
        <v>2173</v>
      </c>
    </row>
    <row r="2174" spans="1:1" ht="13" x14ac:dyDescent="0.15">
      <c r="A2174" s="2" t="s">
        <v>2174</v>
      </c>
    </row>
    <row r="2175" spans="1:1" ht="13" x14ac:dyDescent="0.15">
      <c r="A2175" s="2" t="s">
        <v>2175</v>
      </c>
    </row>
    <row r="2176" spans="1:1" ht="13" x14ac:dyDescent="0.15">
      <c r="A2176" s="2" t="s">
        <v>2176</v>
      </c>
    </row>
    <row r="2177" spans="1:1" ht="13" x14ac:dyDescent="0.15">
      <c r="A2177" s="2" t="s">
        <v>2177</v>
      </c>
    </row>
    <row r="2178" spans="1:1" ht="13" x14ac:dyDescent="0.15">
      <c r="A2178" s="2" t="s">
        <v>2178</v>
      </c>
    </row>
    <row r="2179" spans="1:1" ht="13" x14ac:dyDescent="0.15">
      <c r="A2179" s="2" t="s">
        <v>2179</v>
      </c>
    </row>
    <row r="2180" spans="1:1" ht="13" x14ac:dyDescent="0.15">
      <c r="A2180" s="2" t="s">
        <v>2180</v>
      </c>
    </row>
    <row r="2181" spans="1:1" ht="13" x14ac:dyDescent="0.15">
      <c r="A2181" s="2" t="s">
        <v>2181</v>
      </c>
    </row>
    <row r="2182" spans="1:1" ht="13" x14ac:dyDescent="0.15">
      <c r="A2182" s="2" t="s">
        <v>2182</v>
      </c>
    </row>
    <row r="2183" spans="1:1" ht="13" x14ac:dyDescent="0.15">
      <c r="A2183" s="2" t="s">
        <v>2183</v>
      </c>
    </row>
    <row r="2184" spans="1:1" ht="13" x14ac:dyDescent="0.15">
      <c r="A2184" s="2" t="s">
        <v>2184</v>
      </c>
    </row>
    <row r="2185" spans="1:1" ht="13" x14ac:dyDescent="0.15">
      <c r="A2185" s="2" t="s">
        <v>2185</v>
      </c>
    </row>
    <row r="2186" spans="1:1" ht="13" x14ac:dyDescent="0.15">
      <c r="A2186" s="2" t="s">
        <v>2186</v>
      </c>
    </row>
    <row r="2187" spans="1:1" ht="13" x14ac:dyDescent="0.15">
      <c r="A2187" s="2" t="s">
        <v>2187</v>
      </c>
    </row>
    <row r="2188" spans="1:1" ht="13" x14ac:dyDescent="0.15">
      <c r="A2188" s="2" t="s">
        <v>2188</v>
      </c>
    </row>
    <row r="2189" spans="1:1" ht="13" x14ac:dyDescent="0.15">
      <c r="A2189" s="2" t="s">
        <v>2189</v>
      </c>
    </row>
    <row r="2190" spans="1:1" ht="13" x14ac:dyDescent="0.15">
      <c r="A2190" s="2" t="s">
        <v>2190</v>
      </c>
    </row>
    <row r="2191" spans="1:1" ht="13" x14ac:dyDescent="0.15">
      <c r="A2191" s="2" t="s">
        <v>2191</v>
      </c>
    </row>
    <row r="2192" spans="1:1" ht="13" x14ac:dyDescent="0.15">
      <c r="A2192" s="2" t="s">
        <v>2192</v>
      </c>
    </row>
    <row r="2193" spans="1:1" ht="13" x14ac:dyDescent="0.15">
      <c r="A2193" s="2" t="s">
        <v>2193</v>
      </c>
    </row>
    <row r="2194" spans="1:1" ht="13" x14ac:dyDescent="0.15">
      <c r="A2194" s="2" t="s">
        <v>2194</v>
      </c>
    </row>
    <row r="2195" spans="1:1" ht="13" x14ac:dyDescent="0.15">
      <c r="A2195" s="2" t="s">
        <v>2195</v>
      </c>
    </row>
    <row r="2196" spans="1:1" ht="13" x14ac:dyDescent="0.15">
      <c r="A2196" s="2" t="s">
        <v>2196</v>
      </c>
    </row>
    <row r="2197" spans="1:1" ht="13" x14ac:dyDescent="0.15">
      <c r="A2197" s="2" t="s">
        <v>2197</v>
      </c>
    </row>
    <row r="2198" spans="1:1" ht="13" x14ac:dyDescent="0.15">
      <c r="A2198" s="2" t="s">
        <v>2198</v>
      </c>
    </row>
    <row r="2199" spans="1:1" ht="13" x14ac:dyDescent="0.15">
      <c r="A2199" s="2" t="s">
        <v>2199</v>
      </c>
    </row>
    <row r="2200" spans="1:1" ht="13" x14ac:dyDescent="0.15">
      <c r="A2200" s="2" t="s">
        <v>2200</v>
      </c>
    </row>
    <row r="2201" spans="1:1" ht="13" x14ac:dyDescent="0.15">
      <c r="A2201" s="2" t="s">
        <v>2201</v>
      </c>
    </row>
    <row r="2202" spans="1:1" ht="13" x14ac:dyDescent="0.15">
      <c r="A2202" s="2" t="s">
        <v>2202</v>
      </c>
    </row>
    <row r="2203" spans="1:1" ht="13" x14ac:dyDescent="0.15">
      <c r="A2203" s="2" t="s">
        <v>2203</v>
      </c>
    </row>
    <row r="2204" spans="1:1" ht="13" x14ac:dyDescent="0.15">
      <c r="A2204" s="2" t="s">
        <v>2204</v>
      </c>
    </row>
    <row r="2205" spans="1:1" ht="13" x14ac:dyDescent="0.15">
      <c r="A2205" s="2" t="s">
        <v>2205</v>
      </c>
    </row>
    <row r="2206" spans="1:1" ht="13" x14ac:dyDescent="0.15">
      <c r="A2206" s="2" t="s">
        <v>2206</v>
      </c>
    </row>
    <row r="2207" spans="1:1" ht="13" x14ac:dyDescent="0.15">
      <c r="A2207" s="2" t="s">
        <v>2207</v>
      </c>
    </row>
    <row r="2208" spans="1:1" ht="13" x14ac:dyDescent="0.15">
      <c r="A2208" s="2" t="s">
        <v>2208</v>
      </c>
    </row>
    <row r="2209" spans="1:1" ht="13" x14ac:dyDescent="0.15">
      <c r="A2209" s="2" t="s">
        <v>2209</v>
      </c>
    </row>
    <row r="2210" spans="1:1" ht="13" x14ac:dyDescent="0.15">
      <c r="A2210" s="2" t="s">
        <v>2210</v>
      </c>
    </row>
    <row r="2211" spans="1:1" ht="13" x14ac:dyDescent="0.15">
      <c r="A2211" s="2" t="s">
        <v>2211</v>
      </c>
    </row>
    <row r="2212" spans="1:1" ht="13" x14ac:dyDescent="0.15">
      <c r="A2212" s="2" t="s">
        <v>2212</v>
      </c>
    </row>
    <row r="2213" spans="1:1" ht="13" x14ac:dyDescent="0.15">
      <c r="A2213" s="2" t="s">
        <v>2213</v>
      </c>
    </row>
    <row r="2214" spans="1:1" ht="13" x14ac:dyDescent="0.15">
      <c r="A2214" s="2" t="s">
        <v>2214</v>
      </c>
    </row>
    <row r="2215" spans="1:1" ht="13" x14ac:dyDescent="0.15">
      <c r="A2215" s="2" t="s">
        <v>2215</v>
      </c>
    </row>
    <row r="2216" spans="1:1" ht="13" x14ac:dyDescent="0.15">
      <c r="A2216" s="2" t="s">
        <v>2216</v>
      </c>
    </row>
    <row r="2217" spans="1:1" ht="13" x14ac:dyDescent="0.15">
      <c r="A2217" s="2" t="s">
        <v>2217</v>
      </c>
    </row>
    <row r="2218" spans="1:1" ht="13" x14ac:dyDescent="0.15">
      <c r="A2218" s="2" t="s">
        <v>2218</v>
      </c>
    </row>
    <row r="2219" spans="1:1" ht="13" x14ac:dyDescent="0.15">
      <c r="A2219" s="2" t="s">
        <v>2219</v>
      </c>
    </row>
    <row r="2220" spans="1:1" ht="13" x14ac:dyDescent="0.15">
      <c r="A2220" s="2" t="s">
        <v>2220</v>
      </c>
    </row>
    <row r="2221" spans="1:1" ht="13" x14ac:dyDescent="0.15">
      <c r="A2221" s="2" t="s">
        <v>2221</v>
      </c>
    </row>
    <row r="2222" spans="1:1" ht="13" x14ac:dyDescent="0.15">
      <c r="A2222" s="2" t="s">
        <v>2222</v>
      </c>
    </row>
    <row r="2223" spans="1:1" ht="13" x14ac:dyDescent="0.15">
      <c r="A2223" s="2" t="s">
        <v>2223</v>
      </c>
    </row>
    <row r="2224" spans="1:1" ht="13" x14ac:dyDescent="0.15">
      <c r="A2224" s="2" t="s">
        <v>2224</v>
      </c>
    </row>
    <row r="2225" spans="1:1" ht="13" x14ac:dyDescent="0.15">
      <c r="A2225" s="2" t="s">
        <v>2225</v>
      </c>
    </row>
    <row r="2226" spans="1:1" ht="13" x14ac:dyDescent="0.15">
      <c r="A2226" s="2" t="s">
        <v>2226</v>
      </c>
    </row>
    <row r="2227" spans="1:1" ht="13" x14ac:dyDescent="0.15">
      <c r="A2227" s="2" t="s">
        <v>2227</v>
      </c>
    </row>
    <row r="2228" spans="1:1" ht="13" x14ac:dyDescent="0.15">
      <c r="A2228" s="2" t="s">
        <v>2228</v>
      </c>
    </row>
    <row r="2229" spans="1:1" ht="13" x14ac:dyDescent="0.15">
      <c r="A2229" s="2" t="s">
        <v>2229</v>
      </c>
    </row>
    <row r="2230" spans="1:1" ht="13" x14ac:dyDescent="0.15">
      <c r="A2230" s="2" t="s">
        <v>2230</v>
      </c>
    </row>
    <row r="2231" spans="1:1" ht="13" x14ac:dyDescent="0.15">
      <c r="A2231" s="2" t="s">
        <v>2231</v>
      </c>
    </row>
    <row r="2232" spans="1:1" ht="13" x14ac:dyDescent="0.15">
      <c r="A2232" s="2" t="s">
        <v>2232</v>
      </c>
    </row>
    <row r="2233" spans="1:1" ht="13" x14ac:dyDescent="0.15">
      <c r="A2233" s="2" t="s">
        <v>2233</v>
      </c>
    </row>
    <row r="2234" spans="1:1" ht="13" x14ac:dyDescent="0.15">
      <c r="A2234" s="2" t="s">
        <v>2234</v>
      </c>
    </row>
    <row r="2235" spans="1:1" ht="13" x14ac:dyDescent="0.15">
      <c r="A2235" s="2" t="s">
        <v>2235</v>
      </c>
    </row>
    <row r="2236" spans="1:1" ht="13" x14ac:dyDescent="0.15">
      <c r="A2236" s="2" t="s">
        <v>2236</v>
      </c>
    </row>
    <row r="2237" spans="1:1" ht="13" x14ac:dyDescent="0.15">
      <c r="A2237" s="2" t="s">
        <v>2237</v>
      </c>
    </row>
    <row r="2238" spans="1:1" ht="13" x14ac:dyDescent="0.15">
      <c r="A2238" s="2" t="s">
        <v>2238</v>
      </c>
    </row>
    <row r="2239" spans="1:1" ht="13" x14ac:dyDescent="0.15">
      <c r="A2239" s="2" t="s">
        <v>2239</v>
      </c>
    </row>
    <row r="2240" spans="1:1" ht="13" x14ac:dyDescent="0.15">
      <c r="A2240" s="2" t="s">
        <v>2240</v>
      </c>
    </row>
    <row r="2241" spans="1:1" ht="13" x14ac:dyDescent="0.15">
      <c r="A2241" s="2" t="s">
        <v>2241</v>
      </c>
    </row>
    <row r="2242" spans="1:1" ht="13" x14ac:dyDescent="0.15">
      <c r="A2242" s="2" t="s">
        <v>2242</v>
      </c>
    </row>
    <row r="2243" spans="1:1" ht="13" x14ac:dyDescent="0.15">
      <c r="A2243" s="2" t="s">
        <v>2243</v>
      </c>
    </row>
    <row r="2244" spans="1:1" ht="13" x14ac:dyDescent="0.15">
      <c r="A2244" s="2" t="s">
        <v>2244</v>
      </c>
    </row>
    <row r="2245" spans="1:1" ht="13" x14ac:dyDescent="0.15">
      <c r="A2245" s="2" t="s">
        <v>2245</v>
      </c>
    </row>
    <row r="2246" spans="1:1" ht="13" x14ac:dyDescent="0.15">
      <c r="A2246" s="2" t="s">
        <v>2246</v>
      </c>
    </row>
    <row r="2247" spans="1:1" ht="13" x14ac:dyDescent="0.15">
      <c r="A2247" s="2" t="s">
        <v>2247</v>
      </c>
    </row>
    <row r="2248" spans="1:1" ht="13" x14ac:dyDescent="0.15">
      <c r="A2248" s="2" t="s">
        <v>2248</v>
      </c>
    </row>
    <row r="2249" spans="1:1" ht="13" x14ac:dyDescent="0.15">
      <c r="A2249" s="2" t="s">
        <v>2249</v>
      </c>
    </row>
    <row r="2250" spans="1:1" ht="13" x14ac:dyDescent="0.15">
      <c r="A2250" s="2" t="s">
        <v>2250</v>
      </c>
    </row>
    <row r="2251" spans="1:1" ht="13" x14ac:dyDescent="0.15">
      <c r="A2251" s="2" t="s">
        <v>2251</v>
      </c>
    </row>
    <row r="2252" spans="1:1" ht="13" x14ac:dyDescent="0.15">
      <c r="A2252" s="2" t="s">
        <v>2252</v>
      </c>
    </row>
    <row r="2253" spans="1:1" ht="13" x14ac:dyDescent="0.15">
      <c r="A2253" s="2" t="s">
        <v>2253</v>
      </c>
    </row>
    <row r="2254" spans="1:1" ht="13" x14ac:dyDescent="0.15">
      <c r="A2254" s="2" t="s">
        <v>2254</v>
      </c>
    </row>
    <row r="2255" spans="1:1" ht="13" x14ac:dyDescent="0.15">
      <c r="A2255" s="2" t="s">
        <v>2255</v>
      </c>
    </row>
    <row r="2256" spans="1:1" ht="13" x14ac:dyDescent="0.15">
      <c r="A2256" s="2" t="s">
        <v>2256</v>
      </c>
    </row>
    <row r="2257" spans="1:1" ht="13" x14ac:dyDescent="0.15">
      <c r="A2257" s="2" t="s">
        <v>2257</v>
      </c>
    </row>
    <row r="2258" spans="1:1" ht="13" x14ac:dyDescent="0.15">
      <c r="A2258" s="2" t="s">
        <v>2258</v>
      </c>
    </row>
    <row r="2259" spans="1:1" ht="13" x14ac:dyDescent="0.15">
      <c r="A2259" s="2" t="s">
        <v>2259</v>
      </c>
    </row>
    <row r="2260" spans="1:1" ht="13" x14ac:dyDescent="0.15">
      <c r="A2260" s="2" t="s">
        <v>2260</v>
      </c>
    </row>
    <row r="2261" spans="1:1" ht="13" x14ac:dyDescent="0.15">
      <c r="A2261" s="2" t="s">
        <v>2261</v>
      </c>
    </row>
    <row r="2262" spans="1:1" ht="13" x14ac:dyDescent="0.15">
      <c r="A2262" s="2" t="s">
        <v>2262</v>
      </c>
    </row>
    <row r="2263" spans="1:1" ht="13" x14ac:dyDescent="0.15">
      <c r="A2263" s="2" t="s">
        <v>2263</v>
      </c>
    </row>
    <row r="2264" spans="1:1" ht="13" x14ac:dyDescent="0.15">
      <c r="A2264" s="2" t="s">
        <v>2264</v>
      </c>
    </row>
    <row r="2265" spans="1:1" ht="13" x14ac:dyDescent="0.15">
      <c r="A2265" s="2" t="s">
        <v>2265</v>
      </c>
    </row>
    <row r="2266" spans="1:1" ht="13" x14ac:dyDescent="0.15">
      <c r="A2266" s="2" t="s">
        <v>2266</v>
      </c>
    </row>
    <row r="2267" spans="1:1" ht="13" x14ac:dyDescent="0.15">
      <c r="A2267" s="2" t="s">
        <v>2267</v>
      </c>
    </row>
    <row r="2268" spans="1:1" ht="13" x14ac:dyDescent="0.15">
      <c r="A2268" s="2" t="s">
        <v>2268</v>
      </c>
    </row>
    <row r="2269" spans="1:1" ht="13" x14ac:dyDescent="0.15">
      <c r="A2269" s="2" t="s">
        <v>2269</v>
      </c>
    </row>
    <row r="2270" spans="1:1" ht="13" x14ac:dyDescent="0.15">
      <c r="A2270" s="2" t="s">
        <v>2270</v>
      </c>
    </row>
    <row r="2271" spans="1:1" ht="13" x14ac:dyDescent="0.15">
      <c r="A2271" s="2" t="s">
        <v>2271</v>
      </c>
    </row>
    <row r="2272" spans="1:1" ht="13" x14ac:dyDescent="0.15">
      <c r="A2272" s="2" t="s">
        <v>2272</v>
      </c>
    </row>
    <row r="2273" spans="1:1" ht="13" x14ac:dyDescent="0.15">
      <c r="A2273" s="2" t="s">
        <v>2273</v>
      </c>
    </row>
    <row r="2274" spans="1:1" ht="13" x14ac:dyDescent="0.15">
      <c r="A2274" s="2" t="s">
        <v>2274</v>
      </c>
    </row>
    <row r="2275" spans="1:1" ht="13" x14ac:dyDescent="0.15">
      <c r="A2275" s="2" t="s">
        <v>2275</v>
      </c>
    </row>
    <row r="2276" spans="1:1" ht="13" x14ac:dyDescent="0.15">
      <c r="A2276" s="2" t="s">
        <v>2276</v>
      </c>
    </row>
    <row r="2277" spans="1:1" ht="13" x14ac:dyDescent="0.15">
      <c r="A2277" s="2" t="s">
        <v>2277</v>
      </c>
    </row>
    <row r="2278" spans="1:1" ht="13" x14ac:dyDescent="0.15">
      <c r="A2278" s="2" t="s">
        <v>2278</v>
      </c>
    </row>
    <row r="2279" spans="1:1" ht="13" x14ac:dyDescent="0.15">
      <c r="A2279" s="2" t="s">
        <v>2279</v>
      </c>
    </row>
    <row r="2280" spans="1:1" ht="13" x14ac:dyDescent="0.15">
      <c r="A2280" s="2" t="s">
        <v>2280</v>
      </c>
    </row>
    <row r="2281" spans="1:1" ht="13" x14ac:dyDescent="0.15">
      <c r="A2281" s="2" t="s">
        <v>2281</v>
      </c>
    </row>
    <row r="2282" spans="1:1" ht="13" x14ac:dyDescent="0.15">
      <c r="A2282" s="2" t="s">
        <v>2282</v>
      </c>
    </row>
    <row r="2283" spans="1:1" ht="13" x14ac:dyDescent="0.15">
      <c r="A2283" s="2" t="s">
        <v>2283</v>
      </c>
    </row>
    <row r="2284" spans="1:1" ht="13" x14ac:dyDescent="0.15">
      <c r="A2284" s="2" t="s">
        <v>2284</v>
      </c>
    </row>
    <row r="2285" spans="1:1" ht="13" x14ac:dyDescent="0.15">
      <c r="A2285" s="2" t="s">
        <v>2285</v>
      </c>
    </row>
    <row r="2286" spans="1:1" ht="13" x14ac:dyDescent="0.15">
      <c r="A2286" s="2" t="s">
        <v>2286</v>
      </c>
    </row>
    <row r="2287" spans="1:1" ht="13" x14ac:dyDescent="0.15">
      <c r="A2287" s="2" t="s">
        <v>2287</v>
      </c>
    </row>
    <row r="2288" spans="1:1" ht="13" x14ac:dyDescent="0.15">
      <c r="A2288" s="2" t="s">
        <v>2288</v>
      </c>
    </row>
    <row r="2289" spans="1:1" ht="13" x14ac:dyDescent="0.15">
      <c r="A2289" s="2" t="s">
        <v>2289</v>
      </c>
    </row>
    <row r="2290" spans="1:1" ht="13" x14ac:dyDescent="0.15">
      <c r="A2290" s="2" t="s">
        <v>2290</v>
      </c>
    </row>
    <row r="2291" spans="1:1" ht="13" x14ac:dyDescent="0.15">
      <c r="A2291" s="2" t="s">
        <v>2291</v>
      </c>
    </row>
    <row r="2292" spans="1:1" ht="13" x14ac:dyDescent="0.15">
      <c r="A2292" s="2" t="s">
        <v>2292</v>
      </c>
    </row>
    <row r="2293" spans="1:1" ht="13" x14ac:dyDescent="0.15">
      <c r="A2293" s="2" t="s">
        <v>2293</v>
      </c>
    </row>
    <row r="2294" spans="1:1" ht="13" x14ac:dyDescent="0.15">
      <c r="A2294" s="2" t="s">
        <v>2294</v>
      </c>
    </row>
    <row r="2295" spans="1:1" ht="13" x14ac:dyDescent="0.15">
      <c r="A2295" s="2" t="s">
        <v>2295</v>
      </c>
    </row>
    <row r="2296" spans="1:1" ht="13" x14ac:dyDescent="0.15">
      <c r="A2296" s="2" t="s">
        <v>2296</v>
      </c>
    </row>
    <row r="2297" spans="1:1" ht="13" x14ac:dyDescent="0.15">
      <c r="A2297" s="2" t="s">
        <v>2297</v>
      </c>
    </row>
    <row r="2298" spans="1:1" ht="13" x14ac:dyDescent="0.15">
      <c r="A2298" s="2" t="s">
        <v>2298</v>
      </c>
    </row>
    <row r="2299" spans="1:1" ht="13" x14ac:dyDescent="0.15">
      <c r="A2299" s="2" t="s">
        <v>2299</v>
      </c>
    </row>
    <row r="2300" spans="1:1" ht="13" x14ac:dyDescent="0.15">
      <c r="A2300" s="2" t="s">
        <v>2300</v>
      </c>
    </row>
    <row r="2301" spans="1:1" ht="13" x14ac:dyDescent="0.15">
      <c r="A2301" s="2" t="s">
        <v>2301</v>
      </c>
    </row>
    <row r="2302" spans="1:1" ht="13" x14ac:dyDescent="0.15">
      <c r="A2302" s="2" t="s">
        <v>2302</v>
      </c>
    </row>
    <row r="2303" spans="1:1" ht="13" x14ac:dyDescent="0.15">
      <c r="A2303" s="2" t="s">
        <v>2303</v>
      </c>
    </row>
    <row r="2304" spans="1:1" ht="13" x14ac:dyDescent="0.15">
      <c r="A2304" s="2" t="s">
        <v>2304</v>
      </c>
    </row>
    <row r="2305" spans="1:1" ht="13" x14ac:dyDescent="0.15">
      <c r="A2305" s="2" t="s">
        <v>2305</v>
      </c>
    </row>
    <row r="2306" spans="1:1" ht="13" x14ac:dyDescent="0.15">
      <c r="A2306" s="2" t="s">
        <v>2306</v>
      </c>
    </row>
    <row r="2307" spans="1:1" ht="13" x14ac:dyDescent="0.15">
      <c r="A2307" s="2" t="s">
        <v>2307</v>
      </c>
    </row>
    <row r="2308" spans="1:1" ht="13" x14ac:dyDescent="0.15">
      <c r="A2308" s="2" t="s">
        <v>2308</v>
      </c>
    </row>
    <row r="2309" spans="1:1" ht="13" x14ac:dyDescent="0.15">
      <c r="A2309" s="2" t="s">
        <v>2309</v>
      </c>
    </row>
    <row r="2310" spans="1:1" ht="13" x14ac:dyDescent="0.15">
      <c r="A2310" s="2" t="s">
        <v>2310</v>
      </c>
    </row>
    <row r="2311" spans="1:1" ht="13" x14ac:dyDescent="0.15">
      <c r="A2311" s="2" t="s">
        <v>2311</v>
      </c>
    </row>
    <row r="2312" spans="1:1" ht="13" x14ac:dyDescent="0.15">
      <c r="A2312" s="2" t="s">
        <v>2312</v>
      </c>
    </row>
    <row r="2313" spans="1:1" ht="13" x14ac:dyDescent="0.15">
      <c r="A2313" s="2" t="s">
        <v>2313</v>
      </c>
    </row>
    <row r="2314" spans="1:1" ht="13" x14ac:dyDescent="0.15">
      <c r="A2314" s="2" t="s">
        <v>2314</v>
      </c>
    </row>
    <row r="2315" spans="1:1" ht="13" x14ac:dyDescent="0.15">
      <c r="A2315" s="2" t="s">
        <v>2315</v>
      </c>
    </row>
    <row r="2316" spans="1:1" ht="13" x14ac:dyDescent="0.15">
      <c r="A2316" s="2" t="s">
        <v>2316</v>
      </c>
    </row>
    <row r="2317" spans="1:1" ht="13" x14ac:dyDescent="0.15">
      <c r="A2317" s="2" t="s">
        <v>2317</v>
      </c>
    </row>
    <row r="2318" spans="1:1" ht="13" x14ac:dyDescent="0.15">
      <c r="A2318" s="2" t="s">
        <v>2318</v>
      </c>
    </row>
    <row r="2319" spans="1:1" ht="13" x14ac:dyDescent="0.15">
      <c r="A2319" s="2" t="s">
        <v>2319</v>
      </c>
    </row>
    <row r="2320" spans="1:1" ht="13" x14ac:dyDescent="0.15">
      <c r="A2320" s="2" t="s">
        <v>2320</v>
      </c>
    </row>
    <row r="2321" spans="1:1" ht="13" x14ac:dyDescent="0.15">
      <c r="A2321" s="2" t="s">
        <v>2321</v>
      </c>
    </row>
    <row r="2322" spans="1:1" ht="13" x14ac:dyDescent="0.15">
      <c r="A2322" s="2" t="s">
        <v>2322</v>
      </c>
    </row>
    <row r="2323" spans="1:1" ht="13" x14ac:dyDescent="0.15">
      <c r="A2323" s="2" t="s">
        <v>2323</v>
      </c>
    </row>
    <row r="2324" spans="1:1" ht="13" x14ac:dyDescent="0.15">
      <c r="A2324" s="2" t="s">
        <v>2324</v>
      </c>
    </row>
    <row r="2325" spans="1:1" ht="13" x14ac:dyDescent="0.15">
      <c r="A2325" s="2" t="s">
        <v>2325</v>
      </c>
    </row>
    <row r="2326" spans="1:1" ht="13" x14ac:dyDescent="0.15">
      <c r="A2326" s="2" t="s">
        <v>2326</v>
      </c>
    </row>
    <row r="2327" spans="1:1" ht="13" x14ac:dyDescent="0.15">
      <c r="A2327" s="2" t="s">
        <v>2327</v>
      </c>
    </row>
    <row r="2328" spans="1:1" ht="13" x14ac:dyDescent="0.15">
      <c r="A2328" s="2" t="s">
        <v>2328</v>
      </c>
    </row>
    <row r="2329" spans="1:1" ht="13" x14ac:dyDescent="0.15">
      <c r="A2329" s="2" t="s">
        <v>2329</v>
      </c>
    </row>
    <row r="2330" spans="1:1" ht="13" x14ac:dyDescent="0.15">
      <c r="A2330" s="2" t="s">
        <v>2330</v>
      </c>
    </row>
    <row r="2331" spans="1:1" ht="13" x14ac:dyDescent="0.15">
      <c r="A2331" s="2" t="s">
        <v>2331</v>
      </c>
    </row>
    <row r="2332" spans="1:1" ht="13" x14ac:dyDescent="0.15">
      <c r="A2332" s="2" t="s">
        <v>2332</v>
      </c>
    </row>
    <row r="2333" spans="1:1" ht="13" x14ac:dyDescent="0.15">
      <c r="A2333" s="2" t="s">
        <v>2333</v>
      </c>
    </row>
    <row r="2334" spans="1:1" ht="13" x14ac:dyDescent="0.15">
      <c r="A2334" s="2" t="s">
        <v>2334</v>
      </c>
    </row>
    <row r="2335" spans="1:1" ht="13" x14ac:dyDescent="0.15">
      <c r="A2335" s="2" t="s">
        <v>2335</v>
      </c>
    </row>
    <row r="2336" spans="1:1" ht="13" x14ac:dyDescent="0.15">
      <c r="A2336" s="2" t="s">
        <v>2336</v>
      </c>
    </row>
    <row r="2337" spans="1:1" ht="13" x14ac:dyDescent="0.15">
      <c r="A2337" s="2" t="s">
        <v>2337</v>
      </c>
    </row>
    <row r="2338" spans="1:1" ht="13" x14ac:dyDescent="0.15">
      <c r="A2338" s="2" t="s">
        <v>2338</v>
      </c>
    </row>
    <row r="2339" spans="1:1" ht="13" x14ac:dyDescent="0.15">
      <c r="A2339" s="2" t="s">
        <v>2339</v>
      </c>
    </row>
    <row r="2340" spans="1:1" ht="13" x14ac:dyDescent="0.15">
      <c r="A2340" s="2" t="s">
        <v>2340</v>
      </c>
    </row>
    <row r="2341" spans="1:1" ht="13" x14ac:dyDescent="0.15">
      <c r="A2341" s="2" t="s">
        <v>2341</v>
      </c>
    </row>
    <row r="2342" spans="1:1" ht="13" x14ac:dyDescent="0.15">
      <c r="A2342" s="2" t="s">
        <v>2342</v>
      </c>
    </row>
    <row r="2343" spans="1:1" ht="13" x14ac:dyDescent="0.15">
      <c r="A2343" s="2" t="s">
        <v>2343</v>
      </c>
    </row>
    <row r="2344" spans="1:1" ht="13" x14ac:dyDescent="0.15">
      <c r="A2344" s="2" t="s">
        <v>2344</v>
      </c>
    </row>
    <row r="2345" spans="1:1" ht="13" x14ac:dyDescent="0.15">
      <c r="A2345" s="2" t="s">
        <v>2345</v>
      </c>
    </row>
    <row r="2346" spans="1:1" ht="13" x14ac:dyDescent="0.15">
      <c r="A2346" s="2" t="s">
        <v>2346</v>
      </c>
    </row>
    <row r="2347" spans="1:1" ht="13" x14ac:dyDescent="0.15">
      <c r="A2347" s="2" t="s">
        <v>2347</v>
      </c>
    </row>
    <row r="2348" spans="1:1" ht="13" x14ac:dyDescent="0.15">
      <c r="A2348" s="2" t="s">
        <v>2348</v>
      </c>
    </row>
    <row r="2349" spans="1:1" ht="13" x14ac:dyDescent="0.15">
      <c r="A2349" s="2" t="s">
        <v>2349</v>
      </c>
    </row>
    <row r="2350" spans="1:1" ht="13" x14ac:dyDescent="0.15">
      <c r="A2350" s="2" t="s">
        <v>2350</v>
      </c>
    </row>
    <row r="2351" spans="1:1" ht="13" x14ac:dyDescent="0.15">
      <c r="A2351" s="2" t="s">
        <v>2351</v>
      </c>
    </row>
    <row r="2352" spans="1:1" ht="13" x14ac:dyDescent="0.15">
      <c r="A2352" s="2" t="s">
        <v>2352</v>
      </c>
    </row>
    <row r="2353" spans="1:1" ht="13" x14ac:dyDescent="0.15">
      <c r="A2353" s="2" t="s">
        <v>2353</v>
      </c>
    </row>
    <row r="2354" spans="1:1" ht="13" x14ac:dyDescent="0.15">
      <c r="A2354" s="2" t="s">
        <v>2354</v>
      </c>
    </row>
    <row r="2355" spans="1:1" ht="13" x14ac:dyDescent="0.15">
      <c r="A2355" s="2" t="s">
        <v>2355</v>
      </c>
    </row>
    <row r="2356" spans="1:1" ht="13" x14ac:dyDescent="0.15">
      <c r="A2356" s="2" t="s">
        <v>2356</v>
      </c>
    </row>
    <row r="2357" spans="1:1" ht="13" x14ac:dyDescent="0.15">
      <c r="A2357" s="2" t="s">
        <v>2357</v>
      </c>
    </row>
    <row r="2358" spans="1:1" ht="13" x14ac:dyDescent="0.15">
      <c r="A2358" s="2" t="s">
        <v>2358</v>
      </c>
    </row>
    <row r="2359" spans="1:1" ht="13" x14ac:dyDescent="0.15">
      <c r="A2359" s="2" t="s">
        <v>2359</v>
      </c>
    </row>
    <row r="2360" spans="1:1" ht="13" x14ac:dyDescent="0.15">
      <c r="A2360" s="2" t="s">
        <v>2360</v>
      </c>
    </row>
    <row r="2361" spans="1:1" ht="13" x14ac:dyDescent="0.15">
      <c r="A2361" s="2" t="s">
        <v>2361</v>
      </c>
    </row>
    <row r="2362" spans="1:1" ht="13" x14ac:dyDescent="0.15">
      <c r="A2362" s="2" t="s">
        <v>2362</v>
      </c>
    </row>
    <row r="2363" spans="1:1" ht="13" x14ac:dyDescent="0.15">
      <c r="A2363" s="2" t="s">
        <v>2363</v>
      </c>
    </row>
    <row r="2364" spans="1:1" ht="13" x14ac:dyDescent="0.15">
      <c r="A2364" s="2" t="s">
        <v>2364</v>
      </c>
    </row>
    <row r="2365" spans="1:1" ht="13" x14ac:dyDescent="0.15">
      <c r="A2365" s="2" t="s">
        <v>2365</v>
      </c>
    </row>
    <row r="2366" spans="1:1" ht="13" x14ac:dyDescent="0.15">
      <c r="A2366" s="2" t="s">
        <v>2366</v>
      </c>
    </row>
    <row r="2367" spans="1:1" ht="13" x14ac:dyDescent="0.15">
      <c r="A2367" s="2" t="s">
        <v>2367</v>
      </c>
    </row>
    <row r="2368" spans="1:1" ht="13" x14ac:dyDescent="0.15">
      <c r="A2368" s="2" t="s">
        <v>2368</v>
      </c>
    </row>
    <row r="2369" spans="1:1" ht="13" x14ac:dyDescent="0.15">
      <c r="A2369" s="2" t="s">
        <v>2369</v>
      </c>
    </row>
    <row r="2370" spans="1:1" ht="13" x14ac:dyDescent="0.15">
      <c r="A2370" s="2" t="s">
        <v>2370</v>
      </c>
    </row>
    <row r="2371" spans="1:1" ht="13" x14ac:dyDescent="0.15">
      <c r="A2371" s="2" t="s">
        <v>2371</v>
      </c>
    </row>
    <row r="2372" spans="1:1" ht="13" x14ac:dyDescent="0.15">
      <c r="A2372" s="2" t="s">
        <v>2372</v>
      </c>
    </row>
    <row r="2373" spans="1:1" ht="13" x14ac:dyDescent="0.15">
      <c r="A2373" s="2" t="s">
        <v>2373</v>
      </c>
    </row>
    <row r="2374" spans="1:1" ht="13" x14ac:dyDescent="0.15">
      <c r="A2374" s="2" t="s">
        <v>2374</v>
      </c>
    </row>
    <row r="2375" spans="1:1" ht="13" x14ac:dyDescent="0.15">
      <c r="A2375" s="2" t="s">
        <v>2375</v>
      </c>
    </row>
    <row r="2376" spans="1:1" ht="13" x14ac:dyDescent="0.15">
      <c r="A2376" s="2" t="s">
        <v>2376</v>
      </c>
    </row>
    <row r="2377" spans="1:1" ht="13" x14ac:dyDescent="0.15">
      <c r="A2377" s="2" t="s">
        <v>2377</v>
      </c>
    </row>
    <row r="2378" spans="1:1" ht="13" x14ac:dyDescent="0.15">
      <c r="A2378" s="2" t="s">
        <v>2378</v>
      </c>
    </row>
    <row r="2379" spans="1:1" ht="13" x14ac:dyDescent="0.15">
      <c r="A2379" s="2" t="s">
        <v>2379</v>
      </c>
    </row>
    <row r="2380" spans="1:1" ht="13" x14ac:dyDescent="0.15">
      <c r="A2380" s="2" t="s">
        <v>2380</v>
      </c>
    </row>
    <row r="2381" spans="1:1" ht="13" x14ac:dyDescent="0.15">
      <c r="A2381" s="2" t="s">
        <v>2381</v>
      </c>
    </row>
    <row r="2382" spans="1:1" ht="13" x14ac:dyDescent="0.15">
      <c r="A2382" s="2" t="s">
        <v>2382</v>
      </c>
    </row>
    <row r="2383" spans="1:1" ht="13" x14ac:dyDescent="0.15">
      <c r="A2383" s="2" t="s">
        <v>2383</v>
      </c>
    </row>
    <row r="2384" spans="1:1" ht="13" x14ac:dyDescent="0.15">
      <c r="A2384" s="2" t="s">
        <v>2384</v>
      </c>
    </row>
    <row r="2385" spans="1:1" ht="13" x14ac:dyDescent="0.15">
      <c r="A2385" s="2" t="s">
        <v>2385</v>
      </c>
    </row>
    <row r="2386" spans="1:1" ht="13" x14ac:dyDescent="0.15">
      <c r="A2386" s="2" t="s">
        <v>2386</v>
      </c>
    </row>
    <row r="2387" spans="1:1" ht="13" x14ac:dyDescent="0.15">
      <c r="A2387" s="2" t="s">
        <v>2387</v>
      </c>
    </row>
    <row r="2388" spans="1:1" ht="13" x14ac:dyDescent="0.15">
      <c r="A2388" s="2" t="s">
        <v>2388</v>
      </c>
    </row>
    <row r="2389" spans="1:1" ht="13" x14ac:dyDescent="0.15">
      <c r="A2389" s="2" t="s">
        <v>2389</v>
      </c>
    </row>
    <row r="2390" spans="1:1" ht="13" x14ac:dyDescent="0.15">
      <c r="A2390" s="2" t="s">
        <v>2390</v>
      </c>
    </row>
    <row r="2391" spans="1:1" ht="13" x14ac:dyDescent="0.15">
      <c r="A2391" s="2" t="s">
        <v>2391</v>
      </c>
    </row>
    <row r="2392" spans="1:1" ht="13" x14ac:dyDescent="0.15">
      <c r="A2392" s="2" t="s">
        <v>2392</v>
      </c>
    </row>
    <row r="2393" spans="1:1" ht="13" x14ac:dyDescent="0.15">
      <c r="A2393" s="2" t="s">
        <v>2393</v>
      </c>
    </row>
    <row r="2394" spans="1:1" ht="13" x14ac:dyDescent="0.15">
      <c r="A2394" s="2" t="s">
        <v>2394</v>
      </c>
    </row>
    <row r="2395" spans="1:1" ht="13" x14ac:dyDescent="0.15">
      <c r="A2395" s="2" t="s">
        <v>2395</v>
      </c>
    </row>
    <row r="2396" spans="1:1" ht="13" x14ac:dyDescent="0.15">
      <c r="A2396" s="2" t="s">
        <v>2396</v>
      </c>
    </row>
    <row r="2397" spans="1:1" ht="13" x14ac:dyDescent="0.15">
      <c r="A2397" s="2" t="s">
        <v>2397</v>
      </c>
    </row>
    <row r="2398" spans="1:1" ht="13" x14ac:dyDescent="0.15">
      <c r="A2398" s="2" t="s">
        <v>2398</v>
      </c>
    </row>
    <row r="2399" spans="1:1" ht="13" x14ac:dyDescent="0.15">
      <c r="A2399" s="2" t="s">
        <v>2399</v>
      </c>
    </row>
    <row r="2400" spans="1:1" ht="13" x14ac:dyDescent="0.15">
      <c r="A2400" s="2" t="s">
        <v>2400</v>
      </c>
    </row>
    <row r="2401" spans="1:1" ht="13" x14ac:dyDescent="0.15">
      <c r="A2401" s="2" t="s">
        <v>2401</v>
      </c>
    </row>
    <row r="2402" spans="1:1" ht="13" x14ac:dyDescent="0.15">
      <c r="A2402" s="2" t="s">
        <v>2402</v>
      </c>
    </row>
    <row r="2403" spans="1:1" ht="13" x14ac:dyDescent="0.15">
      <c r="A2403" s="2" t="s">
        <v>2403</v>
      </c>
    </row>
    <row r="2404" spans="1:1" ht="13" x14ac:dyDescent="0.15">
      <c r="A2404" s="2" t="s">
        <v>2404</v>
      </c>
    </row>
    <row r="2405" spans="1:1" ht="13" x14ac:dyDescent="0.15">
      <c r="A2405" s="2" t="s">
        <v>2405</v>
      </c>
    </row>
    <row r="2406" spans="1:1" ht="13" x14ac:dyDescent="0.15">
      <c r="A2406" s="2" t="s">
        <v>2406</v>
      </c>
    </row>
    <row r="2407" spans="1:1" ht="13" x14ac:dyDescent="0.15">
      <c r="A2407" s="2" t="s">
        <v>2407</v>
      </c>
    </row>
    <row r="2408" spans="1:1" ht="13" x14ac:dyDescent="0.15">
      <c r="A2408" s="2" t="s">
        <v>2408</v>
      </c>
    </row>
    <row r="2409" spans="1:1" ht="13" x14ac:dyDescent="0.15">
      <c r="A2409" s="2" t="s">
        <v>2409</v>
      </c>
    </row>
    <row r="2410" spans="1:1" ht="13" x14ac:dyDescent="0.15">
      <c r="A2410" s="2" t="s">
        <v>2410</v>
      </c>
    </row>
    <row r="2411" spans="1:1" ht="13" x14ac:dyDescent="0.15">
      <c r="A2411" s="2" t="s">
        <v>2411</v>
      </c>
    </row>
    <row r="2412" spans="1:1" ht="13" x14ac:dyDescent="0.15">
      <c r="A2412" s="2" t="s">
        <v>2412</v>
      </c>
    </row>
    <row r="2413" spans="1:1" ht="13" x14ac:dyDescent="0.15">
      <c r="A2413" s="2" t="s">
        <v>2413</v>
      </c>
    </row>
    <row r="2414" spans="1:1" ht="13" x14ac:dyDescent="0.15">
      <c r="A2414" s="2" t="s">
        <v>2414</v>
      </c>
    </row>
    <row r="2415" spans="1:1" ht="13" x14ac:dyDescent="0.15">
      <c r="A2415" s="2" t="s">
        <v>2415</v>
      </c>
    </row>
    <row r="2416" spans="1:1" ht="13" x14ac:dyDescent="0.15">
      <c r="A2416" s="2" t="s">
        <v>2416</v>
      </c>
    </row>
    <row r="2417" spans="1:1" ht="13" x14ac:dyDescent="0.15">
      <c r="A2417" s="2" t="s">
        <v>2417</v>
      </c>
    </row>
    <row r="2418" spans="1:1" ht="13" x14ac:dyDescent="0.15">
      <c r="A2418" s="2" t="s">
        <v>2418</v>
      </c>
    </row>
    <row r="2419" spans="1:1" ht="13" x14ac:dyDescent="0.15">
      <c r="A2419" s="2" t="s">
        <v>2419</v>
      </c>
    </row>
    <row r="2420" spans="1:1" ht="13" x14ac:dyDescent="0.15">
      <c r="A2420" s="2" t="s">
        <v>2420</v>
      </c>
    </row>
    <row r="2421" spans="1:1" ht="13" x14ac:dyDescent="0.15">
      <c r="A2421" s="2" t="s">
        <v>2421</v>
      </c>
    </row>
    <row r="2422" spans="1:1" ht="13" x14ac:dyDescent="0.15">
      <c r="A2422" s="2" t="s">
        <v>2422</v>
      </c>
    </row>
    <row r="2423" spans="1:1" ht="13" x14ac:dyDescent="0.15">
      <c r="A2423" s="2" t="s">
        <v>2423</v>
      </c>
    </row>
    <row r="2424" spans="1:1" ht="13" x14ac:dyDescent="0.15">
      <c r="A2424" s="2" t="s">
        <v>2424</v>
      </c>
    </row>
    <row r="2425" spans="1:1" ht="13" x14ac:dyDescent="0.15">
      <c r="A2425" s="2" t="s">
        <v>2425</v>
      </c>
    </row>
    <row r="2426" spans="1:1" ht="13" x14ac:dyDescent="0.15">
      <c r="A2426" s="2" t="s">
        <v>2426</v>
      </c>
    </row>
    <row r="2427" spans="1:1" ht="13" x14ac:dyDescent="0.15">
      <c r="A2427" s="2" t="s">
        <v>2427</v>
      </c>
    </row>
    <row r="2428" spans="1:1" ht="13" x14ac:dyDescent="0.15">
      <c r="A2428" s="2" t="s">
        <v>2428</v>
      </c>
    </row>
    <row r="2429" spans="1:1" ht="13" x14ac:dyDescent="0.15">
      <c r="A2429" s="2" t="s">
        <v>2429</v>
      </c>
    </row>
    <row r="2430" spans="1:1" ht="13" x14ac:dyDescent="0.15">
      <c r="A2430" s="2" t="s">
        <v>2430</v>
      </c>
    </row>
    <row r="2431" spans="1:1" ht="13" x14ac:dyDescent="0.15">
      <c r="A2431" s="2" t="s">
        <v>2431</v>
      </c>
    </row>
    <row r="2432" spans="1:1" ht="13" x14ac:dyDescent="0.15">
      <c r="A2432" s="2" t="s">
        <v>2432</v>
      </c>
    </row>
    <row r="2433" spans="1:1" ht="13" x14ac:dyDescent="0.15">
      <c r="A2433" s="2" t="s">
        <v>2433</v>
      </c>
    </row>
    <row r="2434" spans="1:1" ht="13" x14ac:dyDescent="0.15">
      <c r="A2434" s="2" t="s">
        <v>2434</v>
      </c>
    </row>
    <row r="2435" spans="1:1" ht="13" x14ac:dyDescent="0.15">
      <c r="A2435" s="2" t="s">
        <v>2435</v>
      </c>
    </row>
    <row r="2436" spans="1:1" ht="13" x14ac:dyDescent="0.15">
      <c r="A2436" s="2" t="s">
        <v>2436</v>
      </c>
    </row>
    <row r="2437" spans="1:1" ht="13" x14ac:dyDescent="0.15">
      <c r="A2437" s="2" t="s">
        <v>2437</v>
      </c>
    </row>
    <row r="2438" spans="1:1" ht="13" x14ac:dyDescent="0.15">
      <c r="A2438" s="2" t="s">
        <v>2438</v>
      </c>
    </row>
    <row r="2439" spans="1:1" ht="13" x14ac:dyDescent="0.15">
      <c r="A2439" s="2" t="s">
        <v>2439</v>
      </c>
    </row>
    <row r="2440" spans="1:1" ht="13" x14ac:dyDescent="0.15">
      <c r="A2440" s="2" t="s">
        <v>2440</v>
      </c>
    </row>
    <row r="2441" spans="1:1" ht="13" x14ac:dyDescent="0.15">
      <c r="A2441" s="2" t="s">
        <v>2441</v>
      </c>
    </row>
    <row r="2442" spans="1:1" ht="13" x14ac:dyDescent="0.15">
      <c r="A2442" s="2" t="s">
        <v>2442</v>
      </c>
    </row>
    <row r="2443" spans="1:1" ht="13" x14ac:dyDescent="0.15">
      <c r="A2443" s="2" t="s">
        <v>2443</v>
      </c>
    </row>
    <row r="2444" spans="1:1" ht="13" x14ac:dyDescent="0.15">
      <c r="A2444" s="2" t="s">
        <v>2444</v>
      </c>
    </row>
    <row r="2445" spans="1:1" ht="13" x14ac:dyDescent="0.15">
      <c r="A2445" s="2" t="s">
        <v>2445</v>
      </c>
    </row>
    <row r="2446" spans="1:1" ht="13" x14ac:dyDescent="0.15">
      <c r="A2446" s="2" t="s">
        <v>2446</v>
      </c>
    </row>
    <row r="2447" spans="1:1" ht="13" x14ac:dyDescent="0.15">
      <c r="A2447" s="2" t="s">
        <v>2447</v>
      </c>
    </row>
    <row r="2448" spans="1:1" ht="13" x14ac:dyDescent="0.15">
      <c r="A2448" s="2" t="s">
        <v>2448</v>
      </c>
    </row>
    <row r="2449" spans="1:1" ht="13" x14ac:dyDescent="0.15">
      <c r="A2449" s="2" t="s">
        <v>2449</v>
      </c>
    </row>
    <row r="2450" spans="1:1" ht="13" x14ac:dyDescent="0.15">
      <c r="A2450" s="2" t="s">
        <v>2450</v>
      </c>
    </row>
    <row r="2451" spans="1:1" ht="13" x14ac:dyDescent="0.15">
      <c r="A2451" s="2" t="s">
        <v>2451</v>
      </c>
    </row>
    <row r="2452" spans="1:1" ht="13" x14ac:dyDescent="0.15">
      <c r="A2452" s="2" t="s">
        <v>2452</v>
      </c>
    </row>
    <row r="2453" spans="1:1" ht="13" x14ac:dyDescent="0.15">
      <c r="A2453" s="2" t="s">
        <v>2453</v>
      </c>
    </row>
    <row r="2454" spans="1:1" ht="13" x14ac:dyDescent="0.15">
      <c r="A2454" s="2" t="s">
        <v>2454</v>
      </c>
    </row>
    <row r="2455" spans="1:1" ht="13" x14ac:dyDescent="0.15">
      <c r="A2455" s="2" t="s">
        <v>2455</v>
      </c>
    </row>
    <row r="2456" spans="1:1" ht="13" x14ac:dyDescent="0.15">
      <c r="A2456" s="2" t="s">
        <v>2456</v>
      </c>
    </row>
    <row r="2457" spans="1:1" ht="13" x14ac:dyDescent="0.15">
      <c r="A2457" s="2" t="s">
        <v>2457</v>
      </c>
    </row>
    <row r="2458" spans="1:1" ht="13" x14ac:dyDescent="0.15">
      <c r="A2458" s="2" t="s">
        <v>2458</v>
      </c>
    </row>
    <row r="2459" spans="1:1" ht="13" x14ac:dyDescent="0.15">
      <c r="A2459" s="2" t="s">
        <v>2459</v>
      </c>
    </row>
    <row r="2460" spans="1:1" ht="13" x14ac:dyDescent="0.15">
      <c r="A2460" s="2" t="s">
        <v>2460</v>
      </c>
    </row>
    <row r="2461" spans="1:1" ht="13" x14ac:dyDescent="0.15">
      <c r="A2461" s="2" t="s">
        <v>2461</v>
      </c>
    </row>
    <row r="2462" spans="1:1" ht="13" x14ac:dyDescent="0.15">
      <c r="A2462" s="2" t="s">
        <v>2462</v>
      </c>
    </row>
    <row r="2463" spans="1:1" ht="13" x14ac:dyDescent="0.15">
      <c r="A2463" s="2" t="s">
        <v>2463</v>
      </c>
    </row>
    <row r="2464" spans="1:1" ht="13" x14ac:dyDescent="0.15">
      <c r="A2464" s="2" t="s">
        <v>2464</v>
      </c>
    </row>
    <row r="2465" spans="1:1" ht="13" x14ac:dyDescent="0.15">
      <c r="A2465" s="2" t="s">
        <v>2465</v>
      </c>
    </row>
    <row r="2466" spans="1:1" ht="13" x14ac:dyDescent="0.15">
      <c r="A2466" s="2" t="s">
        <v>2466</v>
      </c>
    </row>
    <row r="2467" spans="1:1" ht="13" x14ac:dyDescent="0.15">
      <c r="A2467" s="2" t="s">
        <v>2467</v>
      </c>
    </row>
    <row r="2468" spans="1:1" ht="13" x14ac:dyDescent="0.15">
      <c r="A2468" s="2" t="s">
        <v>2468</v>
      </c>
    </row>
    <row r="2469" spans="1:1" ht="13" x14ac:dyDescent="0.15">
      <c r="A2469" s="2" t="s">
        <v>2469</v>
      </c>
    </row>
    <row r="2470" spans="1:1" ht="13" x14ac:dyDescent="0.15">
      <c r="A2470" s="2" t="s">
        <v>2470</v>
      </c>
    </row>
    <row r="2471" spans="1:1" ht="13" x14ac:dyDescent="0.15">
      <c r="A2471" s="2" t="s">
        <v>2471</v>
      </c>
    </row>
    <row r="2472" spans="1:1" ht="13" x14ac:dyDescent="0.15">
      <c r="A2472" s="2" t="s">
        <v>2472</v>
      </c>
    </row>
    <row r="2473" spans="1:1" ht="13" x14ac:dyDescent="0.15">
      <c r="A2473" s="2" t="s">
        <v>2473</v>
      </c>
    </row>
    <row r="2474" spans="1:1" ht="13" x14ac:dyDescent="0.15">
      <c r="A2474" s="2" t="s">
        <v>2474</v>
      </c>
    </row>
    <row r="2475" spans="1:1" ht="13" x14ac:dyDescent="0.15">
      <c r="A2475" s="2" t="s">
        <v>2475</v>
      </c>
    </row>
    <row r="2476" spans="1:1" ht="13" x14ac:dyDescent="0.15">
      <c r="A2476" s="2" t="s">
        <v>2476</v>
      </c>
    </row>
    <row r="2477" spans="1:1" ht="13" x14ac:dyDescent="0.15">
      <c r="A2477" s="2" t="s">
        <v>2477</v>
      </c>
    </row>
    <row r="2478" spans="1:1" ht="13" x14ac:dyDescent="0.15">
      <c r="A2478" s="2" t="s">
        <v>2478</v>
      </c>
    </row>
    <row r="2479" spans="1:1" ht="13" x14ac:dyDescent="0.15">
      <c r="A2479" s="2" t="s">
        <v>2479</v>
      </c>
    </row>
    <row r="2480" spans="1:1" ht="13" x14ac:dyDescent="0.15">
      <c r="A2480" s="2" t="s">
        <v>2480</v>
      </c>
    </row>
    <row r="2481" spans="1:1" ht="13" x14ac:dyDescent="0.15">
      <c r="A2481" s="2" t="s">
        <v>2481</v>
      </c>
    </row>
    <row r="2482" spans="1:1" ht="13" x14ac:dyDescent="0.15">
      <c r="A2482" s="2" t="s">
        <v>2482</v>
      </c>
    </row>
    <row r="2483" spans="1:1" ht="13" x14ac:dyDescent="0.15">
      <c r="A2483" s="2" t="s">
        <v>2483</v>
      </c>
    </row>
    <row r="2484" spans="1:1" ht="13" x14ac:dyDescent="0.15">
      <c r="A2484" s="2" t="s">
        <v>2484</v>
      </c>
    </row>
    <row r="2485" spans="1:1" ht="13" x14ac:dyDescent="0.15">
      <c r="A2485" s="2" t="s">
        <v>2485</v>
      </c>
    </row>
    <row r="2486" spans="1:1" ht="13" x14ac:dyDescent="0.15">
      <c r="A2486" s="2" t="s">
        <v>2486</v>
      </c>
    </row>
    <row r="2487" spans="1:1" ht="13" x14ac:dyDescent="0.15">
      <c r="A2487" s="2" t="s">
        <v>2487</v>
      </c>
    </row>
    <row r="2488" spans="1:1" ht="13" x14ac:dyDescent="0.15">
      <c r="A2488" s="2" t="s">
        <v>2488</v>
      </c>
    </row>
    <row r="2489" spans="1:1" ht="13" x14ac:dyDescent="0.15">
      <c r="A2489" s="2" t="s">
        <v>2489</v>
      </c>
    </row>
    <row r="2490" spans="1:1" ht="13" x14ac:dyDescent="0.15">
      <c r="A2490" s="2" t="s">
        <v>2490</v>
      </c>
    </row>
    <row r="2491" spans="1:1" ht="13" x14ac:dyDescent="0.15">
      <c r="A2491" s="2" t="s">
        <v>2491</v>
      </c>
    </row>
    <row r="2492" spans="1:1" ht="13" x14ac:dyDescent="0.15">
      <c r="A2492" s="2" t="s">
        <v>2492</v>
      </c>
    </row>
    <row r="2493" spans="1:1" ht="13" x14ac:dyDescent="0.15">
      <c r="A2493" s="2" t="s">
        <v>2493</v>
      </c>
    </row>
    <row r="2494" spans="1:1" ht="13" x14ac:dyDescent="0.15">
      <c r="A2494" s="2" t="s">
        <v>2494</v>
      </c>
    </row>
    <row r="2495" spans="1:1" ht="13" x14ac:dyDescent="0.15">
      <c r="A2495" s="2" t="s">
        <v>2495</v>
      </c>
    </row>
    <row r="2496" spans="1:1" ht="13" x14ac:dyDescent="0.15">
      <c r="A2496" s="2" t="s">
        <v>2496</v>
      </c>
    </row>
    <row r="2497" spans="1:1" ht="13" x14ac:dyDescent="0.15">
      <c r="A2497" s="2" t="s">
        <v>2497</v>
      </c>
    </row>
    <row r="2498" spans="1:1" ht="13" x14ac:dyDescent="0.15">
      <c r="A2498" s="2" t="s">
        <v>2498</v>
      </c>
    </row>
    <row r="2499" spans="1:1" ht="13" x14ac:dyDescent="0.15">
      <c r="A2499" s="2" t="s">
        <v>2499</v>
      </c>
    </row>
    <row r="2500" spans="1:1" ht="13" x14ac:dyDescent="0.15">
      <c r="A2500" s="2" t="s">
        <v>2500</v>
      </c>
    </row>
    <row r="2501" spans="1:1" ht="13" x14ac:dyDescent="0.15">
      <c r="A2501" s="2" t="s">
        <v>2501</v>
      </c>
    </row>
    <row r="2502" spans="1:1" ht="13" x14ac:dyDescent="0.15">
      <c r="A2502" s="2" t="s">
        <v>2502</v>
      </c>
    </row>
    <row r="2503" spans="1:1" ht="13" x14ac:dyDescent="0.15">
      <c r="A2503" s="2" t="s">
        <v>2503</v>
      </c>
    </row>
    <row r="2504" spans="1:1" ht="13" x14ac:dyDescent="0.15">
      <c r="A2504" s="2" t="s">
        <v>2504</v>
      </c>
    </row>
    <row r="2505" spans="1:1" ht="13" x14ac:dyDescent="0.15">
      <c r="A2505" s="2" t="s">
        <v>2505</v>
      </c>
    </row>
    <row r="2506" spans="1:1" ht="13" x14ac:dyDescent="0.15">
      <c r="A2506" s="2" t="s">
        <v>2506</v>
      </c>
    </row>
    <row r="2507" spans="1:1" ht="13" x14ac:dyDescent="0.15">
      <c r="A2507" s="2" t="s">
        <v>2507</v>
      </c>
    </row>
    <row r="2508" spans="1:1" ht="13" x14ac:dyDescent="0.15">
      <c r="A2508" s="2" t="s">
        <v>2508</v>
      </c>
    </row>
    <row r="2509" spans="1:1" ht="13" x14ac:dyDescent="0.15">
      <c r="A2509" s="2" t="s">
        <v>2509</v>
      </c>
    </row>
    <row r="2510" spans="1:1" ht="13" x14ac:dyDescent="0.15">
      <c r="A2510" s="2" t="s">
        <v>2510</v>
      </c>
    </row>
    <row r="2511" spans="1:1" ht="13" x14ac:dyDescent="0.15">
      <c r="A2511" s="2" t="s">
        <v>2511</v>
      </c>
    </row>
    <row r="2512" spans="1:1" ht="13" x14ac:dyDescent="0.15">
      <c r="A2512" s="2" t="s">
        <v>2512</v>
      </c>
    </row>
    <row r="2513" spans="1:1" ht="13" x14ac:dyDescent="0.15">
      <c r="A2513" s="2" t="s">
        <v>2513</v>
      </c>
    </row>
    <row r="2514" spans="1:1" ht="13" x14ac:dyDescent="0.15">
      <c r="A2514" s="2" t="s">
        <v>2514</v>
      </c>
    </row>
    <row r="2515" spans="1:1" ht="13" x14ac:dyDescent="0.15">
      <c r="A2515" s="2" t="s">
        <v>2515</v>
      </c>
    </row>
    <row r="2516" spans="1:1" ht="13" x14ac:dyDescent="0.15">
      <c r="A2516" s="2" t="s">
        <v>2516</v>
      </c>
    </row>
    <row r="2517" spans="1:1" ht="13" x14ac:dyDescent="0.15">
      <c r="A2517" s="2" t="s">
        <v>2517</v>
      </c>
    </row>
    <row r="2518" spans="1:1" ht="13" x14ac:dyDescent="0.15">
      <c r="A2518" s="2" t="s">
        <v>2518</v>
      </c>
    </row>
    <row r="2519" spans="1:1" ht="13" x14ac:dyDescent="0.15">
      <c r="A2519" s="2" t="s">
        <v>2519</v>
      </c>
    </row>
    <row r="2520" spans="1:1" ht="13" x14ac:dyDescent="0.15">
      <c r="A2520" s="2" t="s">
        <v>2520</v>
      </c>
    </row>
    <row r="2521" spans="1:1" ht="13" x14ac:dyDescent="0.15">
      <c r="A2521" s="2" t="s">
        <v>2521</v>
      </c>
    </row>
    <row r="2522" spans="1:1" ht="13" x14ac:dyDescent="0.15">
      <c r="A2522" s="2" t="s">
        <v>2522</v>
      </c>
    </row>
    <row r="2523" spans="1:1" ht="13" x14ac:dyDescent="0.15">
      <c r="A2523" s="2" t="s">
        <v>2523</v>
      </c>
    </row>
    <row r="2524" spans="1:1" ht="13" x14ac:dyDescent="0.15">
      <c r="A2524" s="2" t="s">
        <v>2524</v>
      </c>
    </row>
    <row r="2525" spans="1:1" ht="13" x14ac:dyDescent="0.15">
      <c r="A2525" s="2" t="s">
        <v>2525</v>
      </c>
    </row>
    <row r="2526" spans="1:1" ht="13" x14ac:dyDescent="0.15">
      <c r="A2526" s="2" t="s">
        <v>2526</v>
      </c>
    </row>
    <row r="2527" spans="1:1" ht="13" x14ac:dyDescent="0.15">
      <c r="A2527" s="2" t="s">
        <v>2527</v>
      </c>
    </row>
    <row r="2528" spans="1:1" ht="13" x14ac:dyDescent="0.15">
      <c r="A2528" s="2" t="s">
        <v>2528</v>
      </c>
    </row>
    <row r="2529" spans="1:1" ht="13" x14ac:dyDescent="0.15">
      <c r="A2529" s="2" t="s">
        <v>2529</v>
      </c>
    </row>
    <row r="2530" spans="1:1" ht="13" x14ac:dyDescent="0.15">
      <c r="A2530" s="2" t="s">
        <v>2530</v>
      </c>
    </row>
    <row r="2531" spans="1:1" ht="13" x14ac:dyDescent="0.15">
      <c r="A2531" s="2" t="s">
        <v>2531</v>
      </c>
    </row>
    <row r="2532" spans="1:1" ht="13" x14ac:dyDescent="0.15">
      <c r="A2532" s="2" t="s">
        <v>2532</v>
      </c>
    </row>
    <row r="2533" spans="1:1" ht="13" x14ac:dyDescent="0.15">
      <c r="A2533" s="2" t="s">
        <v>2533</v>
      </c>
    </row>
    <row r="2534" spans="1:1" ht="13" x14ac:dyDescent="0.15">
      <c r="A2534" s="2" t="s">
        <v>2534</v>
      </c>
    </row>
    <row r="2535" spans="1:1" ht="13" x14ac:dyDescent="0.15">
      <c r="A2535" s="2" t="s">
        <v>2535</v>
      </c>
    </row>
    <row r="2536" spans="1:1" ht="13" x14ac:dyDescent="0.15">
      <c r="A2536" s="2" t="s">
        <v>2536</v>
      </c>
    </row>
    <row r="2537" spans="1:1" ht="13" x14ac:dyDescent="0.15">
      <c r="A2537" s="2" t="s">
        <v>2537</v>
      </c>
    </row>
    <row r="2538" spans="1:1" ht="13" x14ac:dyDescent="0.15">
      <c r="A2538" s="2" t="s">
        <v>2538</v>
      </c>
    </row>
    <row r="2539" spans="1:1" ht="13" x14ac:dyDescent="0.15">
      <c r="A2539" s="2" t="s">
        <v>2539</v>
      </c>
    </row>
    <row r="2540" spans="1:1" ht="13" x14ac:dyDescent="0.15">
      <c r="A2540" s="2" t="s">
        <v>2540</v>
      </c>
    </row>
    <row r="2541" spans="1:1" ht="13" x14ac:dyDescent="0.15">
      <c r="A2541" s="2" t="s">
        <v>2541</v>
      </c>
    </row>
    <row r="2542" spans="1:1" ht="13" x14ac:dyDescent="0.15">
      <c r="A2542" s="2" t="s">
        <v>2542</v>
      </c>
    </row>
    <row r="2543" spans="1:1" ht="13" x14ac:dyDescent="0.15">
      <c r="A2543" s="2" t="s">
        <v>2543</v>
      </c>
    </row>
    <row r="2544" spans="1:1" ht="13" x14ac:dyDescent="0.15">
      <c r="A2544" s="2" t="s">
        <v>2544</v>
      </c>
    </row>
    <row r="2545" spans="1:1" ht="13" x14ac:dyDescent="0.15">
      <c r="A2545" s="2" t="s">
        <v>2545</v>
      </c>
    </row>
    <row r="2546" spans="1:1" ht="13" x14ac:dyDescent="0.15">
      <c r="A2546" s="2" t="s">
        <v>2546</v>
      </c>
    </row>
    <row r="2547" spans="1:1" ht="13" x14ac:dyDescent="0.15">
      <c r="A2547" s="2" t="s">
        <v>2547</v>
      </c>
    </row>
    <row r="2548" spans="1:1" ht="13" x14ac:dyDescent="0.15">
      <c r="A2548" s="2" t="s">
        <v>2548</v>
      </c>
    </row>
    <row r="2549" spans="1:1" ht="13" x14ac:dyDescent="0.15">
      <c r="A2549" s="2" t="s">
        <v>2549</v>
      </c>
    </row>
    <row r="2550" spans="1:1" ht="13" x14ac:dyDescent="0.15">
      <c r="A2550" s="2" t="s">
        <v>2550</v>
      </c>
    </row>
    <row r="2551" spans="1:1" ht="13" x14ac:dyDescent="0.15">
      <c r="A2551" s="2" t="s">
        <v>2551</v>
      </c>
    </row>
    <row r="2552" spans="1:1" ht="13" x14ac:dyDescent="0.15">
      <c r="A2552" s="2" t="s">
        <v>2552</v>
      </c>
    </row>
    <row r="2553" spans="1:1" ht="13" x14ac:dyDescent="0.15">
      <c r="A2553" s="2" t="s">
        <v>2553</v>
      </c>
    </row>
    <row r="2554" spans="1:1" ht="13" x14ac:dyDescent="0.15">
      <c r="A2554" s="2" t="s">
        <v>2554</v>
      </c>
    </row>
    <row r="2555" spans="1:1" ht="13" x14ac:dyDescent="0.15">
      <c r="A2555" s="2" t="s">
        <v>2555</v>
      </c>
    </row>
    <row r="2556" spans="1:1" ht="13" x14ac:dyDescent="0.15">
      <c r="A2556" s="2" t="s">
        <v>2556</v>
      </c>
    </row>
    <row r="2557" spans="1:1" ht="13" x14ac:dyDescent="0.15">
      <c r="A2557" s="2" t="s">
        <v>2557</v>
      </c>
    </row>
    <row r="2558" spans="1:1" ht="13" x14ac:dyDescent="0.15">
      <c r="A2558" s="2" t="s">
        <v>2558</v>
      </c>
    </row>
    <row r="2559" spans="1:1" ht="13" x14ac:dyDescent="0.15">
      <c r="A2559" s="2" t="s">
        <v>2559</v>
      </c>
    </row>
    <row r="2560" spans="1:1" ht="13" x14ac:dyDescent="0.15">
      <c r="A2560" s="2" t="s">
        <v>2560</v>
      </c>
    </row>
    <row r="2561" spans="1:1" ht="13" x14ac:dyDescent="0.15">
      <c r="A2561" s="2" t="s">
        <v>2561</v>
      </c>
    </row>
    <row r="2562" spans="1:1" ht="13" x14ac:dyDescent="0.15">
      <c r="A2562" s="2" t="s">
        <v>2562</v>
      </c>
    </row>
    <row r="2563" spans="1:1" ht="13" x14ac:dyDescent="0.15">
      <c r="A2563" s="2" t="s">
        <v>2563</v>
      </c>
    </row>
    <row r="2564" spans="1:1" ht="13" x14ac:dyDescent="0.15">
      <c r="A2564" s="2" t="s">
        <v>2564</v>
      </c>
    </row>
    <row r="2565" spans="1:1" ht="13" x14ac:dyDescent="0.15">
      <c r="A2565" s="2" t="s">
        <v>2565</v>
      </c>
    </row>
    <row r="2566" spans="1:1" ht="13" x14ac:dyDescent="0.15">
      <c r="A2566" s="2" t="s">
        <v>2566</v>
      </c>
    </row>
    <row r="2567" spans="1:1" ht="13" x14ac:dyDescent="0.15">
      <c r="A2567" s="2" t="s">
        <v>2567</v>
      </c>
    </row>
    <row r="2568" spans="1:1" ht="13" x14ac:dyDescent="0.15">
      <c r="A2568" s="2" t="s">
        <v>2568</v>
      </c>
    </row>
    <row r="2569" spans="1:1" ht="13" x14ac:dyDescent="0.15">
      <c r="A2569" s="2" t="s">
        <v>2569</v>
      </c>
    </row>
    <row r="2570" spans="1:1" ht="13" x14ac:dyDescent="0.15">
      <c r="A2570" s="2" t="s">
        <v>2570</v>
      </c>
    </row>
    <row r="2571" spans="1:1" ht="13" x14ac:dyDescent="0.15">
      <c r="A2571" s="2" t="s">
        <v>2571</v>
      </c>
    </row>
    <row r="2572" spans="1:1" ht="13" x14ac:dyDescent="0.15">
      <c r="A2572" s="2" t="s">
        <v>2572</v>
      </c>
    </row>
    <row r="2573" spans="1:1" ht="13" x14ac:dyDescent="0.15">
      <c r="A2573" s="2" t="s">
        <v>2573</v>
      </c>
    </row>
    <row r="2574" spans="1:1" ht="13" x14ac:dyDescent="0.15">
      <c r="A2574" s="2" t="s">
        <v>2574</v>
      </c>
    </row>
    <row r="2575" spans="1:1" ht="13" x14ac:dyDescent="0.15">
      <c r="A2575" s="2" t="s">
        <v>2575</v>
      </c>
    </row>
    <row r="2576" spans="1:1" ht="13" x14ac:dyDescent="0.15">
      <c r="A2576" s="2" t="s">
        <v>2576</v>
      </c>
    </row>
    <row r="2577" spans="1:1" ht="13" x14ac:dyDescent="0.15">
      <c r="A2577" s="2" t="s">
        <v>2577</v>
      </c>
    </row>
    <row r="2578" spans="1:1" ht="13" x14ac:dyDescent="0.15">
      <c r="A2578" s="2" t="s">
        <v>2578</v>
      </c>
    </row>
    <row r="2579" spans="1:1" ht="13" x14ac:dyDescent="0.15">
      <c r="A2579" s="2" t="s">
        <v>2579</v>
      </c>
    </row>
    <row r="2580" spans="1:1" ht="13" x14ac:dyDescent="0.15">
      <c r="A2580" s="2" t="s">
        <v>2580</v>
      </c>
    </row>
    <row r="2581" spans="1:1" ht="13" x14ac:dyDescent="0.15">
      <c r="A2581" s="2" t="s">
        <v>2581</v>
      </c>
    </row>
    <row r="2582" spans="1:1" ht="13" x14ac:dyDescent="0.15">
      <c r="A2582" s="2" t="s">
        <v>2582</v>
      </c>
    </row>
    <row r="2583" spans="1:1" ht="13" x14ac:dyDescent="0.15">
      <c r="A2583" s="2" t="s">
        <v>2583</v>
      </c>
    </row>
    <row r="2584" spans="1:1" ht="13" x14ac:dyDescent="0.15">
      <c r="A2584" s="2" t="s">
        <v>2584</v>
      </c>
    </row>
    <row r="2585" spans="1:1" ht="13" x14ac:dyDescent="0.15">
      <c r="A2585" s="2" t="s">
        <v>2585</v>
      </c>
    </row>
    <row r="2586" spans="1:1" ht="13" x14ac:dyDescent="0.15">
      <c r="A2586" s="2" t="s">
        <v>2586</v>
      </c>
    </row>
    <row r="2587" spans="1:1" ht="13" x14ac:dyDescent="0.15">
      <c r="A2587" s="2" t="s">
        <v>2587</v>
      </c>
    </row>
    <row r="2588" spans="1:1" ht="13" x14ac:dyDescent="0.15">
      <c r="A2588" s="2" t="s">
        <v>2588</v>
      </c>
    </row>
    <row r="2589" spans="1:1" ht="13" x14ac:dyDescent="0.15">
      <c r="A2589" s="2" t="s">
        <v>2589</v>
      </c>
    </row>
    <row r="2590" spans="1:1" ht="13" x14ac:dyDescent="0.15">
      <c r="A2590" s="2" t="s">
        <v>2590</v>
      </c>
    </row>
    <row r="2591" spans="1:1" ht="13" x14ac:dyDescent="0.15">
      <c r="A2591" s="2" t="s">
        <v>2591</v>
      </c>
    </row>
    <row r="2592" spans="1:1" ht="13" x14ac:dyDescent="0.15">
      <c r="A2592" s="2" t="s">
        <v>2592</v>
      </c>
    </row>
    <row r="2593" spans="1:1" ht="13" x14ac:dyDescent="0.15">
      <c r="A2593" s="2" t="s">
        <v>2593</v>
      </c>
    </row>
    <row r="2594" spans="1:1" ht="13" x14ac:dyDescent="0.15">
      <c r="A2594" s="2" t="s">
        <v>2594</v>
      </c>
    </row>
    <row r="2595" spans="1:1" ht="13" x14ac:dyDescent="0.15">
      <c r="A2595" s="2" t="s">
        <v>2595</v>
      </c>
    </row>
    <row r="2596" spans="1:1" ht="13" x14ac:dyDescent="0.15">
      <c r="A2596" s="2" t="s">
        <v>2596</v>
      </c>
    </row>
    <row r="2597" spans="1:1" ht="13" x14ac:dyDescent="0.15">
      <c r="A2597" s="2" t="s">
        <v>2597</v>
      </c>
    </row>
    <row r="2598" spans="1:1" ht="13" x14ac:dyDescent="0.15">
      <c r="A2598" s="2" t="s">
        <v>2598</v>
      </c>
    </row>
    <row r="2599" spans="1:1" ht="13" x14ac:dyDescent="0.15">
      <c r="A2599" s="2" t="s">
        <v>2599</v>
      </c>
    </row>
    <row r="2600" spans="1:1" ht="13" x14ac:dyDescent="0.15">
      <c r="A2600" s="2" t="s">
        <v>2600</v>
      </c>
    </row>
    <row r="2601" spans="1:1" ht="13" x14ac:dyDescent="0.15">
      <c r="A2601" s="2" t="s">
        <v>2601</v>
      </c>
    </row>
    <row r="2602" spans="1:1" ht="13" x14ac:dyDescent="0.15">
      <c r="A2602" s="2" t="s">
        <v>2602</v>
      </c>
    </row>
    <row r="2603" spans="1:1" ht="13" x14ac:dyDescent="0.15">
      <c r="A2603" s="2" t="s">
        <v>2603</v>
      </c>
    </row>
    <row r="2604" spans="1:1" ht="13" x14ac:dyDescent="0.15">
      <c r="A2604" s="2" t="s">
        <v>2604</v>
      </c>
    </row>
    <row r="2605" spans="1:1" ht="13" x14ac:dyDescent="0.15">
      <c r="A2605" s="2" t="s">
        <v>2605</v>
      </c>
    </row>
    <row r="2606" spans="1:1" ht="13" x14ac:dyDescent="0.15">
      <c r="A2606" s="2" t="s">
        <v>2606</v>
      </c>
    </row>
    <row r="2607" spans="1:1" ht="13" x14ac:dyDescent="0.15">
      <c r="A2607" s="2" t="s">
        <v>2607</v>
      </c>
    </row>
    <row r="2608" spans="1:1" ht="13" x14ac:dyDescent="0.15">
      <c r="A2608" s="2" t="s">
        <v>2608</v>
      </c>
    </row>
    <row r="2609" spans="1:1" ht="13" x14ac:dyDescent="0.15">
      <c r="A2609" s="2" t="s">
        <v>2609</v>
      </c>
    </row>
    <row r="2610" spans="1:1" ht="13" x14ac:dyDescent="0.15">
      <c r="A2610" s="2" t="s">
        <v>2610</v>
      </c>
    </row>
    <row r="2611" spans="1:1" ht="13" x14ac:dyDescent="0.15">
      <c r="A2611" s="2" t="s">
        <v>2611</v>
      </c>
    </row>
    <row r="2612" spans="1:1" ht="13" x14ac:dyDescent="0.15">
      <c r="A2612" s="2" t="s">
        <v>2612</v>
      </c>
    </row>
    <row r="2613" spans="1:1" ht="13" x14ac:dyDescent="0.15">
      <c r="A2613" s="2" t="s">
        <v>2613</v>
      </c>
    </row>
    <row r="2614" spans="1:1" ht="13" x14ac:dyDescent="0.15">
      <c r="A2614" s="2" t="s">
        <v>2614</v>
      </c>
    </row>
    <row r="2615" spans="1:1" ht="13" x14ac:dyDescent="0.15">
      <c r="A2615" s="2" t="s">
        <v>2615</v>
      </c>
    </row>
    <row r="2616" spans="1:1" ht="13" x14ac:dyDescent="0.15">
      <c r="A2616" s="2" t="s">
        <v>2616</v>
      </c>
    </row>
    <row r="2617" spans="1:1" ht="13" x14ac:dyDescent="0.15">
      <c r="A2617" s="2" t="s">
        <v>2617</v>
      </c>
    </row>
    <row r="2618" spans="1:1" ht="13" x14ac:dyDescent="0.15">
      <c r="A2618" s="2" t="s">
        <v>2618</v>
      </c>
    </row>
    <row r="2619" spans="1:1" ht="13" x14ac:dyDescent="0.15">
      <c r="A2619" s="2" t="s">
        <v>2619</v>
      </c>
    </row>
    <row r="2620" spans="1:1" ht="13" x14ac:dyDescent="0.15">
      <c r="A2620" s="2" t="s">
        <v>2620</v>
      </c>
    </row>
    <row r="2621" spans="1:1" ht="13" x14ac:dyDescent="0.15">
      <c r="A2621" s="2" t="s">
        <v>2621</v>
      </c>
    </row>
    <row r="2622" spans="1:1" ht="13" x14ac:dyDescent="0.15">
      <c r="A2622" s="2" t="s">
        <v>2622</v>
      </c>
    </row>
    <row r="2623" spans="1:1" ht="13" x14ac:dyDescent="0.15">
      <c r="A2623" s="2" t="s">
        <v>2623</v>
      </c>
    </row>
    <row r="2624" spans="1:1" ht="13" x14ac:dyDescent="0.15">
      <c r="A2624" s="2" t="s">
        <v>2624</v>
      </c>
    </row>
    <row r="2625" spans="1:1" ht="13" x14ac:dyDescent="0.15">
      <c r="A2625" s="2" t="s">
        <v>2625</v>
      </c>
    </row>
    <row r="2626" spans="1:1" ht="13" x14ac:dyDescent="0.15">
      <c r="A2626" s="2" t="s">
        <v>2626</v>
      </c>
    </row>
    <row r="2627" spans="1:1" ht="13" x14ac:dyDescent="0.15">
      <c r="A2627" s="2" t="s">
        <v>2627</v>
      </c>
    </row>
    <row r="2628" spans="1:1" ht="13" x14ac:dyDescent="0.15">
      <c r="A2628" s="2" t="s">
        <v>2628</v>
      </c>
    </row>
    <row r="2629" spans="1:1" ht="13" x14ac:dyDescent="0.15">
      <c r="A2629" s="2" t="s">
        <v>2629</v>
      </c>
    </row>
    <row r="2630" spans="1:1" ht="13" x14ac:dyDescent="0.15">
      <c r="A2630" s="2" t="s">
        <v>2630</v>
      </c>
    </row>
    <row r="2631" spans="1:1" ht="13" x14ac:dyDescent="0.15">
      <c r="A2631" s="2" t="s">
        <v>2631</v>
      </c>
    </row>
    <row r="2632" spans="1:1" ht="13" x14ac:dyDescent="0.15">
      <c r="A2632" s="2" t="s">
        <v>2632</v>
      </c>
    </row>
    <row r="2633" spans="1:1" ht="13" x14ac:dyDescent="0.15">
      <c r="A2633" s="2" t="s">
        <v>2633</v>
      </c>
    </row>
    <row r="2634" spans="1:1" ht="13" x14ac:dyDescent="0.15">
      <c r="A2634" s="2" t="s">
        <v>2634</v>
      </c>
    </row>
    <row r="2635" spans="1:1" ht="13" x14ac:dyDescent="0.15">
      <c r="A2635" s="2" t="s">
        <v>2635</v>
      </c>
    </row>
    <row r="2636" spans="1:1" ht="13" x14ac:dyDescent="0.15">
      <c r="A2636" s="2" t="s">
        <v>2636</v>
      </c>
    </row>
    <row r="2637" spans="1:1" ht="13" x14ac:dyDescent="0.15">
      <c r="A2637" s="2" t="s">
        <v>2637</v>
      </c>
    </row>
    <row r="2638" spans="1:1" ht="13" x14ac:dyDescent="0.15">
      <c r="A2638" s="2" t="s">
        <v>2638</v>
      </c>
    </row>
    <row r="2639" spans="1:1" ht="13" x14ac:dyDescent="0.15">
      <c r="A2639" s="2" t="s">
        <v>2639</v>
      </c>
    </row>
    <row r="2640" spans="1:1" ht="13" x14ac:dyDescent="0.15">
      <c r="A2640" s="2" t="s">
        <v>2640</v>
      </c>
    </row>
    <row r="2641" spans="1:1" ht="13" x14ac:dyDescent="0.15">
      <c r="A2641" s="2" t="s">
        <v>2641</v>
      </c>
    </row>
    <row r="2642" spans="1:1" ht="13" x14ac:dyDescent="0.15">
      <c r="A2642" s="2" t="s">
        <v>2642</v>
      </c>
    </row>
    <row r="2643" spans="1:1" ht="13" x14ac:dyDescent="0.15">
      <c r="A2643" s="2" t="s">
        <v>2643</v>
      </c>
    </row>
    <row r="2644" spans="1:1" ht="13" x14ac:dyDescent="0.15">
      <c r="A2644" s="2" t="s">
        <v>2644</v>
      </c>
    </row>
    <row r="2645" spans="1:1" ht="13" x14ac:dyDescent="0.15">
      <c r="A2645" s="2" t="s">
        <v>2645</v>
      </c>
    </row>
    <row r="2646" spans="1:1" ht="13" x14ac:dyDescent="0.15">
      <c r="A2646" s="2" t="s">
        <v>2646</v>
      </c>
    </row>
    <row r="2647" spans="1:1" ht="13" x14ac:dyDescent="0.15">
      <c r="A2647" s="2" t="s">
        <v>2647</v>
      </c>
    </row>
    <row r="2648" spans="1:1" ht="13" x14ac:dyDescent="0.15">
      <c r="A2648" s="2" t="s">
        <v>2648</v>
      </c>
    </row>
    <row r="2649" spans="1:1" ht="13" x14ac:dyDescent="0.15">
      <c r="A2649" s="2" t="s">
        <v>2649</v>
      </c>
    </row>
    <row r="2650" spans="1:1" ht="13" x14ac:dyDescent="0.15">
      <c r="A2650" s="2" t="s">
        <v>2650</v>
      </c>
    </row>
    <row r="2651" spans="1:1" ht="13" x14ac:dyDescent="0.15">
      <c r="A2651" s="2" t="s">
        <v>2651</v>
      </c>
    </row>
    <row r="2652" spans="1:1" ht="13" x14ac:dyDescent="0.15">
      <c r="A2652" s="2" t="s">
        <v>2652</v>
      </c>
    </row>
    <row r="2653" spans="1:1" ht="13" x14ac:dyDescent="0.15">
      <c r="A2653" s="2" t="s">
        <v>2653</v>
      </c>
    </row>
    <row r="2654" spans="1:1" ht="13" x14ac:dyDescent="0.15">
      <c r="A2654" s="2" t="s">
        <v>2654</v>
      </c>
    </row>
    <row r="2655" spans="1:1" ht="13" x14ac:dyDescent="0.15">
      <c r="A2655" s="2" t="s">
        <v>2655</v>
      </c>
    </row>
    <row r="2656" spans="1:1" ht="13" x14ac:dyDescent="0.15">
      <c r="A2656" s="2" t="s">
        <v>2656</v>
      </c>
    </row>
    <row r="2657" spans="1:1" ht="13" x14ac:dyDescent="0.15">
      <c r="A2657" s="2" t="s">
        <v>2657</v>
      </c>
    </row>
    <row r="2658" spans="1:1" ht="13" x14ac:dyDescent="0.15">
      <c r="A2658" s="2" t="s">
        <v>2658</v>
      </c>
    </row>
    <row r="2659" spans="1:1" ht="13" x14ac:dyDescent="0.15">
      <c r="A2659" s="2" t="s">
        <v>2659</v>
      </c>
    </row>
    <row r="2660" spans="1:1" ht="13" x14ac:dyDescent="0.15">
      <c r="A2660" s="2" t="s">
        <v>2660</v>
      </c>
    </row>
    <row r="2661" spans="1:1" ht="13" x14ac:dyDescent="0.15">
      <c r="A2661" s="2" t="s">
        <v>2661</v>
      </c>
    </row>
    <row r="2662" spans="1:1" ht="13" x14ac:dyDescent="0.15">
      <c r="A2662" s="2" t="s">
        <v>2662</v>
      </c>
    </row>
    <row r="2663" spans="1:1" ht="13" x14ac:dyDescent="0.15">
      <c r="A2663" s="2" t="s">
        <v>2663</v>
      </c>
    </row>
    <row r="2664" spans="1:1" ht="13" x14ac:dyDescent="0.15">
      <c r="A2664" s="2" t="s">
        <v>2664</v>
      </c>
    </row>
    <row r="2665" spans="1:1" ht="13" x14ac:dyDescent="0.15">
      <c r="A2665" s="2" t="s">
        <v>2665</v>
      </c>
    </row>
    <row r="2666" spans="1:1" ht="13" x14ac:dyDescent="0.15">
      <c r="A2666" s="2" t="s">
        <v>2666</v>
      </c>
    </row>
    <row r="2667" spans="1:1" ht="13" x14ac:dyDescent="0.15">
      <c r="A2667" s="2" t="s">
        <v>2667</v>
      </c>
    </row>
    <row r="2668" spans="1:1" ht="13" x14ac:dyDescent="0.15">
      <c r="A2668" s="2" t="s">
        <v>2668</v>
      </c>
    </row>
    <row r="2669" spans="1:1" ht="13" x14ac:dyDescent="0.15">
      <c r="A2669" s="2" t="s">
        <v>2669</v>
      </c>
    </row>
    <row r="2670" spans="1:1" ht="13" x14ac:dyDescent="0.15">
      <c r="A2670" s="2" t="s">
        <v>2670</v>
      </c>
    </row>
    <row r="2671" spans="1:1" ht="13" x14ac:dyDescent="0.15">
      <c r="A2671" s="2" t="s">
        <v>2671</v>
      </c>
    </row>
    <row r="2672" spans="1:1" ht="13" x14ac:dyDescent="0.15">
      <c r="A2672" s="2" t="s">
        <v>2672</v>
      </c>
    </row>
    <row r="2673" spans="1:1" ht="13" x14ac:dyDescent="0.15">
      <c r="A2673" s="2" t="s">
        <v>2673</v>
      </c>
    </row>
    <row r="2674" spans="1:1" ht="13" x14ac:dyDescent="0.15">
      <c r="A2674" s="2" t="s">
        <v>2674</v>
      </c>
    </row>
    <row r="2675" spans="1:1" ht="13" x14ac:dyDescent="0.15">
      <c r="A2675" s="2" t="s">
        <v>2675</v>
      </c>
    </row>
    <row r="2676" spans="1:1" ht="13" x14ac:dyDescent="0.15">
      <c r="A2676" s="2" t="s">
        <v>2676</v>
      </c>
    </row>
    <row r="2677" spans="1:1" ht="13" x14ac:dyDescent="0.15">
      <c r="A2677" s="2" t="s">
        <v>2677</v>
      </c>
    </row>
    <row r="2678" spans="1:1" ht="13" x14ac:dyDescent="0.15">
      <c r="A2678" s="2" t="s">
        <v>2678</v>
      </c>
    </row>
    <row r="2679" spans="1:1" ht="13" x14ac:dyDescent="0.15">
      <c r="A2679" s="2" t="s">
        <v>2679</v>
      </c>
    </row>
    <row r="2680" spans="1:1" ht="13" x14ac:dyDescent="0.15">
      <c r="A2680" s="2" t="s">
        <v>2680</v>
      </c>
    </row>
    <row r="2681" spans="1:1" ht="13" x14ac:dyDescent="0.15">
      <c r="A2681" s="2" t="s">
        <v>2681</v>
      </c>
    </row>
    <row r="2682" spans="1:1" ht="13" x14ac:dyDescent="0.15">
      <c r="A2682" s="2" t="s">
        <v>2682</v>
      </c>
    </row>
    <row r="2683" spans="1:1" ht="13" x14ac:dyDescent="0.15">
      <c r="A2683" s="2" t="s">
        <v>2683</v>
      </c>
    </row>
    <row r="2684" spans="1:1" ht="13" x14ac:dyDescent="0.15">
      <c r="A2684" s="2" t="s">
        <v>2684</v>
      </c>
    </row>
    <row r="2685" spans="1:1" ht="13" x14ac:dyDescent="0.15">
      <c r="A2685" s="2" t="s">
        <v>2685</v>
      </c>
    </row>
    <row r="2686" spans="1:1" ht="13" x14ac:dyDescent="0.15">
      <c r="A2686" s="2" t="s">
        <v>2686</v>
      </c>
    </row>
    <row r="2687" spans="1:1" ht="13" x14ac:dyDescent="0.15">
      <c r="A2687" s="2" t="s">
        <v>2687</v>
      </c>
    </row>
    <row r="2688" spans="1:1" ht="13" x14ac:dyDescent="0.15">
      <c r="A2688" s="2" t="s">
        <v>2688</v>
      </c>
    </row>
    <row r="2689" spans="1:1" ht="13" x14ac:dyDescent="0.15">
      <c r="A2689" s="2" t="s">
        <v>2689</v>
      </c>
    </row>
    <row r="2690" spans="1:1" ht="13" x14ac:dyDescent="0.15">
      <c r="A2690" s="2" t="s">
        <v>2690</v>
      </c>
    </row>
    <row r="2691" spans="1:1" ht="13" x14ac:dyDescent="0.15">
      <c r="A2691" s="2" t="s">
        <v>2691</v>
      </c>
    </row>
    <row r="2692" spans="1:1" ht="13" x14ac:dyDescent="0.15">
      <c r="A2692" s="2" t="s">
        <v>2692</v>
      </c>
    </row>
    <row r="2693" spans="1:1" ht="13" x14ac:dyDescent="0.15">
      <c r="A2693" s="2" t="s">
        <v>2693</v>
      </c>
    </row>
    <row r="2694" spans="1:1" ht="13" x14ac:dyDescent="0.15">
      <c r="A2694" s="2" t="s">
        <v>2694</v>
      </c>
    </row>
    <row r="2695" spans="1:1" ht="13" x14ac:dyDescent="0.15">
      <c r="A2695" s="2" t="s">
        <v>2695</v>
      </c>
    </row>
    <row r="2696" spans="1:1" ht="13" x14ac:dyDescent="0.15">
      <c r="A2696" s="2" t="s">
        <v>2696</v>
      </c>
    </row>
    <row r="2697" spans="1:1" ht="13" x14ac:dyDescent="0.15">
      <c r="A2697" s="2" t="s">
        <v>2697</v>
      </c>
    </row>
    <row r="2698" spans="1:1" ht="13" x14ac:dyDescent="0.15">
      <c r="A2698" s="2" t="s">
        <v>2698</v>
      </c>
    </row>
    <row r="2699" spans="1:1" ht="13" x14ac:dyDescent="0.15">
      <c r="A2699" s="2" t="s">
        <v>2699</v>
      </c>
    </row>
    <row r="2700" spans="1:1" ht="13" x14ac:dyDescent="0.15">
      <c r="A2700" s="2" t="s">
        <v>2700</v>
      </c>
    </row>
    <row r="2701" spans="1:1" ht="13" x14ac:dyDescent="0.15">
      <c r="A2701" s="2" t="s">
        <v>2701</v>
      </c>
    </row>
    <row r="2702" spans="1:1" ht="13" x14ac:dyDescent="0.15">
      <c r="A2702" s="2" t="s">
        <v>2701</v>
      </c>
    </row>
    <row r="2703" spans="1:1" ht="13" x14ac:dyDescent="0.15">
      <c r="A2703" s="2" t="s">
        <v>2702</v>
      </c>
    </row>
    <row r="2704" spans="1:1" ht="13" x14ac:dyDescent="0.15">
      <c r="A2704" s="2" t="s">
        <v>2703</v>
      </c>
    </row>
    <row r="2705" spans="1:1" ht="13" x14ac:dyDescent="0.15">
      <c r="A2705" s="2" t="s">
        <v>2704</v>
      </c>
    </row>
    <row r="2706" spans="1:1" ht="13" x14ac:dyDescent="0.15">
      <c r="A2706" s="2" t="s">
        <v>2705</v>
      </c>
    </row>
    <row r="2707" spans="1:1" ht="13" x14ac:dyDescent="0.15">
      <c r="A2707" s="2" t="s">
        <v>2706</v>
      </c>
    </row>
    <row r="2708" spans="1:1" ht="13" x14ac:dyDescent="0.15">
      <c r="A2708" s="2" t="s">
        <v>2707</v>
      </c>
    </row>
    <row r="2709" spans="1:1" ht="13" x14ac:dyDescent="0.15">
      <c r="A2709" s="2" t="s">
        <v>2708</v>
      </c>
    </row>
    <row r="2710" spans="1:1" ht="13" x14ac:dyDescent="0.15">
      <c r="A2710" s="2" t="s">
        <v>2709</v>
      </c>
    </row>
    <row r="2711" spans="1:1" ht="13" x14ac:dyDescent="0.15">
      <c r="A2711" s="2" t="s">
        <v>2710</v>
      </c>
    </row>
    <row r="2712" spans="1:1" ht="13" x14ac:dyDescent="0.15">
      <c r="A2712" s="2" t="s">
        <v>2711</v>
      </c>
    </row>
    <row r="2713" spans="1:1" ht="13" x14ac:dyDescent="0.15">
      <c r="A2713" s="2" t="s">
        <v>2712</v>
      </c>
    </row>
    <row r="2714" spans="1:1" ht="13" x14ac:dyDescent="0.15">
      <c r="A2714" s="2" t="s">
        <v>2713</v>
      </c>
    </row>
    <row r="2715" spans="1:1" ht="13" x14ac:dyDescent="0.15">
      <c r="A2715" s="2" t="s">
        <v>2714</v>
      </c>
    </row>
    <row r="2716" spans="1:1" ht="13" x14ac:dyDescent="0.15">
      <c r="A2716" s="2" t="s">
        <v>2715</v>
      </c>
    </row>
    <row r="2717" spans="1:1" ht="13" x14ac:dyDescent="0.15">
      <c r="A2717" s="2" t="s">
        <v>2716</v>
      </c>
    </row>
    <row r="2718" spans="1:1" ht="13" x14ac:dyDescent="0.15">
      <c r="A2718" s="2" t="s">
        <v>2717</v>
      </c>
    </row>
    <row r="2719" spans="1:1" ht="13" x14ac:dyDescent="0.15">
      <c r="A2719" s="2" t="s">
        <v>2718</v>
      </c>
    </row>
    <row r="2720" spans="1:1" ht="13" x14ac:dyDescent="0.15">
      <c r="A2720" s="2" t="s">
        <v>2719</v>
      </c>
    </row>
    <row r="2721" spans="1:1" ht="13" x14ac:dyDescent="0.15">
      <c r="A2721" s="2" t="s">
        <v>2720</v>
      </c>
    </row>
    <row r="2722" spans="1:1" ht="13" x14ac:dyDescent="0.15">
      <c r="A2722" s="2" t="s">
        <v>2721</v>
      </c>
    </row>
    <row r="2723" spans="1:1" ht="13" x14ac:dyDescent="0.15">
      <c r="A2723" s="2" t="s">
        <v>2722</v>
      </c>
    </row>
    <row r="2724" spans="1:1" ht="13" x14ac:dyDescent="0.15">
      <c r="A2724" s="2" t="s">
        <v>2723</v>
      </c>
    </row>
    <row r="2725" spans="1:1" ht="13" x14ac:dyDescent="0.15">
      <c r="A2725" s="2" t="s">
        <v>2724</v>
      </c>
    </row>
    <row r="2726" spans="1:1" ht="13" x14ac:dyDescent="0.15">
      <c r="A2726" s="2" t="s">
        <v>2725</v>
      </c>
    </row>
    <row r="2727" spans="1:1" ht="13" x14ac:dyDescent="0.15">
      <c r="A2727" s="2" t="s">
        <v>2726</v>
      </c>
    </row>
    <row r="2728" spans="1:1" ht="13" x14ac:dyDescent="0.15">
      <c r="A2728" s="2" t="s">
        <v>2727</v>
      </c>
    </row>
    <row r="2729" spans="1:1" ht="13" x14ac:dyDescent="0.15">
      <c r="A2729" s="2" t="s">
        <v>2728</v>
      </c>
    </row>
    <row r="2730" spans="1:1" ht="13" x14ac:dyDescent="0.15">
      <c r="A2730" s="2" t="s">
        <v>2729</v>
      </c>
    </row>
    <row r="2731" spans="1:1" ht="13" x14ac:dyDescent="0.15">
      <c r="A2731" s="2" t="s">
        <v>2730</v>
      </c>
    </row>
    <row r="2732" spans="1:1" ht="13" x14ac:dyDescent="0.15">
      <c r="A2732" s="2" t="s">
        <v>2731</v>
      </c>
    </row>
    <row r="2733" spans="1:1" ht="13" x14ac:dyDescent="0.15">
      <c r="A2733" s="2" t="s">
        <v>2732</v>
      </c>
    </row>
    <row r="2734" spans="1:1" ht="13" x14ac:dyDescent="0.15">
      <c r="A2734" s="2" t="s">
        <v>2733</v>
      </c>
    </row>
    <row r="2735" spans="1:1" ht="13" x14ac:dyDescent="0.15">
      <c r="A2735" s="2" t="s">
        <v>2734</v>
      </c>
    </row>
    <row r="2736" spans="1:1" ht="13" x14ac:dyDescent="0.15">
      <c r="A2736" s="2" t="s">
        <v>2735</v>
      </c>
    </row>
    <row r="2737" spans="1:1" ht="13" x14ac:dyDescent="0.15">
      <c r="A2737" s="2" t="s">
        <v>2736</v>
      </c>
    </row>
    <row r="2738" spans="1:1" ht="13" x14ac:dyDescent="0.15">
      <c r="A2738" s="2" t="s">
        <v>2737</v>
      </c>
    </row>
    <row r="2739" spans="1:1" ht="13" x14ac:dyDescent="0.15">
      <c r="A2739" s="2" t="s">
        <v>2738</v>
      </c>
    </row>
    <row r="2740" spans="1:1" ht="13" x14ac:dyDescent="0.15">
      <c r="A2740" s="2" t="s">
        <v>2739</v>
      </c>
    </row>
    <row r="2741" spans="1:1" ht="13" x14ac:dyDescent="0.15">
      <c r="A2741" s="2" t="s">
        <v>2740</v>
      </c>
    </row>
    <row r="2742" spans="1:1" ht="13" x14ac:dyDescent="0.15">
      <c r="A2742" s="2" t="s">
        <v>2741</v>
      </c>
    </row>
    <row r="2743" spans="1:1" ht="13" x14ac:dyDescent="0.15">
      <c r="A2743" s="2" t="s">
        <v>2742</v>
      </c>
    </row>
    <row r="2744" spans="1:1" ht="13" x14ac:dyDescent="0.15">
      <c r="A2744" s="2" t="s">
        <v>2743</v>
      </c>
    </row>
    <row r="2745" spans="1:1" ht="13" x14ac:dyDescent="0.15">
      <c r="A2745" s="2" t="s">
        <v>2744</v>
      </c>
    </row>
    <row r="2746" spans="1:1" ht="13" x14ac:dyDescent="0.15">
      <c r="A2746" s="2" t="s">
        <v>2745</v>
      </c>
    </row>
    <row r="2747" spans="1:1" ht="13" x14ac:dyDescent="0.15">
      <c r="A2747" s="2" t="s">
        <v>2746</v>
      </c>
    </row>
    <row r="2748" spans="1:1" ht="13" x14ac:dyDescent="0.15">
      <c r="A2748" s="2" t="s">
        <v>2747</v>
      </c>
    </row>
    <row r="2749" spans="1:1" ht="13" x14ac:dyDescent="0.15">
      <c r="A2749" s="2" t="s">
        <v>2748</v>
      </c>
    </row>
    <row r="2750" spans="1:1" ht="13" x14ac:dyDescent="0.15">
      <c r="A2750" s="2" t="s">
        <v>2749</v>
      </c>
    </row>
    <row r="2751" spans="1:1" ht="13" x14ac:dyDescent="0.15">
      <c r="A2751" s="2" t="s">
        <v>2750</v>
      </c>
    </row>
    <row r="2752" spans="1:1" ht="13" x14ac:dyDescent="0.15">
      <c r="A2752" s="2" t="s">
        <v>2751</v>
      </c>
    </row>
    <row r="2753" spans="1:1" ht="13" x14ac:dyDescent="0.15">
      <c r="A2753" s="2" t="s">
        <v>2752</v>
      </c>
    </row>
    <row r="2754" spans="1:1" ht="13" x14ac:dyDescent="0.15">
      <c r="A2754" s="2" t="s">
        <v>2753</v>
      </c>
    </row>
    <row r="2755" spans="1:1" ht="13" x14ac:dyDescent="0.15">
      <c r="A2755" s="2" t="s">
        <v>2754</v>
      </c>
    </row>
    <row r="2756" spans="1:1" ht="13" x14ac:dyDescent="0.15">
      <c r="A2756" s="2" t="s">
        <v>2755</v>
      </c>
    </row>
    <row r="2757" spans="1:1" ht="13" x14ac:dyDescent="0.15">
      <c r="A2757" s="2" t="s">
        <v>2756</v>
      </c>
    </row>
    <row r="2758" spans="1:1" ht="13" x14ac:dyDescent="0.15">
      <c r="A2758" s="2" t="s">
        <v>2757</v>
      </c>
    </row>
    <row r="2759" spans="1:1" ht="13" x14ac:dyDescent="0.15">
      <c r="A2759" s="2" t="s">
        <v>2758</v>
      </c>
    </row>
    <row r="2760" spans="1:1" ht="13" x14ac:dyDescent="0.15">
      <c r="A2760" s="2" t="s">
        <v>2759</v>
      </c>
    </row>
    <row r="2761" spans="1:1" ht="13" x14ac:dyDescent="0.15">
      <c r="A2761" s="2" t="s">
        <v>2760</v>
      </c>
    </row>
    <row r="2762" spans="1:1" ht="13" x14ac:dyDescent="0.15">
      <c r="A2762" s="2" t="s">
        <v>2761</v>
      </c>
    </row>
    <row r="2763" spans="1:1" ht="13" x14ac:dyDescent="0.15">
      <c r="A2763" s="2" t="s">
        <v>2762</v>
      </c>
    </row>
    <row r="2764" spans="1:1" ht="13" x14ac:dyDescent="0.15">
      <c r="A2764" s="2" t="s">
        <v>2763</v>
      </c>
    </row>
    <row r="2765" spans="1:1" ht="13" x14ac:dyDescent="0.15">
      <c r="A2765" s="2" t="s">
        <v>2764</v>
      </c>
    </row>
    <row r="2766" spans="1:1" ht="13" x14ac:dyDescent="0.15">
      <c r="A2766" s="2" t="s">
        <v>2765</v>
      </c>
    </row>
    <row r="2767" spans="1:1" ht="13" x14ac:dyDescent="0.15">
      <c r="A2767" s="2" t="s">
        <v>2766</v>
      </c>
    </row>
    <row r="2768" spans="1:1" ht="13" x14ac:dyDescent="0.15">
      <c r="A2768" s="2" t="s">
        <v>2767</v>
      </c>
    </row>
    <row r="2769" spans="1:1" ht="13" x14ac:dyDescent="0.15">
      <c r="A2769" s="2" t="s">
        <v>2768</v>
      </c>
    </row>
    <row r="2770" spans="1:1" ht="13" x14ac:dyDescent="0.15">
      <c r="A2770" s="2" t="s">
        <v>2769</v>
      </c>
    </row>
    <row r="2771" spans="1:1" ht="13" x14ac:dyDescent="0.15">
      <c r="A2771" s="2" t="s">
        <v>2770</v>
      </c>
    </row>
    <row r="2772" spans="1:1" ht="13" x14ac:dyDescent="0.15">
      <c r="A2772" s="2" t="s">
        <v>2771</v>
      </c>
    </row>
    <row r="2773" spans="1:1" ht="13" x14ac:dyDescent="0.15">
      <c r="A2773" s="2" t="s">
        <v>2772</v>
      </c>
    </row>
    <row r="2774" spans="1:1" ht="13" x14ac:dyDescent="0.15">
      <c r="A2774" s="2" t="s">
        <v>2773</v>
      </c>
    </row>
    <row r="2775" spans="1:1" ht="13" x14ac:dyDescent="0.15">
      <c r="A2775" s="2" t="s">
        <v>2774</v>
      </c>
    </row>
    <row r="2776" spans="1:1" ht="13" x14ac:dyDescent="0.15">
      <c r="A2776" s="2" t="s">
        <v>2775</v>
      </c>
    </row>
    <row r="2777" spans="1:1" ht="13" x14ac:dyDescent="0.15">
      <c r="A2777" s="2" t="s">
        <v>2776</v>
      </c>
    </row>
    <row r="2778" spans="1:1" ht="13" x14ac:dyDescent="0.15">
      <c r="A2778" s="2" t="s">
        <v>2777</v>
      </c>
    </row>
    <row r="2779" spans="1:1" ht="13" x14ac:dyDescent="0.15">
      <c r="A2779" s="2" t="s">
        <v>2778</v>
      </c>
    </row>
    <row r="2780" spans="1:1" ht="13" x14ac:dyDescent="0.15">
      <c r="A2780" s="2" t="s">
        <v>2779</v>
      </c>
    </row>
    <row r="2781" spans="1:1" ht="13" x14ac:dyDescent="0.15">
      <c r="A2781" s="2" t="s">
        <v>2780</v>
      </c>
    </row>
    <row r="2782" spans="1:1" ht="13" x14ac:dyDescent="0.15">
      <c r="A2782" s="2" t="s">
        <v>2781</v>
      </c>
    </row>
    <row r="2783" spans="1:1" ht="13" x14ac:dyDescent="0.15">
      <c r="A2783" s="2" t="s">
        <v>2782</v>
      </c>
    </row>
    <row r="2784" spans="1:1" ht="13" x14ac:dyDescent="0.15">
      <c r="A2784" s="2" t="s">
        <v>2783</v>
      </c>
    </row>
    <row r="2785" spans="1:1" ht="13" x14ac:dyDescent="0.15">
      <c r="A2785" s="2" t="s">
        <v>2784</v>
      </c>
    </row>
    <row r="2786" spans="1:1" ht="13" x14ac:dyDescent="0.15">
      <c r="A2786" s="2" t="s">
        <v>2785</v>
      </c>
    </row>
    <row r="2787" spans="1:1" ht="13" x14ac:dyDescent="0.15">
      <c r="A2787" s="2" t="s">
        <v>2786</v>
      </c>
    </row>
    <row r="2788" spans="1:1" ht="13" x14ac:dyDescent="0.15">
      <c r="A2788" s="2" t="s">
        <v>2787</v>
      </c>
    </row>
    <row r="2789" spans="1:1" ht="13" x14ac:dyDescent="0.15">
      <c r="A2789" s="2" t="s">
        <v>2788</v>
      </c>
    </row>
    <row r="2790" spans="1:1" ht="13" x14ac:dyDescent="0.15">
      <c r="A2790" s="2" t="s">
        <v>2789</v>
      </c>
    </row>
    <row r="2791" spans="1:1" ht="13" x14ac:dyDescent="0.15">
      <c r="A2791" s="2" t="s">
        <v>2790</v>
      </c>
    </row>
    <row r="2792" spans="1:1" ht="13" x14ac:dyDescent="0.15">
      <c r="A2792" s="2" t="s">
        <v>2791</v>
      </c>
    </row>
    <row r="2793" spans="1:1" ht="13" x14ac:dyDescent="0.15">
      <c r="A2793" s="2" t="s">
        <v>2792</v>
      </c>
    </row>
    <row r="2794" spans="1:1" ht="13" x14ac:dyDescent="0.15">
      <c r="A2794" s="2" t="s">
        <v>2793</v>
      </c>
    </row>
    <row r="2795" spans="1:1" ht="13" x14ac:dyDescent="0.15">
      <c r="A2795" s="2" t="s">
        <v>2794</v>
      </c>
    </row>
    <row r="2796" spans="1:1" ht="13" x14ac:dyDescent="0.15">
      <c r="A2796" s="2" t="s">
        <v>2795</v>
      </c>
    </row>
    <row r="2797" spans="1:1" ht="13" x14ac:dyDescent="0.15">
      <c r="A2797" s="2" t="s">
        <v>2796</v>
      </c>
    </row>
    <row r="2798" spans="1:1" ht="13" x14ac:dyDescent="0.15">
      <c r="A2798" s="2" t="s">
        <v>2797</v>
      </c>
    </row>
    <row r="2799" spans="1:1" ht="13" x14ac:dyDescent="0.15">
      <c r="A2799" s="2" t="s">
        <v>2798</v>
      </c>
    </row>
    <row r="2800" spans="1:1" ht="13" x14ac:dyDescent="0.15">
      <c r="A2800" s="2" t="s">
        <v>2799</v>
      </c>
    </row>
    <row r="2801" spans="1:1" ht="13" x14ac:dyDescent="0.15">
      <c r="A2801" s="2" t="s">
        <v>2800</v>
      </c>
    </row>
    <row r="2802" spans="1:1" ht="13" x14ac:dyDescent="0.15">
      <c r="A2802" s="2" t="s">
        <v>2801</v>
      </c>
    </row>
    <row r="2803" spans="1:1" ht="13" x14ac:dyDescent="0.15">
      <c r="A2803" s="2" t="s">
        <v>2802</v>
      </c>
    </row>
    <row r="2804" spans="1:1" ht="13" x14ac:dyDescent="0.15">
      <c r="A2804" s="2" t="s">
        <v>2803</v>
      </c>
    </row>
    <row r="2805" spans="1:1" ht="13" x14ac:dyDescent="0.15">
      <c r="A2805" s="2" t="s">
        <v>2804</v>
      </c>
    </row>
    <row r="2806" spans="1:1" ht="13" x14ac:dyDescent="0.15">
      <c r="A2806" s="2" t="s">
        <v>2805</v>
      </c>
    </row>
    <row r="2807" spans="1:1" ht="13" x14ac:dyDescent="0.15">
      <c r="A2807" s="2" t="s">
        <v>2806</v>
      </c>
    </row>
    <row r="2808" spans="1:1" ht="13" x14ac:dyDescent="0.15">
      <c r="A2808" s="2" t="s">
        <v>2807</v>
      </c>
    </row>
    <row r="2809" spans="1:1" ht="13" x14ac:dyDescent="0.15">
      <c r="A2809" s="2" t="s">
        <v>2808</v>
      </c>
    </row>
    <row r="2810" spans="1:1" ht="13" x14ac:dyDescent="0.15">
      <c r="A2810" s="2" t="s">
        <v>2809</v>
      </c>
    </row>
    <row r="2811" spans="1:1" ht="13" x14ac:dyDescent="0.15">
      <c r="A2811" s="2" t="s">
        <v>2810</v>
      </c>
    </row>
    <row r="2812" spans="1:1" ht="13" x14ac:dyDescent="0.15">
      <c r="A2812" s="2" t="s">
        <v>2811</v>
      </c>
    </row>
    <row r="2813" spans="1:1" ht="13" x14ac:dyDescent="0.15">
      <c r="A2813" s="2" t="s">
        <v>2812</v>
      </c>
    </row>
    <row r="2814" spans="1:1" ht="13" x14ac:dyDescent="0.15">
      <c r="A2814" s="2" t="s">
        <v>2813</v>
      </c>
    </row>
    <row r="2815" spans="1:1" ht="13" x14ac:dyDescent="0.15">
      <c r="A2815" s="2" t="s">
        <v>2814</v>
      </c>
    </row>
    <row r="2816" spans="1:1" ht="13" x14ac:dyDescent="0.15">
      <c r="A2816" s="2" t="s">
        <v>2815</v>
      </c>
    </row>
    <row r="2817" spans="1:1" ht="13" x14ac:dyDescent="0.15">
      <c r="A2817" s="2" t="s">
        <v>2816</v>
      </c>
    </row>
    <row r="2818" spans="1:1" ht="13" x14ac:dyDescent="0.15">
      <c r="A2818" s="2" t="s">
        <v>2817</v>
      </c>
    </row>
    <row r="2819" spans="1:1" ht="13" x14ac:dyDescent="0.15">
      <c r="A2819" s="2" t="s">
        <v>2818</v>
      </c>
    </row>
    <row r="2820" spans="1:1" ht="13" x14ac:dyDescent="0.15">
      <c r="A2820" s="2" t="s">
        <v>2819</v>
      </c>
    </row>
    <row r="2821" spans="1:1" ht="13" x14ac:dyDescent="0.15">
      <c r="A2821" s="2" t="s">
        <v>2820</v>
      </c>
    </row>
    <row r="2822" spans="1:1" ht="13" x14ac:dyDescent="0.15">
      <c r="A2822" s="2" t="s">
        <v>2821</v>
      </c>
    </row>
    <row r="2823" spans="1:1" ht="13" x14ac:dyDescent="0.15">
      <c r="A2823" s="2" t="s">
        <v>2822</v>
      </c>
    </row>
    <row r="2824" spans="1:1" ht="13" x14ac:dyDescent="0.15">
      <c r="A2824" s="2" t="s">
        <v>2823</v>
      </c>
    </row>
    <row r="2825" spans="1:1" ht="13" x14ac:dyDescent="0.15">
      <c r="A2825" s="2" t="s">
        <v>2824</v>
      </c>
    </row>
    <row r="2826" spans="1:1" ht="13" x14ac:dyDescent="0.15">
      <c r="A2826" s="2" t="s">
        <v>2825</v>
      </c>
    </row>
    <row r="2827" spans="1:1" ht="13" x14ac:dyDescent="0.15">
      <c r="A2827" s="2" t="s">
        <v>2826</v>
      </c>
    </row>
    <row r="2828" spans="1:1" ht="13" x14ac:dyDescent="0.15">
      <c r="A2828" s="2" t="s">
        <v>2827</v>
      </c>
    </row>
    <row r="2829" spans="1:1" ht="13" x14ac:dyDescent="0.15">
      <c r="A2829" s="2" t="s">
        <v>2828</v>
      </c>
    </row>
    <row r="2830" spans="1:1" ht="13" x14ac:dyDescent="0.15">
      <c r="A2830" s="2" t="s">
        <v>2829</v>
      </c>
    </row>
    <row r="2831" spans="1:1" ht="13" x14ac:dyDescent="0.15">
      <c r="A2831" s="2" t="s">
        <v>2830</v>
      </c>
    </row>
    <row r="2832" spans="1:1" ht="13" x14ac:dyDescent="0.15">
      <c r="A2832" s="2" t="s">
        <v>2831</v>
      </c>
    </row>
    <row r="2833" spans="1:1" ht="13" x14ac:dyDescent="0.15">
      <c r="A2833" s="2" t="s">
        <v>2832</v>
      </c>
    </row>
    <row r="2834" spans="1:1" ht="13" x14ac:dyDescent="0.15">
      <c r="A2834" s="2" t="s">
        <v>2833</v>
      </c>
    </row>
    <row r="2835" spans="1:1" ht="13" x14ac:dyDescent="0.15">
      <c r="A2835" s="2" t="s">
        <v>2834</v>
      </c>
    </row>
    <row r="2836" spans="1:1" ht="13" x14ac:dyDescent="0.15">
      <c r="A2836" s="2" t="s">
        <v>2835</v>
      </c>
    </row>
    <row r="2837" spans="1:1" ht="13" x14ac:dyDescent="0.15">
      <c r="A2837" s="2" t="s">
        <v>2836</v>
      </c>
    </row>
    <row r="2838" spans="1:1" ht="13" x14ac:dyDescent="0.15">
      <c r="A2838" s="2" t="s">
        <v>2837</v>
      </c>
    </row>
    <row r="2839" spans="1:1" ht="13" x14ac:dyDescent="0.15">
      <c r="A2839" s="2" t="s">
        <v>2838</v>
      </c>
    </row>
    <row r="2840" spans="1:1" ht="13" x14ac:dyDescent="0.15">
      <c r="A2840" s="2" t="s">
        <v>2839</v>
      </c>
    </row>
    <row r="2841" spans="1:1" ht="13" x14ac:dyDescent="0.15">
      <c r="A2841" s="2" t="s">
        <v>2840</v>
      </c>
    </row>
    <row r="2842" spans="1:1" ht="13" x14ac:dyDescent="0.15">
      <c r="A2842" s="2" t="s">
        <v>2841</v>
      </c>
    </row>
    <row r="2843" spans="1:1" ht="13" x14ac:dyDescent="0.15">
      <c r="A2843" s="2" t="s">
        <v>2842</v>
      </c>
    </row>
    <row r="2844" spans="1:1" ht="13" x14ac:dyDescent="0.15">
      <c r="A2844" s="2" t="s">
        <v>2843</v>
      </c>
    </row>
    <row r="2845" spans="1:1" ht="13" x14ac:dyDescent="0.15">
      <c r="A2845" s="2" t="s">
        <v>2844</v>
      </c>
    </row>
    <row r="2846" spans="1:1" ht="13" x14ac:dyDescent="0.15">
      <c r="A2846" s="2" t="s">
        <v>2845</v>
      </c>
    </row>
    <row r="2847" spans="1:1" ht="13" x14ac:dyDescent="0.15">
      <c r="A2847" s="2" t="s">
        <v>2846</v>
      </c>
    </row>
    <row r="2848" spans="1:1" ht="13" x14ac:dyDescent="0.15">
      <c r="A2848" s="2" t="s">
        <v>2847</v>
      </c>
    </row>
    <row r="2849" spans="1:1" ht="13" x14ac:dyDescent="0.15">
      <c r="A2849" s="2" t="s">
        <v>2848</v>
      </c>
    </row>
    <row r="2850" spans="1:1" ht="13" x14ac:dyDescent="0.15">
      <c r="A2850" s="2" t="s">
        <v>2849</v>
      </c>
    </row>
    <row r="2851" spans="1:1" ht="13" x14ac:dyDescent="0.15">
      <c r="A2851" s="2" t="s">
        <v>2850</v>
      </c>
    </row>
    <row r="2852" spans="1:1" ht="13" x14ac:dyDescent="0.15">
      <c r="A2852" s="2" t="s">
        <v>2851</v>
      </c>
    </row>
    <row r="2853" spans="1:1" ht="13" x14ac:dyDescent="0.15">
      <c r="A2853" s="2" t="s">
        <v>2852</v>
      </c>
    </row>
    <row r="2854" spans="1:1" ht="13" x14ac:dyDescent="0.15">
      <c r="A2854" s="2" t="s">
        <v>2853</v>
      </c>
    </row>
    <row r="2855" spans="1:1" ht="13" x14ac:dyDescent="0.15">
      <c r="A2855" s="2" t="s">
        <v>2854</v>
      </c>
    </row>
    <row r="2856" spans="1:1" ht="13" x14ac:dyDescent="0.15">
      <c r="A2856" s="2" t="s">
        <v>2855</v>
      </c>
    </row>
    <row r="2857" spans="1:1" ht="13" x14ac:dyDescent="0.15">
      <c r="A2857" s="2" t="s">
        <v>2856</v>
      </c>
    </row>
    <row r="2858" spans="1:1" ht="13" x14ac:dyDescent="0.15">
      <c r="A2858" s="2" t="s">
        <v>2857</v>
      </c>
    </row>
    <row r="2859" spans="1:1" ht="13" x14ac:dyDescent="0.15">
      <c r="A2859" s="2" t="s">
        <v>2858</v>
      </c>
    </row>
    <row r="2860" spans="1:1" ht="13" x14ac:dyDescent="0.15">
      <c r="A2860" s="2" t="s">
        <v>2859</v>
      </c>
    </row>
    <row r="2861" spans="1:1" ht="13" x14ac:dyDescent="0.15">
      <c r="A2861" s="2" t="s">
        <v>2860</v>
      </c>
    </row>
    <row r="2862" spans="1:1" ht="13" x14ac:dyDescent="0.15">
      <c r="A2862" s="2" t="s">
        <v>2861</v>
      </c>
    </row>
    <row r="2863" spans="1:1" ht="13" x14ac:dyDescent="0.15">
      <c r="A2863" s="2" t="s">
        <v>2862</v>
      </c>
    </row>
    <row r="2864" spans="1:1" ht="13" x14ac:dyDescent="0.15">
      <c r="A2864" s="2" t="s">
        <v>2863</v>
      </c>
    </row>
    <row r="2865" spans="1:1" ht="13" x14ac:dyDescent="0.15">
      <c r="A2865" s="2" t="s">
        <v>2864</v>
      </c>
    </row>
    <row r="2866" spans="1:1" ht="13" x14ac:dyDescent="0.15">
      <c r="A2866" s="2" t="s">
        <v>2865</v>
      </c>
    </row>
    <row r="2867" spans="1:1" ht="13" x14ac:dyDescent="0.15">
      <c r="A2867" s="2" t="s">
        <v>2866</v>
      </c>
    </row>
    <row r="2868" spans="1:1" ht="13" x14ac:dyDescent="0.15">
      <c r="A2868" s="2" t="s">
        <v>2867</v>
      </c>
    </row>
    <row r="2869" spans="1:1" ht="13" x14ac:dyDescent="0.15">
      <c r="A2869" s="2" t="s">
        <v>2868</v>
      </c>
    </row>
    <row r="2870" spans="1:1" ht="13" x14ac:dyDescent="0.15">
      <c r="A2870" s="2" t="s">
        <v>2869</v>
      </c>
    </row>
    <row r="2871" spans="1:1" ht="13" x14ac:dyDescent="0.15">
      <c r="A2871" s="2" t="s">
        <v>2870</v>
      </c>
    </row>
    <row r="2872" spans="1:1" ht="13" x14ac:dyDescent="0.15">
      <c r="A2872" s="2" t="s">
        <v>2871</v>
      </c>
    </row>
    <row r="2873" spans="1:1" ht="13" x14ac:dyDescent="0.15">
      <c r="A2873" s="2" t="s">
        <v>2872</v>
      </c>
    </row>
    <row r="2874" spans="1:1" ht="13" x14ac:dyDescent="0.15">
      <c r="A2874" s="2" t="s">
        <v>2873</v>
      </c>
    </row>
    <row r="2875" spans="1:1" ht="13" x14ac:dyDescent="0.15">
      <c r="A2875" s="2" t="s">
        <v>2874</v>
      </c>
    </row>
    <row r="2876" spans="1:1" ht="13" x14ac:dyDescent="0.15">
      <c r="A2876" s="2" t="s">
        <v>2875</v>
      </c>
    </row>
    <row r="2877" spans="1:1" ht="13" x14ac:dyDescent="0.15">
      <c r="A2877" s="2" t="s">
        <v>2876</v>
      </c>
    </row>
    <row r="2878" spans="1:1" ht="13" x14ac:dyDescent="0.15">
      <c r="A2878" s="2" t="s">
        <v>2877</v>
      </c>
    </row>
    <row r="2879" spans="1:1" ht="13" x14ac:dyDescent="0.15">
      <c r="A2879" s="2" t="s">
        <v>2878</v>
      </c>
    </row>
    <row r="2880" spans="1:1" ht="13" x14ac:dyDescent="0.15">
      <c r="A2880" s="2" t="s">
        <v>2879</v>
      </c>
    </row>
    <row r="2881" spans="1:1" ht="13" x14ac:dyDescent="0.15">
      <c r="A2881" s="2" t="s">
        <v>2880</v>
      </c>
    </row>
    <row r="2882" spans="1:1" ht="13" x14ac:dyDescent="0.15">
      <c r="A2882" s="2" t="s">
        <v>2881</v>
      </c>
    </row>
    <row r="2883" spans="1:1" ht="13" x14ac:dyDescent="0.15">
      <c r="A2883" s="2" t="s">
        <v>2882</v>
      </c>
    </row>
    <row r="2884" spans="1:1" ht="13" x14ac:dyDescent="0.15">
      <c r="A2884" s="2" t="s">
        <v>2883</v>
      </c>
    </row>
    <row r="2885" spans="1:1" ht="13" x14ac:dyDescent="0.15">
      <c r="A2885" s="2" t="s">
        <v>2884</v>
      </c>
    </row>
    <row r="2886" spans="1:1" ht="13" x14ac:dyDescent="0.15">
      <c r="A2886" s="2" t="s">
        <v>2885</v>
      </c>
    </row>
    <row r="2887" spans="1:1" ht="13" x14ac:dyDescent="0.15">
      <c r="A2887" s="2" t="s">
        <v>2886</v>
      </c>
    </row>
    <row r="2888" spans="1:1" ht="13" x14ac:dyDescent="0.15">
      <c r="A2888" s="2" t="s">
        <v>2887</v>
      </c>
    </row>
    <row r="2889" spans="1:1" ht="13" x14ac:dyDescent="0.15">
      <c r="A2889" s="2" t="s">
        <v>2888</v>
      </c>
    </row>
    <row r="2890" spans="1:1" ht="13" x14ac:dyDescent="0.15">
      <c r="A2890" s="2" t="s">
        <v>2889</v>
      </c>
    </row>
    <row r="2891" spans="1:1" ht="13" x14ac:dyDescent="0.15">
      <c r="A2891" s="2" t="s">
        <v>2890</v>
      </c>
    </row>
    <row r="2892" spans="1:1" ht="13" x14ac:dyDescent="0.15">
      <c r="A2892" s="2" t="s">
        <v>2891</v>
      </c>
    </row>
    <row r="2893" spans="1:1" ht="13" x14ac:dyDescent="0.15">
      <c r="A2893" s="2" t="s">
        <v>2892</v>
      </c>
    </row>
    <row r="2894" spans="1:1" ht="13" x14ac:dyDescent="0.15">
      <c r="A2894" s="2" t="s">
        <v>2893</v>
      </c>
    </row>
    <row r="2895" spans="1:1" ht="13" x14ac:dyDescent="0.15">
      <c r="A2895" s="2" t="s">
        <v>2894</v>
      </c>
    </row>
    <row r="2896" spans="1:1" ht="13" x14ac:dyDescent="0.15">
      <c r="A2896" s="2" t="s">
        <v>2895</v>
      </c>
    </row>
    <row r="2897" spans="1:1" ht="13" x14ac:dyDescent="0.15">
      <c r="A2897" s="2" t="s">
        <v>2896</v>
      </c>
    </row>
    <row r="2898" spans="1:1" ht="13" x14ac:dyDescent="0.15">
      <c r="A2898" s="2" t="s">
        <v>2897</v>
      </c>
    </row>
    <row r="2899" spans="1:1" ht="13" x14ac:dyDescent="0.15">
      <c r="A2899" s="2" t="s">
        <v>2898</v>
      </c>
    </row>
    <row r="2900" spans="1:1" ht="13" x14ac:dyDescent="0.15">
      <c r="A2900" s="2" t="s">
        <v>2899</v>
      </c>
    </row>
    <row r="2901" spans="1:1" ht="13" x14ac:dyDescent="0.15">
      <c r="A2901" s="2" t="s">
        <v>2900</v>
      </c>
    </row>
    <row r="2902" spans="1:1" ht="13" x14ac:dyDescent="0.15">
      <c r="A2902" s="2" t="s">
        <v>2901</v>
      </c>
    </row>
    <row r="2903" spans="1:1" ht="13" x14ac:dyDescent="0.15">
      <c r="A2903" s="2" t="s">
        <v>2902</v>
      </c>
    </row>
    <row r="2904" spans="1:1" ht="13" x14ac:dyDescent="0.15">
      <c r="A2904" s="2" t="s">
        <v>2903</v>
      </c>
    </row>
    <row r="2905" spans="1:1" ht="13" x14ac:dyDescent="0.15">
      <c r="A2905" s="2" t="s">
        <v>2904</v>
      </c>
    </row>
    <row r="2906" spans="1:1" ht="13" x14ac:dyDescent="0.15">
      <c r="A2906" s="2" t="s">
        <v>2905</v>
      </c>
    </row>
    <row r="2907" spans="1:1" ht="13" x14ac:dyDescent="0.15">
      <c r="A2907" s="2" t="s">
        <v>2906</v>
      </c>
    </row>
    <row r="2908" spans="1:1" ht="13" x14ac:dyDescent="0.15">
      <c r="A2908" s="2" t="s">
        <v>2907</v>
      </c>
    </row>
    <row r="2909" spans="1:1" ht="13" x14ac:dyDescent="0.15">
      <c r="A2909" s="2" t="s">
        <v>2908</v>
      </c>
    </row>
    <row r="2910" spans="1:1" ht="13" x14ac:dyDescent="0.15">
      <c r="A2910" s="2" t="s">
        <v>2909</v>
      </c>
    </row>
    <row r="2911" spans="1:1" ht="13" x14ac:dyDescent="0.15">
      <c r="A2911" s="2" t="s">
        <v>2910</v>
      </c>
    </row>
    <row r="2912" spans="1:1" ht="13" x14ac:dyDescent="0.15">
      <c r="A2912" s="2" t="s">
        <v>2911</v>
      </c>
    </row>
    <row r="2913" spans="1:1" ht="13" x14ac:dyDescent="0.15">
      <c r="A2913" s="2" t="s">
        <v>2912</v>
      </c>
    </row>
    <row r="2914" spans="1:1" ht="13" x14ac:dyDescent="0.15">
      <c r="A2914" s="2" t="s">
        <v>2913</v>
      </c>
    </row>
    <row r="2915" spans="1:1" ht="13" x14ac:dyDescent="0.15">
      <c r="A2915" s="2" t="s">
        <v>2914</v>
      </c>
    </row>
    <row r="2916" spans="1:1" ht="13" x14ac:dyDescent="0.15">
      <c r="A2916" s="2" t="s">
        <v>2915</v>
      </c>
    </row>
    <row r="2917" spans="1:1" ht="13" x14ac:dyDescent="0.15">
      <c r="A2917" s="2" t="s">
        <v>2916</v>
      </c>
    </row>
    <row r="2918" spans="1:1" ht="13" x14ac:dyDescent="0.15">
      <c r="A2918" s="2" t="s">
        <v>2917</v>
      </c>
    </row>
    <row r="2919" spans="1:1" ht="13" x14ac:dyDescent="0.15">
      <c r="A2919" s="2" t="s">
        <v>2918</v>
      </c>
    </row>
    <row r="2920" spans="1:1" ht="13" x14ac:dyDescent="0.15">
      <c r="A2920" s="2" t="s">
        <v>2919</v>
      </c>
    </row>
    <row r="2921" spans="1:1" ht="13" x14ac:dyDescent="0.15">
      <c r="A2921" s="2" t="s">
        <v>2920</v>
      </c>
    </row>
    <row r="2922" spans="1:1" ht="13" x14ac:dyDescent="0.15">
      <c r="A2922" s="2" t="s">
        <v>2921</v>
      </c>
    </row>
    <row r="2923" spans="1:1" ht="13" x14ac:dyDescent="0.15">
      <c r="A2923" s="2" t="s">
        <v>2922</v>
      </c>
    </row>
    <row r="2924" spans="1:1" ht="13" x14ac:dyDescent="0.15">
      <c r="A2924" s="2" t="s">
        <v>2923</v>
      </c>
    </row>
    <row r="2925" spans="1:1" ht="13" x14ac:dyDescent="0.15">
      <c r="A2925" s="2" t="s">
        <v>2924</v>
      </c>
    </row>
    <row r="2926" spans="1:1" ht="13" x14ac:dyDescent="0.15">
      <c r="A2926" s="2" t="s">
        <v>2925</v>
      </c>
    </row>
    <row r="2927" spans="1:1" ht="13" x14ac:dyDescent="0.15">
      <c r="A2927" s="2" t="s">
        <v>2926</v>
      </c>
    </row>
    <row r="2928" spans="1:1" ht="13" x14ac:dyDescent="0.15">
      <c r="A2928" s="2" t="s">
        <v>2927</v>
      </c>
    </row>
    <row r="2929" spans="1:1" ht="13" x14ac:dyDescent="0.15">
      <c r="A2929" s="2" t="s">
        <v>2928</v>
      </c>
    </row>
    <row r="2930" spans="1:1" ht="13" x14ac:dyDescent="0.15">
      <c r="A2930" s="2" t="s">
        <v>2929</v>
      </c>
    </row>
    <row r="2931" spans="1:1" ht="13" x14ac:dyDescent="0.15">
      <c r="A2931" s="2" t="s">
        <v>2930</v>
      </c>
    </row>
    <row r="2932" spans="1:1" ht="13" x14ac:dyDescent="0.15">
      <c r="A2932" s="2" t="s">
        <v>2931</v>
      </c>
    </row>
    <row r="2933" spans="1:1" ht="13" x14ac:dyDescent="0.15">
      <c r="A2933" s="2" t="s">
        <v>2932</v>
      </c>
    </row>
    <row r="2934" spans="1:1" ht="13" x14ac:dyDescent="0.15">
      <c r="A2934" s="2" t="s">
        <v>2933</v>
      </c>
    </row>
    <row r="2935" spans="1:1" ht="13" x14ac:dyDescent="0.15">
      <c r="A2935" s="2" t="s">
        <v>2934</v>
      </c>
    </row>
    <row r="2936" spans="1:1" ht="13" x14ac:dyDescent="0.15">
      <c r="A2936" s="2" t="s">
        <v>2935</v>
      </c>
    </row>
    <row r="2937" spans="1:1" ht="13" x14ac:dyDescent="0.15">
      <c r="A2937" s="2" t="s">
        <v>2936</v>
      </c>
    </row>
    <row r="2938" spans="1:1" ht="13" x14ac:dyDescent="0.15">
      <c r="A2938" s="2" t="s">
        <v>2937</v>
      </c>
    </row>
    <row r="2939" spans="1:1" ht="13" x14ac:dyDescent="0.15">
      <c r="A2939" s="2" t="s">
        <v>2938</v>
      </c>
    </row>
    <row r="2940" spans="1:1" ht="13" x14ac:dyDescent="0.15">
      <c r="A2940" s="2" t="s">
        <v>2939</v>
      </c>
    </row>
    <row r="2941" spans="1:1" ht="13" x14ac:dyDescent="0.15">
      <c r="A2941" s="2" t="s">
        <v>2940</v>
      </c>
    </row>
    <row r="2942" spans="1:1" ht="13" x14ac:dyDescent="0.15">
      <c r="A2942" s="2" t="s">
        <v>2941</v>
      </c>
    </row>
    <row r="2943" spans="1:1" ht="13" x14ac:dyDescent="0.15">
      <c r="A2943" s="2" t="s">
        <v>2942</v>
      </c>
    </row>
    <row r="2944" spans="1:1" ht="13" x14ac:dyDescent="0.15">
      <c r="A2944" s="2" t="s">
        <v>2943</v>
      </c>
    </row>
    <row r="2945" spans="1:1" ht="13" x14ac:dyDescent="0.15">
      <c r="A2945" s="2" t="s">
        <v>2944</v>
      </c>
    </row>
    <row r="2946" spans="1:1" ht="13" x14ac:dyDescent="0.15">
      <c r="A2946" s="2" t="s">
        <v>2945</v>
      </c>
    </row>
    <row r="2947" spans="1:1" ht="13" x14ac:dyDescent="0.15">
      <c r="A2947" s="2" t="s">
        <v>2946</v>
      </c>
    </row>
    <row r="2948" spans="1:1" ht="13" x14ac:dyDescent="0.15">
      <c r="A2948" s="2" t="s">
        <v>2947</v>
      </c>
    </row>
    <row r="2949" spans="1:1" ht="13" x14ac:dyDescent="0.15">
      <c r="A2949" s="2" t="s">
        <v>2948</v>
      </c>
    </row>
    <row r="2950" spans="1:1" ht="13" x14ac:dyDescent="0.15">
      <c r="A2950" s="2" t="s">
        <v>2949</v>
      </c>
    </row>
    <row r="2951" spans="1:1" ht="13" x14ac:dyDescent="0.15">
      <c r="A2951" s="2" t="s">
        <v>2950</v>
      </c>
    </row>
    <row r="2952" spans="1:1" ht="13" x14ac:dyDescent="0.15">
      <c r="A2952" s="2" t="s">
        <v>2951</v>
      </c>
    </row>
    <row r="2953" spans="1:1" ht="13" x14ac:dyDescent="0.15">
      <c r="A2953" s="2" t="s">
        <v>2952</v>
      </c>
    </row>
    <row r="2954" spans="1:1" ht="13" x14ac:dyDescent="0.15">
      <c r="A2954" s="2" t="s">
        <v>2953</v>
      </c>
    </row>
    <row r="2955" spans="1:1" ht="13" x14ac:dyDescent="0.15">
      <c r="A2955" s="2" t="s">
        <v>2954</v>
      </c>
    </row>
    <row r="2956" spans="1:1" ht="13" x14ac:dyDescent="0.15">
      <c r="A2956" s="2" t="s">
        <v>2955</v>
      </c>
    </row>
    <row r="2957" spans="1:1" ht="13" x14ac:dyDescent="0.15">
      <c r="A2957" s="2" t="s">
        <v>2956</v>
      </c>
    </row>
    <row r="2958" spans="1:1" ht="13" x14ac:dyDescent="0.15">
      <c r="A2958" s="2" t="s">
        <v>2957</v>
      </c>
    </row>
    <row r="2959" spans="1:1" ht="13" x14ac:dyDescent="0.15">
      <c r="A2959" s="2" t="s">
        <v>2958</v>
      </c>
    </row>
    <row r="2960" spans="1:1" ht="13" x14ac:dyDescent="0.15">
      <c r="A2960" s="2" t="s">
        <v>2959</v>
      </c>
    </row>
    <row r="2961" spans="1:1" ht="13" x14ac:dyDescent="0.15">
      <c r="A2961" s="2" t="s">
        <v>2960</v>
      </c>
    </row>
    <row r="2962" spans="1:1" ht="13" x14ac:dyDescent="0.15">
      <c r="A2962" s="2" t="s">
        <v>2961</v>
      </c>
    </row>
    <row r="2963" spans="1:1" ht="13" x14ac:dyDescent="0.15">
      <c r="A2963" s="2" t="s">
        <v>2962</v>
      </c>
    </row>
    <row r="2964" spans="1:1" ht="13" x14ac:dyDescent="0.15">
      <c r="A2964" s="2" t="s">
        <v>2963</v>
      </c>
    </row>
    <row r="2965" spans="1:1" ht="13" x14ac:dyDescent="0.15">
      <c r="A2965" s="2" t="s">
        <v>2964</v>
      </c>
    </row>
    <row r="2966" spans="1:1" ht="13" x14ac:dyDescent="0.15">
      <c r="A2966" s="2" t="s">
        <v>2965</v>
      </c>
    </row>
    <row r="2967" spans="1:1" ht="13" x14ac:dyDescent="0.15">
      <c r="A2967" s="2" t="s">
        <v>2966</v>
      </c>
    </row>
    <row r="2968" spans="1:1" ht="13" x14ac:dyDescent="0.15">
      <c r="A2968" s="2" t="s">
        <v>2967</v>
      </c>
    </row>
    <row r="2969" spans="1:1" ht="13" x14ac:dyDescent="0.15">
      <c r="A2969" s="2" t="s">
        <v>2968</v>
      </c>
    </row>
    <row r="2970" spans="1:1" ht="13" x14ac:dyDescent="0.15">
      <c r="A2970" s="2" t="s">
        <v>2969</v>
      </c>
    </row>
    <row r="2971" spans="1:1" ht="13" x14ac:dyDescent="0.15">
      <c r="A2971" s="2" t="s">
        <v>2970</v>
      </c>
    </row>
    <row r="2972" spans="1:1" ht="13" x14ac:dyDescent="0.15">
      <c r="A2972" s="2" t="s">
        <v>2971</v>
      </c>
    </row>
    <row r="2973" spans="1:1" ht="13" x14ac:dyDescent="0.15">
      <c r="A2973" s="2" t="s">
        <v>2972</v>
      </c>
    </row>
    <row r="2974" spans="1:1" ht="13" x14ac:dyDescent="0.15">
      <c r="A2974" s="2" t="s">
        <v>2973</v>
      </c>
    </row>
    <row r="2975" spans="1:1" ht="13" x14ac:dyDescent="0.15">
      <c r="A2975" s="2" t="s">
        <v>2974</v>
      </c>
    </row>
    <row r="2976" spans="1:1" ht="13" x14ac:dyDescent="0.15">
      <c r="A2976" s="2" t="s">
        <v>2975</v>
      </c>
    </row>
    <row r="2977" spans="1:1" ht="13" x14ac:dyDescent="0.15">
      <c r="A2977" s="2" t="s">
        <v>2976</v>
      </c>
    </row>
    <row r="2978" spans="1:1" ht="13" x14ac:dyDescent="0.15">
      <c r="A2978" s="2" t="s">
        <v>2977</v>
      </c>
    </row>
    <row r="2979" spans="1:1" ht="13" x14ac:dyDescent="0.15">
      <c r="A2979" s="2" t="s">
        <v>2978</v>
      </c>
    </row>
    <row r="2980" spans="1:1" ht="13" x14ac:dyDescent="0.15">
      <c r="A2980" s="2" t="s">
        <v>2979</v>
      </c>
    </row>
    <row r="2981" spans="1:1" ht="13" x14ac:dyDescent="0.15">
      <c r="A2981" s="2" t="s">
        <v>2980</v>
      </c>
    </row>
    <row r="2982" spans="1:1" ht="13" x14ac:dyDescent="0.15">
      <c r="A2982" s="2" t="s">
        <v>2981</v>
      </c>
    </row>
    <row r="2983" spans="1:1" ht="13" x14ac:dyDescent="0.15">
      <c r="A2983" s="2" t="s">
        <v>2982</v>
      </c>
    </row>
    <row r="2984" spans="1:1" ht="13" x14ac:dyDescent="0.15">
      <c r="A2984" s="2" t="s">
        <v>2983</v>
      </c>
    </row>
    <row r="2985" spans="1:1" ht="13" x14ac:dyDescent="0.15">
      <c r="A2985" s="2" t="s">
        <v>2984</v>
      </c>
    </row>
    <row r="2986" spans="1:1" ht="13" x14ac:dyDescent="0.15">
      <c r="A2986" s="2" t="s">
        <v>2985</v>
      </c>
    </row>
    <row r="2987" spans="1:1" ht="13" x14ac:dyDescent="0.15">
      <c r="A2987" s="2" t="s">
        <v>2986</v>
      </c>
    </row>
    <row r="2988" spans="1:1" ht="13" x14ac:dyDescent="0.15">
      <c r="A2988" s="2" t="s">
        <v>2987</v>
      </c>
    </row>
    <row r="2989" spans="1:1" ht="13" x14ac:dyDescent="0.15">
      <c r="A2989" s="2" t="s">
        <v>2988</v>
      </c>
    </row>
    <row r="2990" spans="1:1" ht="13" x14ac:dyDescent="0.15">
      <c r="A2990" s="2" t="s">
        <v>2989</v>
      </c>
    </row>
    <row r="2991" spans="1:1" ht="13" x14ac:dyDescent="0.15">
      <c r="A2991" s="2" t="s">
        <v>2990</v>
      </c>
    </row>
    <row r="2992" spans="1:1" ht="13" x14ac:dyDescent="0.15">
      <c r="A2992" s="2" t="s">
        <v>2991</v>
      </c>
    </row>
    <row r="2993" spans="1:1" ht="13" x14ac:dyDescent="0.15">
      <c r="A2993" s="2" t="s">
        <v>2992</v>
      </c>
    </row>
    <row r="2994" spans="1:1" ht="13" x14ac:dyDescent="0.15">
      <c r="A2994" s="2" t="s">
        <v>2993</v>
      </c>
    </row>
    <row r="2995" spans="1:1" ht="13" x14ac:dyDescent="0.15">
      <c r="A2995" s="2" t="s">
        <v>2994</v>
      </c>
    </row>
    <row r="2996" spans="1:1" ht="13" x14ac:dyDescent="0.15">
      <c r="A2996" s="2" t="s">
        <v>2995</v>
      </c>
    </row>
    <row r="2997" spans="1:1" ht="13" x14ac:dyDescent="0.15">
      <c r="A2997" s="2" t="s">
        <v>2996</v>
      </c>
    </row>
    <row r="2998" spans="1:1" ht="13" x14ac:dyDescent="0.15">
      <c r="A2998" s="2" t="s">
        <v>2997</v>
      </c>
    </row>
    <row r="2999" spans="1:1" ht="13" x14ac:dyDescent="0.15">
      <c r="A2999" s="2" t="s">
        <v>2998</v>
      </c>
    </row>
    <row r="3000" spans="1:1" ht="13" x14ac:dyDescent="0.15">
      <c r="A3000" s="2" t="s">
        <v>2999</v>
      </c>
    </row>
    <row r="3001" spans="1:1" ht="13" x14ac:dyDescent="0.15">
      <c r="A3001" s="2" t="s">
        <v>3000</v>
      </c>
    </row>
    <row r="3002" spans="1:1" ht="13" x14ac:dyDescent="0.15">
      <c r="A3002" s="2" t="s">
        <v>3001</v>
      </c>
    </row>
    <row r="3003" spans="1:1" ht="13" x14ac:dyDescent="0.15">
      <c r="A3003" s="2" t="s">
        <v>3002</v>
      </c>
    </row>
    <row r="3004" spans="1:1" ht="13" x14ac:dyDescent="0.15">
      <c r="A3004" s="2" t="s">
        <v>3003</v>
      </c>
    </row>
    <row r="3005" spans="1:1" ht="13" x14ac:dyDescent="0.15">
      <c r="A3005" s="2" t="s">
        <v>3004</v>
      </c>
    </row>
    <row r="3006" spans="1:1" ht="13" x14ac:dyDescent="0.15">
      <c r="A3006" s="2" t="s">
        <v>3005</v>
      </c>
    </row>
    <row r="3007" spans="1:1" ht="13" x14ac:dyDescent="0.15">
      <c r="A3007" s="2" t="s">
        <v>3006</v>
      </c>
    </row>
    <row r="3008" spans="1:1" ht="13" x14ac:dyDescent="0.15">
      <c r="A3008" s="2" t="s">
        <v>3007</v>
      </c>
    </row>
    <row r="3009" spans="1:1" ht="13" x14ac:dyDescent="0.15">
      <c r="A3009" s="2" t="s">
        <v>3008</v>
      </c>
    </row>
    <row r="3010" spans="1:1" ht="13" x14ac:dyDescent="0.15">
      <c r="A3010" s="2" t="s">
        <v>3009</v>
      </c>
    </row>
    <row r="3011" spans="1:1" ht="13" x14ac:dyDescent="0.15">
      <c r="A3011" s="2" t="s">
        <v>3010</v>
      </c>
    </row>
    <row r="3012" spans="1:1" ht="13" x14ac:dyDescent="0.15">
      <c r="A3012" s="2" t="s">
        <v>3011</v>
      </c>
    </row>
    <row r="3013" spans="1:1" ht="13" x14ac:dyDescent="0.15">
      <c r="A3013" s="2" t="s">
        <v>3012</v>
      </c>
    </row>
    <row r="3014" spans="1:1" ht="13" x14ac:dyDescent="0.15">
      <c r="A3014" s="2" t="s">
        <v>3013</v>
      </c>
    </row>
    <row r="3015" spans="1:1" ht="13" x14ac:dyDescent="0.15">
      <c r="A3015" s="2" t="s">
        <v>3014</v>
      </c>
    </row>
    <row r="3016" spans="1:1" ht="13" x14ac:dyDescent="0.15">
      <c r="A3016" s="2" t="s">
        <v>3015</v>
      </c>
    </row>
    <row r="3017" spans="1:1" ht="13" x14ac:dyDescent="0.15">
      <c r="A3017" s="2" t="s">
        <v>3016</v>
      </c>
    </row>
    <row r="3018" spans="1:1" ht="13" x14ac:dyDescent="0.15">
      <c r="A3018" s="2" t="s">
        <v>3017</v>
      </c>
    </row>
    <row r="3019" spans="1:1" ht="13" x14ac:dyDescent="0.15">
      <c r="A3019" s="2" t="s">
        <v>3018</v>
      </c>
    </row>
    <row r="3020" spans="1:1" ht="13" x14ac:dyDescent="0.15">
      <c r="A3020" s="2" t="s">
        <v>3019</v>
      </c>
    </row>
    <row r="3021" spans="1:1" ht="13" x14ac:dyDescent="0.15">
      <c r="A3021" s="2" t="s">
        <v>3020</v>
      </c>
    </row>
    <row r="3022" spans="1:1" ht="13" x14ac:dyDescent="0.15">
      <c r="A3022" s="2" t="s">
        <v>3021</v>
      </c>
    </row>
    <row r="3023" spans="1:1" ht="13" x14ac:dyDescent="0.15">
      <c r="A3023" s="2" t="s">
        <v>3022</v>
      </c>
    </row>
    <row r="3024" spans="1:1" ht="13" x14ac:dyDescent="0.15">
      <c r="A3024" s="2" t="s">
        <v>3023</v>
      </c>
    </row>
    <row r="3025" spans="1:1" ht="13" x14ac:dyDescent="0.15">
      <c r="A3025" s="2" t="s">
        <v>3024</v>
      </c>
    </row>
    <row r="3026" spans="1:1" ht="13" x14ac:dyDescent="0.15">
      <c r="A3026" s="2" t="s">
        <v>3025</v>
      </c>
    </row>
    <row r="3027" spans="1:1" ht="13" x14ac:dyDescent="0.15">
      <c r="A3027" s="2" t="s">
        <v>3026</v>
      </c>
    </row>
    <row r="3028" spans="1:1" ht="13" x14ac:dyDescent="0.15">
      <c r="A3028" s="2" t="s">
        <v>3027</v>
      </c>
    </row>
    <row r="3029" spans="1:1" ht="13" x14ac:dyDescent="0.15">
      <c r="A3029" s="2" t="s">
        <v>3028</v>
      </c>
    </row>
    <row r="3030" spans="1:1" ht="13" x14ac:dyDescent="0.15">
      <c r="A3030" s="2" t="s">
        <v>3029</v>
      </c>
    </row>
    <row r="3031" spans="1:1" ht="13" x14ac:dyDescent="0.15">
      <c r="A3031" s="2" t="s">
        <v>3030</v>
      </c>
    </row>
    <row r="3032" spans="1:1" ht="13" x14ac:dyDescent="0.15">
      <c r="A3032" s="2" t="s">
        <v>3031</v>
      </c>
    </row>
    <row r="3033" spans="1:1" ht="13" x14ac:dyDescent="0.15">
      <c r="A3033" s="2" t="s">
        <v>3032</v>
      </c>
    </row>
    <row r="3034" spans="1:1" ht="13" x14ac:dyDescent="0.15">
      <c r="A3034" s="2" t="s">
        <v>3033</v>
      </c>
    </row>
    <row r="3035" spans="1:1" ht="13" x14ac:dyDescent="0.15">
      <c r="A3035" s="2" t="s">
        <v>3034</v>
      </c>
    </row>
    <row r="3036" spans="1:1" ht="13" x14ac:dyDescent="0.15">
      <c r="A3036" s="2" t="s">
        <v>3035</v>
      </c>
    </row>
    <row r="3037" spans="1:1" ht="13" x14ac:dyDescent="0.15">
      <c r="A3037" s="2" t="s">
        <v>3036</v>
      </c>
    </row>
    <row r="3038" spans="1:1" ht="13" x14ac:dyDescent="0.15">
      <c r="A3038" s="2" t="s">
        <v>3037</v>
      </c>
    </row>
    <row r="3039" spans="1:1" ht="13" x14ac:dyDescent="0.15">
      <c r="A3039" s="2" t="s">
        <v>3038</v>
      </c>
    </row>
    <row r="3040" spans="1:1" ht="13" x14ac:dyDescent="0.15">
      <c r="A3040" s="2" t="s">
        <v>3039</v>
      </c>
    </row>
    <row r="3041" spans="1:1" ht="13" x14ac:dyDescent="0.15">
      <c r="A3041" s="2" t="s">
        <v>3040</v>
      </c>
    </row>
    <row r="3042" spans="1:1" ht="13" x14ac:dyDescent="0.15">
      <c r="A3042" s="2" t="s">
        <v>3041</v>
      </c>
    </row>
    <row r="3043" spans="1:1" ht="13" x14ac:dyDescent="0.15">
      <c r="A3043" s="2" t="s">
        <v>3042</v>
      </c>
    </row>
    <row r="3044" spans="1:1" ht="13" x14ac:dyDescent="0.15">
      <c r="A3044" s="2" t="s">
        <v>3043</v>
      </c>
    </row>
    <row r="3045" spans="1:1" ht="13" x14ac:dyDescent="0.15">
      <c r="A3045" s="2" t="s">
        <v>3044</v>
      </c>
    </row>
    <row r="3046" spans="1:1" ht="13" x14ac:dyDescent="0.15">
      <c r="A3046" s="2" t="s">
        <v>3045</v>
      </c>
    </row>
    <row r="3047" spans="1:1" ht="13" x14ac:dyDescent="0.15">
      <c r="A3047" s="2" t="s">
        <v>3046</v>
      </c>
    </row>
    <row r="3048" spans="1:1" ht="13" x14ac:dyDescent="0.15">
      <c r="A3048" s="2" t="s">
        <v>3047</v>
      </c>
    </row>
    <row r="3049" spans="1:1" ht="13" x14ac:dyDescent="0.15">
      <c r="A3049" s="2" t="s">
        <v>3048</v>
      </c>
    </row>
    <row r="3050" spans="1:1" ht="13" x14ac:dyDescent="0.15">
      <c r="A3050" s="2" t="s">
        <v>3049</v>
      </c>
    </row>
    <row r="3051" spans="1:1" ht="13" x14ac:dyDescent="0.15">
      <c r="A3051" s="2" t="s">
        <v>3050</v>
      </c>
    </row>
    <row r="3052" spans="1:1" ht="13" x14ac:dyDescent="0.15">
      <c r="A3052" s="2" t="s">
        <v>3051</v>
      </c>
    </row>
    <row r="3053" spans="1:1" ht="13" x14ac:dyDescent="0.15">
      <c r="A3053" s="2" t="s">
        <v>3052</v>
      </c>
    </row>
    <row r="3054" spans="1:1" ht="13" x14ac:dyDescent="0.15">
      <c r="A3054" s="2" t="s">
        <v>3053</v>
      </c>
    </row>
    <row r="3055" spans="1:1" ht="13" x14ac:dyDescent="0.15">
      <c r="A3055" s="2" t="s">
        <v>3054</v>
      </c>
    </row>
    <row r="3056" spans="1:1" ht="13" x14ac:dyDescent="0.15">
      <c r="A3056" s="2" t="s">
        <v>3055</v>
      </c>
    </row>
    <row r="3057" spans="1:1" ht="13" x14ac:dyDescent="0.15">
      <c r="A3057" s="2" t="s">
        <v>3056</v>
      </c>
    </row>
    <row r="3058" spans="1:1" ht="13" x14ac:dyDescent="0.15">
      <c r="A3058" s="2" t="s">
        <v>3057</v>
      </c>
    </row>
    <row r="3059" spans="1:1" ht="13" x14ac:dyDescent="0.15">
      <c r="A3059" s="2" t="s">
        <v>3058</v>
      </c>
    </row>
    <row r="3060" spans="1:1" ht="13" x14ac:dyDescent="0.15">
      <c r="A3060" s="2" t="s">
        <v>3059</v>
      </c>
    </row>
    <row r="3061" spans="1:1" ht="13" x14ac:dyDescent="0.15">
      <c r="A3061" s="2" t="s">
        <v>3060</v>
      </c>
    </row>
    <row r="3062" spans="1:1" ht="13" x14ac:dyDescent="0.15">
      <c r="A3062" s="2" t="s">
        <v>3061</v>
      </c>
    </row>
    <row r="3063" spans="1:1" ht="13" x14ac:dyDescent="0.15">
      <c r="A3063" s="2" t="s">
        <v>3062</v>
      </c>
    </row>
    <row r="3064" spans="1:1" ht="13" x14ac:dyDescent="0.15">
      <c r="A3064" s="2" t="s">
        <v>3063</v>
      </c>
    </row>
    <row r="3065" spans="1:1" ht="13" x14ac:dyDescent="0.15">
      <c r="A3065" s="2" t="s">
        <v>3064</v>
      </c>
    </row>
    <row r="3066" spans="1:1" ht="13" x14ac:dyDescent="0.15">
      <c r="A3066" s="2" t="s">
        <v>3065</v>
      </c>
    </row>
    <row r="3067" spans="1:1" ht="13" x14ac:dyDescent="0.15">
      <c r="A3067" s="2" t="s">
        <v>3066</v>
      </c>
    </row>
    <row r="3068" spans="1:1" ht="13" x14ac:dyDescent="0.15">
      <c r="A3068" s="2" t="s">
        <v>3067</v>
      </c>
    </row>
    <row r="3069" spans="1:1" ht="13" x14ac:dyDescent="0.15">
      <c r="A3069" s="2" t="s">
        <v>3068</v>
      </c>
    </row>
    <row r="3070" spans="1:1" ht="13" x14ac:dyDescent="0.15">
      <c r="A3070" s="2" t="s">
        <v>3069</v>
      </c>
    </row>
    <row r="3071" spans="1:1" ht="13" x14ac:dyDescent="0.15">
      <c r="A3071" s="2" t="s">
        <v>3070</v>
      </c>
    </row>
    <row r="3072" spans="1:1" ht="13" x14ac:dyDescent="0.15">
      <c r="A3072" s="2" t="s">
        <v>3071</v>
      </c>
    </row>
    <row r="3073" spans="1:1" ht="13" x14ac:dyDescent="0.15">
      <c r="A3073" s="2" t="s">
        <v>3072</v>
      </c>
    </row>
    <row r="3074" spans="1:1" ht="13" x14ac:dyDescent="0.15">
      <c r="A3074" s="2" t="s">
        <v>3073</v>
      </c>
    </row>
    <row r="3075" spans="1:1" ht="13" x14ac:dyDescent="0.15">
      <c r="A3075" s="2" t="s">
        <v>3074</v>
      </c>
    </row>
    <row r="3076" spans="1:1" ht="13" x14ac:dyDescent="0.15">
      <c r="A3076" s="2" t="s">
        <v>3075</v>
      </c>
    </row>
    <row r="3077" spans="1:1" ht="13" x14ac:dyDescent="0.15">
      <c r="A3077" s="2" t="s">
        <v>3076</v>
      </c>
    </row>
    <row r="3078" spans="1:1" ht="13" x14ac:dyDescent="0.15">
      <c r="A3078" s="2" t="s">
        <v>3077</v>
      </c>
    </row>
    <row r="3079" spans="1:1" ht="13" x14ac:dyDescent="0.15">
      <c r="A3079" s="2" t="s">
        <v>3078</v>
      </c>
    </row>
    <row r="3080" spans="1:1" ht="13" x14ac:dyDescent="0.15">
      <c r="A3080" s="2" t="s">
        <v>3079</v>
      </c>
    </row>
    <row r="3081" spans="1:1" ht="13" x14ac:dyDescent="0.15">
      <c r="A3081" s="2" t="s">
        <v>3080</v>
      </c>
    </row>
    <row r="3082" spans="1:1" ht="13" x14ac:dyDescent="0.15">
      <c r="A3082" s="2" t="s">
        <v>3081</v>
      </c>
    </row>
    <row r="3083" spans="1:1" ht="13" x14ac:dyDescent="0.15">
      <c r="A3083" s="2" t="s">
        <v>3082</v>
      </c>
    </row>
    <row r="3084" spans="1:1" ht="13" x14ac:dyDescent="0.15">
      <c r="A3084" s="2" t="s">
        <v>3083</v>
      </c>
    </row>
    <row r="3085" spans="1:1" ht="13" x14ac:dyDescent="0.15">
      <c r="A3085" s="2" t="s">
        <v>3084</v>
      </c>
    </row>
    <row r="3086" spans="1:1" ht="13" x14ac:dyDescent="0.15">
      <c r="A3086" s="2" t="s">
        <v>3085</v>
      </c>
    </row>
    <row r="3087" spans="1:1" ht="13" x14ac:dyDescent="0.15">
      <c r="A3087" s="2" t="s">
        <v>3086</v>
      </c>
    </row>
    <row r="3088" spans="1:1" ht="13" x14ac:dyDescent="0.15">
      <c r="A3088" s="2" t="s">
        <v>3087</v>
      </c>
    </row>
    <row r="3089" spans="1:1" ht="13" x14ac:dyDescent="0.15">
      <c r="A3089" s="2" t="s">
        <v>3088</v>
      </c>
    </row>
    <row r="3090" spans="1:1" ht="13" x14ac:dyDescent="0.15">
      <c r="A3090" s="2" t="s">
        <v>3089</v>
      </c>
    </row>
    <row r="3091" spans="1:1" ht="13" x14ac:dyDescent="0.15">
      <c r="A3091" s="2" t="s">
        <v>3090</v>
      </c>
    </row>
    <row r="3092" spans="1:1" ht="13" x14ac:dyDescent="0.15">
      <c r="A3092" s="2" t="s">
        <v>3091</v>
      </c>
    </row>
    <row r="3093" spans="1:1" ht="13" x14ac:dyDescent="0.15">
      <c r="A3093" s="2" t="s">
        <v>3092</v>
      </c>
    </row>
    <row r="3094" spans="1:1" ht="13" x14ac:dyDescent="0.15">
      <c r="A3094" s="2" t="s">
        <v>3093</v>
      </c>
    </row>
    <row r="3095" spans="1:1" ht="13" x14ac:dyDescent="0.15">
      <c r="A3095" s="2" t="s">
        <v>3094</v>
      </c>
    </row>
    <row r="3096" spans="1:1" ht="13" x14ac:dyDescent="0.15">
      <c r="A3096" s="2" t="s">
        <v>3095</v>
      </c>
    </row>
    <row r="3097" spans="1:1" ht="13" x14ac:dyDescent="0.15">
      <c r="A3097" s="2" t="s">
        <v>3096</v>
      </c>
    </row>
    <row r="3098" spans="1:1" ht="13" x14ac:dyDescent="0.15">
      <c r="A3098" s="2" t="s">
        <v>3097</v>
      </c>
    </row>
    <row r="3099" spans="1:1" ht="13" x14ac:dyDescent="0.15">
      <c r="A3099" s="2" t="s">
        <v>3098</v>
      </c>
    </row>
    <row r="3100" spans="1:1" ht="13" x14ac:dyDescent="0.15">
      <c r="A3100" s="2" t="s">
        <v>3099</v>
      </c>
    </row>
    <row r="3101" spans="1:1" ht="13" x14ac:dyDescent="0.15">
      <c r="A3101" s="2" t="s">
        <v>3100</v>
      </c>
    </row>
    <row r="3102" spans="1:1" ht="13" x14ac:dyDescent="0.15">
      <c r="A3102" s="2" t="s">
        <v>3101</v>
      </c>
    </row>
    <row r="3103" spans="1:1" ht="13" x14ac:dyDescent="0.15">
      <c r="A3103" s="2" t="s">
        <v>3102</v>
      </c>
    </row>
    <row r="3104" spans="1:1" ht="13" x14ac:dyDescent="0.15">
      <c r="A3104" s="2" t="s">
        <v>3103</v>
      </c>
    </row>
    <row r="3105" spans="1:1" ht="13" x14ac:dyDescent="0.15">
      <c r="A3105" s="2" t="s">
        <v>3104</v>
      </c>
    </row>
    <row r="3106" spans="1:1" ht="13" x14ac:dyDescent="0.15">
      <c r="A3106" s="2" t="s">
        <v>3105</v>
      </c>
    </row>
    <row r="3107" spans="1:1" ht="13" x14ac:dyDescent="0.15">
      <c r="A3107" s="2" t="s">
        <v>3106</v>
      </c>
    </row>
    <row r="3108" spans="1:1" ht="13" x14ac:dyDescent="0.15">
      <c r="A3108" s="2" t="s">
        <v>3107</v>
      </c>
    </row>
    <row r="3109" spans="1:1" ht="13" x14ac:dyDescent="0.15">
      <c r="A3109" s="2" t="s">
        <v>3108</v>
      </c>
    </row>
    <row r="3110" spans="1:1" ht="13" x14ac:dyDescent="0.15">
      <c r="A3110" s="2" t="s">
        <v>3109</v>
      </c>
    </row>
    <row r="3111" spans="1:1" ht="13" x14ac:dyDescent="0.15">
      <c r="A3111" s="2" t="s">
        <v>3110</v>
      </c>
    </row>
    <row r="3112" spans="1:1" ht="13" x14ac:dyDescent="0.15">
      <c r="A3112" s="2" t="s">
        <v>3111</v>
      </c>
    </row>
    <row r="3113" spans="1:1" ht="13" x14ac:dyDescent="0.15">
      <c r="A3113" s="2" t="s">
        <v>3112</v>
      </c>
    </row>
    <row r="3114" spans="1:1" ht="13" x14ac:dyDescent="0.15">
      <c r="A3114" s="2" t="s">
        <v>3113</v>
      </c>
    </row>
    <row r="3115" spans="1:1" ht="13" x14ac:dyDescent="0.15">
      <c r="A3115" s="2" t="s">
        <v>3114</v>
      </c>
    </row>
    <row r="3116" spans="1:1" ht="13" x14ac:dyDescent="0.15">
      <c r="A3116" s="2" t="s">
        <v>3115</v>
      </c>
    </row>
    <row r="3117" spans="1:1" ht="13" x14ac:dyDescent="0.15">
      <c r="A3117" s="2" t="s">
        <v>3116</v>
      </c>
    </row>
    <row r="3118" spans="1:1" ht="13" x14ac:dyDescent="0.15">
      <c r="A3118" s="2" t="s">
        <v>3117</v>
      </c>
    </row>
    <row r="3119" spans="1:1" ht="13" x14ac:dyDescent="0.15">
      <c r="A3119" s="2" t="s">
        <v>3118</v>
      </c>
    </row>
    <row r="3120" spans="1:1" ht="13" x14ac:dyDescent="0.15">
      <c r="A3120" s="2" t="s">
        <v>3119</v>
      </c>
    </row>
    <row r="3121" spans="1:1" ht="13" x14ac:dyDescent="0.15">
      <c r="A3121" s="2" t="s">
        <v>3120</v>
      </c>
    </row>
    <row r="3122" spans="1:1" ht="13" x14ac:dyDescent="0.15">
      <c r="A3122" s="2" t="s">
        <v>3121</v>
      </c>
    </row>
    <row r="3123" spans="1:1" ht="13" x14ac:dyDescent="0.15">
      <c r="A3123" s="2" t="s">
        <v>3122</v>
      </c>
    </row>
    <row r="3124" spans="1:1" ht="13" x14ac:dyDescent="0.15">
      <c r="A3124" s="2" t="s">
        <v>3123</v>
      </c>
    </row>
    <row r="3125" spans="1:1" ht="13" x14ac:dyDescent="0.15">
      <c r="A3125" s="2" t="s">
        <v>3124</v>
      </c>
    </row>
    <row r="3126" spans="1:1" ht="13" x14ac:dyDescent="0.15">
      <c r="A3126" s="2" t="s">
        <v>3125</v>
      </c>
    </row>
    <row r="3127" spans="1:1" ht="13" x14ac:dyDescent="0.15">
      <c r="A3127" s="2" t="s">
        <v>3126</v>
      </c>
    </row>
    <row r="3128" spans="1:1" ht="13" x14ac:dyDescent="0.15">
      <c r="A3128" s="2" t="s">
        <v>3127</v>
      </c>
    </row>
    <row r="3129" spans="1:1" ht="13" x14ac:dyDescent="0.15">
      <c r="A3129" s="2" t="s">
        <v>3128</v>
      </c>
    </row>
    <row r="3130" spans="1:1" ht="13" x14ac:dyDescent="0.15">
      <c r="A3130" s="2" t="s">
        <v>3129</v>
      </c>
    </row>
    <row r="3131" spans="1:1" ht="13" x14ac:dyDescent="0.15">
      <c r="A3131" s="2" t="s">
        <v>3130</v>
      </c>
    </row>
    <row r="3132" spans="1:1" ht="13" x14ac:dyDescent="0.15">
      <c r="A3132" s="2" t="s">
        <v>3131</v>
      </c>
    </row>
    <row r="3133" spans="1:1" ht="13" x14ac:dyDescent="0.15">
      <c r="A3133" s="2" t="s">
        <v>3132</v>
      </c>
    </row>
    <row r="3134" spans="1:1" ht="13" x14ac:dyDescent="0.15">
      <c r="A3134" s="2" t="s">
        <v>3133</v>
      </c>
    </row>
    <row r="3135" spans="1:1" ht="13" x14ac:dyDescent="0.15">
      <c r="A3135" s="2" t="s">
        <v>3134</v>
      </c>
    </row>
    <row r="3136" spans="1:1" ht="13" x14ac:dyDescent="0.15">
      <c r="A3136" s="2" t="s">
        <v>3135</v>
      </c>
    </row>
    <row r="3137" spans="1:1" ht="13" x14ac:dyDescent="0.15">
      <c r="A3137" s="2" t="s">
        <v>3136</v>
      </c>
    </row>
    <row r="3138" spans="1:1" ht="13" x14ac:dyDescent="0.15">
      <c r="A3138" s="2" t="s">
        <v>3137</v>
      </c>
    </row>
    <row r="3139" spans="1:1" ht="13" x14ac:dyDescent="0.15">
      <c r="A3139" s="2" t="s">
        <v>3138</v>
      </c>
    </row>
    <row r="3140" spans="1:1" ht="13" x14ac:dyDescent="0.15">
      <c r="A3140" s="2" t="s">
        <v>3139</v>
      </c>
    </row>
    <row r="3141" spans="1:1" ht="13" x14ac:dyDescent="0.15">
      <c r="A3141" s="2" t="s">
        <v>3140</v>
      </c>
    </row>
    <row r="3142" spans="1:1" ht="13" x14ac:dyDescent="0.15">
      <c r="A3142" s="2" t="s">
        <v>3141</v>
      </c>
    </row>
    <row r="3143" spans="1:1" ht="13" x14ac:dyDescent="0.15">
      <c r="A3143" s="2" t="s">
        <v>3142</v>
      </c>
    </row>
    <row r="3144" spans="1:1" ht="13" x14ac:dyDescent="0.15">
      <c r="A3144" s="2" t="s">
        <v>3143</v>
      </c>
    </row>
    <row r="3145" spans="1:1" ht="13" x14ac:dyDescent="0.15">
      <c r="A3145" s="2" t="s">
        <v>3144</v>
      </c>
    </row>
    <row r="3146" spans="1:1" ht="13" x14ac:dyDescent="0.15">
      <c r="A3146" s="2" t="s">
        <v>3145</v>
      </c>
    </row>
    <row r="3147" spans="1:1" ht="13" x14ac:dyDescent="0.15">
      <c r="A3147" s="2" t="s">
        <v>3146</v>
      </c>
    </row>
    <row r="3148" spans="1:1" ht="13" x14ac:dyDescent="0.15">
      <c r="A3148" s="2" t="s">
        <v>3147</v>
      </c>
    </row>
    <row r="3149" spans="1:1" ht="13" x14ac:dyDescent="0.15">
      <c r="A3149" s="2" t="s">
        <v>3148</v>
      </c>
    </row>
    <row r="3150" spans="1:1" ht="13" x14ac:dyDescent="0.15">
      <c r="A3150" s="2" t="s">
        <v>3149</v>
      </c>
    </row>
    <row r="3151" spans="1:1" ht="13" x14ac:dyDescent="0.15">
      <c r="A3151" s="2" t="s">
        <v>3150</v>
      </c>
    </row>
    <row r="3152" spans="1:1" ht="13" x14ac:dyDescent="0.15">
      <c r="A3152" s="2" t="s">
        <v>3151</v>
      </c>
    </row>
    <row r="3153" spans="1:1" ht="13" x14ac:dyDescent="0.15">
      <c r="A3153" s="2" t="s">
        <v>3152</v>
      </c>
    </row>
    <row r="3154" spans="1:1" ht="13" x14ac:dyDescent="0.15">
      <c r="A3154" s="2" t="s">
        <v>3153</v>
      </c>
    </row>
    <row r="3155" spans="1:1" ht="13" x14ac:dyDescent="0.15">
      <c r="A3155" s="2" t="s">
        <v>3154</v>
      </c>
    </row>
    <row r="3156" spans="1:1" ht="13" x14ac:dyDescent="0.15">
      <c r="A3156" s="2" t="s">
        <v>3155</v>
      </c>
    </row>
    <row r="3157" spans="1:1" ht="13" x14ac:dyDescent="0.15">
      <c r="A3157" s="2" t="s">
        <v>3156</v>
      </c>
    </row>
    <row r="3158" spans="1:1" ht="13" x14ac:dyDescent="0.15">
      <c r="A3158" s="2" t="s">
        <v>3157</v>
      </c>
    </row>
    <row r="3159" spans="1:1" ht="13" x14ac:dyDescent="0.15">
      <c r="A3159" s="2" t="s">
        <v>3158</v>
      </c>
    </row>
    <row r="3160" spans="1:1" ht="13" x14ac:dyDescent="0.15">
      <c r="A3160" s="2" t="s">
        <v>3159</v>
      </c>
    </row>
    <row r="3161" spans="1:1" ht="13" x14ac:dyDescent="0.15">
      <c r="A3161" s="2" t="s">
        <v>3160</v>
      </c>
    </row>
    <row r="3162" spans="1:1" ht="13" x14ac:dyDescent="0.15">
      <c r="A3162" s="2" t="s">
        <v>3161</v>
      </c>
    </row>
    <row r="3163" spans="1:1" ht="13" x14ac:dyDescent="0.15">
      <c r="A3163" s="2" t="s">
        <v>3162</v>
      </c>
    </row>
    <row r="3164" spans="1:1" ht="13" x14ac:dyDescent="0.15">
      <c r="A3164" s="2" t="s">
        <v>3163</v>
      </c>
    </row>
    <row r="3165" spans="1:1" ht="13" x14ac:dyDescent="0.15">
      <c r="A3165" s="2" t="s">
        <v>3164</v>
      </c>
    </row>
    <row r="3166" spans="1:1" ht="13" x14ac:dyDescent="0.15">
      <c r="A3166" s="2" t="s">
        <v>3165</v>
      </c>
    </row>
    <row r="3167" spans="1:1" ht="13" x14ac:dyDescent="0.15">
      <c r="A3167" s="2" t="s">
        <v>3166</v>
      </c>
    </row>
    <row r="3168" spans="1:1" ht="13" x14ac:dyDescent="0.15">
      <c r="A3168" s="2" t="s">
        <v>3167</v>
      </c>
    </row>
    <row r="3169" spans="1:1" ht="13" x14ac:dyDescent="0.15">
      <c r="A3169" s="2" t="s">
        <v>3168</v>
      </c>
    </row>
    <row r="3170" spans="1:1" ht="13" x14ac:dyDescent="0.15">
      <c r="A3170" s="2" t="s">
        <v>3169</v>
      </c>
    </row>
    <row r="3171" spans="1:1" ht="13" x14ac:dyDescent="0.15">
      <c r="A3171" s="2" t="s">
        <v>3170</v>
      </c>
    </row>
    <row r="3172" spans="1:1" ht="13" x14ac:dyDescent="0.15">
      <c r="A3172" s="2" t="s">
        <v>3171</v>
      </c>
    </row>
    <row r="3173" spans="1:1" ht="13" x14ac:dyDescent="0.15">
      <c r="A3173" s="2" t="s">
        <v>3172</v>
      </c>
    </row>
    <row r="3174" spans="1:1" ht="13" x14ac:dyDescent="0.15">
      <c r="A3174" s="2" t="s">
        <v>3173</v>
      </c>
    </row>
    <row r="3175" spans="1:1" ht="13" x14ac:dyDescent="0.15">
      <c r="A3175" s="2" t="s">
        <v>3174</v>
      </c>
    </row>
    <row r="3176" spans="1:1" ht="13" x14ac:dyDescent="0.15">
      <c r="A3176" s="2" t="s">
        <v>3175</v>
      </c>
    </row>
    <row r="3177" spans="1:1" ht="13" x14ac:dyDescent="0.15">
      <c r="A3177" s="2" t="s">
        <v>3176</v>
      </c>
    </row>
    <row r="3178" spans="1:1" ht="13" x14ac:dyDescent="0.15">
      <c r="A3178" s="2" t="s">
        <v>3177</v>
      </c>
    </row>
    <row r="3179" spans="1:1" ht="13" x14ac:dyDescent="0.15">
      <c r="A3179" s="2" t="s">
        <v>3178</v>
      </c>
    </row>
    <row r="3180" spans="1:1" ht="13" x14ac:dyDescent="0.15">
      <c r="A3180" s="2" t="s">
        <v>3179</v>
      </c>
    </row>
    <row r="3181" spans="1:1" ht="13" x14ac:dyDescent="0.15">
      <c r="A3181" s="2" t="s">
        <v>3180</v>
      </c>
    </row>
    <row r="3182" spans="1:1" ht="13" x14ac:dyDescent="0.15">
      <c r="A3182" s="2" t="s">
        <v>3181</v>
      </c>
    </row>
    <row r="3183" spans="1:1" ht="13" x14ac:dyDescent="0.15">
      <c r="A3183" s="2" t="s">
        <v>3182</v>
      </c>
    </row>
    <row r="3184" spans="1:1" ht="13" x14ac:dyDescent="0.15">
      <c r="A3184" s="2" t="s">
        <v>3183</v>
      </c>
    </row>
    <row r="3185" spans="1:1" ht="13" x14ac:dyDescent="0.15">
      <c r="A3185" s="2" t="s">
        <v>3184</v>
      </c>
    </row>
    <row r="3186" spans="1:1" ht="13" x14ac:dyDescent="0.15">
      <c r="A3186" s="2" t="s">
        <v>3185</v>
      </c>
    </row>
    <row r="3187" spans="1:1" ht="13" x14ac:dyDescent="0.15">
      <c r="A3187" s="2" t="s">
        <v>3186</v>
      </c>
    </row>
    <row r="3188" spans="1:1" ht="13" x14ac:dyDescent="0.15">
      <c r="A3188" s="2" t="s">
        <v>3187</v>
      </c>
    </row>
    <row r="3189" spans="1:1" ht="13" x14ac:dyDescent="0.15">
      <c r="A3189" s="2" t="s">
        <v>3188</v>
      </c>
    </row>
    <row r="3190" spans="1:1" ht="13" x14ac:dyDescent="0.15">
      <c r="A3190" s="2" t="s">
        <v>3189</v>
      </c>
    </row>
    <row r="3191" spans="1:1" ht="13" x14ac:dyDescent="0.15">
      <c r="A3191" s="2" t="s">
        <v>3190</v>
      </c>
    </row>
    <row r="3192" spans="1:1" ht="13" x14ac:dyDescent="0.15">
      <c r="A3192" s="2" t="s">
        <v>3191</v>
      </c>
    </row>
    <row r="3193" spans="1:1" ht="13" x14ac:dyDescent="0.15">
      <c r="A3193" s="2" t="s">
        <v>3192</v>
      </c>
    </row>
    <row r="3194" spans="1:1" ht="13" x14ac:dyDescent="0.15">
      <c r="A3194" s="2" t="s">
        <v>3193</v>
      </c>
    </row>
    <row r="3195" spans="1:1" ht="13" x14ac:dyDescent="0.15">
      <c r="A3195" s="2" t="s">
        <v>3194</v>
      </c>
    </row>
    <row r="3196" spans="1:1" ht="13" x14ac:dyDescent="0.15">
      <c r="A3196" s="2" t="s">
        <v>3195</v>
      </c>
    </row>
    <row r="3197" spans="1:1" ht="13" x14ac:dyDescent="0.15">
      <c r="A3197" s="2" t="s">
        <v>3196</v>
      </c>
    </row>
    <row r="3198" spans="1:1" ht="13" x14ac:dyDescent="0.15">
      <c r="A3198" s="2" t="s">
        <v>3197</v>
      </c>
    </row>
    <row r="3199" spans="1:1" ht="13" x14ac:dyDescent="0.15">
      <c r="A3199" s="2" t="s">
        <v>3198</v>
      </c>
    </row>
    <row r="3200" spans="1:1" ht="13" x14ac:dyDescent="0.15">
      <c r="A3200" s="2" t="s">
        <v>3199</v>
      </c>
    </row>
    <row r="3201" spans="1:1" ht="13" x14ac:dyDescent="0.15">
      <c r="A3201" s="2" t="s">
        <v>3200</v>
      </c>
    </row>
    <row r="3202" spans="1:1" ht="13" x14ac:dyDescent="0.15">
      <c r="A3202" s="2" t="s">
        <v>3201</v>
      </c>
    </row>
    <row r="3203" spans="1:1" ht="13" x14ac:dyDescent="0.15">
      <c r="A3203" s="2" t="s">
        <v>3202</v>
      </c>
    </row>
    <row r="3204" spans="1:1" ht="13" x14ac:dyDescent="0.15">
      <c r="A3204" s="2" t="s">
        <v>3203</v>
      </c>
    </row>
    <row r="3205" spans="1:1" ht="13" x14ac:dyDescent="0.15">
      <c r="A3205" s="2" t="s">
        <v>3204</v>
      </c>
    </row>
    <row r="3206" spans="1:1" ht="13" x14ac:dyDescent="0.15">
      <c r="A3206" s="2" t="s">
        <v>3205</v>
      </c>
    </row>
    <row r="3207" spans="1:1" ht="13" x14ac:dyDescent="0.15">
      <c r="A3207" s="2" t="s">
        <v>3206</v>
      </c>
    </row>
    <row r="3208" spans="1:1" ht="13" x14ac:dyDescent="0.15">
      <c r="A3208" s="2" t="s">
        <v>3207</v>
      </c>
    </row>
    <row r="3209" spans="1:1" ht="13" x14ac:dyDescent="0.15">
      <c r="A3209" s="2" t="s">
        <v>3208</v>
      </c>
    </row>
    <row r="3210" spans="1:1" ht="13" x14ac:dyDescent="0.15">
      <c r="A3210" s="2" t="s">
        <v>3209</v>
      </c>
    </row>
    <row r="3211" spans="1:1" ht="13" x14ac:dyDescent="0.15">
      <c r="A3211" s="2" t="s">
        <v>3210</v>
      </c>
    </row>
    <row r="3212" spans="1:1" ht="13" x14ac:dyDescent="0.15">
      <c r="A3212" s="2" t="s">
        <v>3211</v>
      </c>
    </row>
    <row r="3213" spans="1:1" ht="13" x14ac:dyDescent="0.15">
      <c r="A3213" s="2" t="s">
        <v>3212</v>
      </c>
    </row>
    <row r="3214" spans="1:1" ht="13" x14ac:dyDescent="0.15">
      <c r="A3214" s="2" t="s">
        <v>3213</v>
      </c>
    </row>
    <row r="3215" spans="1:1" ht="13" x14ac:dyDescent="0.15">
      <c r="A3215" s="2" t="s">
        <v>3214</v>
      </c>
    </row>
    <row r="3216" spans="1:1" ht="13" x14ac:dyDescent="0.15">
      <c r="A3216" s="2" t="s">
        <v>3215</v>
      </c>
    </row>
    <row r="3217" spans="1:1" ht="13" x14ac:dyDescent="0.15">
      <c r="A3217" s="2" t="s">
        <v>3216</v>
      </c>
    </row>
    <row r="3218" spans="1:1" ht="13" x14ac:dyDescent="0.15">
      <c r="A3218" s="2" t="s">
        <v>3217</v>
      </c>
    </row>
    <row r="3219" spans="1:1" ht="13" x14ac:dyDescent="0.15">
      <c r="A3219" s="2" t="s">
        <v>3218</v>
      </c>
    </row>
    <row r="3220" spans="1:1" ht="13" x14ac:dyDescent="0.15">
      <c r="A3220" s="2" t="s">
        <v>3219</v>
      </c>
    </row>
    <row r="3221" spans="1:1" ht="13" x14ac:dyDescent="0.15">
      <c r="A3221" s="2" t="s">
        <v>3220</v>
      </c>
    </row>
    <row r="3222" spans="1:1" ht="13" x14ac:dyDescent="0.15">
      <c r="A3222" s="2" t="s">
        <v>3221</v>
      </c>
    </row>
    <row r="3223" spans="1:1" ht="13" x14ac:dyDescent="0.15">
      <c r="A3223" s="2" t="s">
        <v>3222</v>
      </c>
    </row>
    <row r="3224" spans="1:1" ht="13" x14ac:dyDescent="0.15">
      <c r="A3224" s="2" t="s">
        <v>3223</v>
      </c>
    </row>
    <row r="3225" spans="1:1" ht="13" x14ac:dyDescent="0.15">
      <c r="A3225" s="2" t="s">
        <v>3224</v>
      </c>
    </row>
    <row r="3226" spans="1:1" ht="13" x14ac:dyDescent="0.15">
      <c r="A3226" s="2" t="s">
        <v>3225</v>
      </c>
    </row>
    <row r="3227" spans="1:1" ht="13" x14ac:dyDescent="0.15">
      <c r="A3227" s="2" t="s">
        <v>3226</v>
      </c>
    </row>
    <row r="3228" spans="1:1" ht="13" x14ac:dyDescent="0.15">
      <c r="A3228" s="2" t="s">
        <v>3227</v>
      </c>
    </row>
    <row r="3229" spans="1:1" ht="13" x14ac:dyDescent="0.15">
      <c r="A3229" s="2" t="s">
        <v>3228</v>
      </c>
    </row>
    <row r="3230" spans="1:1" ht="13" x14ac:dyDescent="0.15">
      <c r="A3230" s="2" t="s">
        <v>3229</v>
      </c>
    </row>
    <row r="3231" spans="1:1" ht="13" x14ac:dyDescent="0.15">
      <c r="A3231" s="2" t="s">
        <v>3230</v>
      </c>
    </row>
    <row r="3232" spans="1:1" ht="13" x14ac:dyDescent="0.15">
      <c r="A3232" s="2" t="s">
        <v>3231</v>
      </c>
    </row>
    <row r="3233" spans="1:1" ht="13" x14ac:dyDescent="0.15">
      <c r="A3233" s="2" t="s">
        <v>3232</v>
      </c>
    </row>
    <row r="3234" spans="1:1" ht="13" x14ac:dyDescent="0.15">
      <c r="A3234" s="2" t="s">
        <v>3233</v>
      </c>
    </row>
    <row r="3235" spans="1:1" ht="13" x14ac:dyDescent="0.15">
      <c r="A3235" s="2" t="s">
        <v>3234</v>
      </c>
    </row>
    <row r="3236" spans="1:1" ht="13" x14ac:dyDescent="0.15">
      <c r="A3236" s="2" t="s">
        <v>3235</v>
      </c>
    </row>
    <row r="3237" spans="1:1" ht="13" x14ac:dyDescent="0.15">
      <c r="A3237" s="2" t="s">
        <v>3236</v>
      </c>
    </row>
    <row r="3238" spans="1:1" ht="13" x14ac:dyDescent="0.15">
      <c r="A3238" s="2" t="s">
        <v>3237</v>
      </c>
    </row>
    <row r="3239" spans="1:1" ht="13" x14ac:dyDescent="0.15">
      <c r="A3239" s="2" t="s">
        <v>3238</v>
      </c>
    </row>
    <row r="3240" spans="1:1" ht="13" x14ac:dyDescent="0.15">
      <c r="A3240" s="2" t="s">
        <v>3239</v>
      </c>
    </row>
    <row r="3241" spans="1:1" ht="13" x14ac:dyDescent="0.15">
      <c r="A3241" s="2" t="s">
        <v>3240</v>
      </c>
    </row>
    <row r="3242" spans="1:1" ht="13" x14ac:dyDescent="0.15">
      <c r="A3242" s="2" t="s">
        <v>3241</v>
      </c>
    </row>
    <row r="3243" spans="1:1" ht="13" x14ac:dyDescent="0.15">
      <c r="A3243" s="2" t="s">
        <v>3242</v>
      </c>
    </row>
    <row r="3244" spans="1:1" ht="13" x14ac:dyDescent="0.15">
      <c r="A3244" s="2" t="s">
        <v>3243</v>
      </c>
    </row>
    <row r="3245" spans="1:1" ht="13" x14ac:dyDescent="0.15">
      <c r="A3245" s="2" t="s">
        <v>3244</v>
      </c>
    </row>
    <row r="3246" spans="1:1" ht="13" x14ac:dyDescent="0.15">
      <c r="A3246" s="2" t="s">
        <v>3245</v>
      </c>
    </row>
    <row r="3247" spans="1:1" ht="13" x14ac:dyDescent="0.15">
      <c r="A3247" s="2" t="s">
        <v>3246</v>
      </c>
    </row>
    <row r="3248" spans="1:1" ht="13" x14ac:dyDescent="0.15">
      <c r="A3248" s="2" t="s">
        <v>3247</v>
      </c>
    </row>
    <row r="3249" spans="1:1" ht="13" x14ac:dyDescent="0.15">
      <c r="A3249" s="2" t="s">
        <v>3248</v>
      </c>
    </row>
    <row r="3250" spans="1:1" ht="13" x14ac:dyDescent="0.15">
      <c r="A3250" s="2" t="s">
        <v>3249</v>
      </c>
    </row>
    <row r="3251" spans="1:1" ht="13" x14ac:dyDescent="0.15">
      <c r="A3251" s="2" t="s">
        <v>3250</v>
      </c>
    </row>
    <row r="3252" spans="1:1" ht="13" x14ac:dyDescent="0.15">
      <c r="A3252" s="2" t="s">
        <v>3251</v>
      </c>
    </row>
    <row r="3253" spans="1:1" ht="13" x14ac:dyDescent="0.15">
      <c r="A3253" s="2" t="s">
        <v>3252</v>
      </c>
    </row>
    <row r="3254" spans="1:1" ht="13" x14ac:dyDescent="0.15">
      <c r="A3254" s="2" t="s">
        <v>3253</v>
      </c>
    </row>
    <row r="3255" spans="1:1" ht="13" x14ac:dyDescent="0.15">
      <c r="A3255" s="2" t="s">
        <v>3254</v>
      </c>
    </row>
    <row r="3256" spans="1:1" ht="13" x14ac:dyDescent="0.15">
      <c r="A3256" s="2" t="s">
        <v>3255</v>
      </c>
    </row>
    <row r="3257" spans="1:1" ht="13" x14ac:dyDescent="0.15">
      <c r="A3257" s="2" t="s">
        <v>3256</v>
      </c>
    </row>
    <row r="3258" spans="1:1" ht="13" x14ac:dyDescent="0.15">
      <c r="A3258" s="2" t="s">
        <v>3257</v>
      </c>
    </row>
    <row r="3259" spans="1:1" ht="13" x14ac:dyDescent="0.15">
      <c r="A3259" s="2" t="s">
        <v>3258</v>
      </c>
    </row>
    <row r="3260" spans="1:1" ht="13" x14ac:dyDescent="0.15">
      <c r="A3260" s="2" t="s">
        <v>3259</v>
      </c>
    </row>
    <row r="3261" spans="1:1" ht="13" x14ac:dyDescent="0.15">
      <c r="A3261" s="2" t="s">
        <v>3260</v>
      </c>
    </row>
    <row r="3262" spans="1:1" ht="13" x14ac:dyDescent="0.15">
      <c r="A3262" s="2" t="s">
        <v>3261</v>
      </c>
    </row>
    <row r="3263" spans="1:1" ht="13" x14ac:dyDescent="0.15">
      <c r="A3263" s="2" t="s">
        <v>3262</v>
      </c>
    </row>
    <row r="3264" spans="1:1" ht="13" x14ac:dyDescent="0.15">
      <c r="A3264" s="2" t="s">
        <v>3263</v>
      </c>
    </row>
    <row r="3265" spans="1:1" ht="13" x14ac:dyDescent="0.15">
      <c r="A3265" s="2" t="s">
        <v>3264</v>
      </c>
    </row>
    <row r="3266" spans="1:1" ht="13" x14ac:dyDescent="0.15">
      <c r="A3266" s="2" t="s">
        <v>3265</v>
      </c>
    </row>
    <row r="3267" spans="1:1" ht="13" x14ac:dyDescent="0.15">
      <c r="A3267" s="2" t="s">
        <v>3266</v>
      </c>
    </row>
    <row r="3268" spans="1:1" ht="13" x14ac:dyDescent="0.15">
      <c r="A3268" s="2" t="s">
        <v>3267</v>
      </c>
    </row>
    <row r="3269" spans="1:1" ht="13" x14ac:dyDescent="0.15">
      <c r="A3269" s="2" t="s">
        <v>3268</v>
      </c>
    </row>
    <row r="3270" spans="1:1" ht="13" x14ac:dyDescent="0.15">
      <c r="A3270" s="2" t="s">
        <v>3269</v>
      </c>
    </row>
    <row r="3271" spans="1:1" ht="13" x14ac:dyDescent="0.15">
      <c r="A3271" s="2" t="s">
        <v>3270</v>
      </c>
    </row>
    <row r="3272" spans="1:1" ht="13" x14ac:dyDescent="0.15">
      <c r="A3272" s="2" t="s">
        <v>3271</v>
      </c>
    </row>
    <row r="3273" spans="1:1" ht="13" x14ac:dyDescent="0.15">
      <c r="A3273" s="2" t="s">
        <v>3272</v>
      </c>
    </row>
    <row r="3274" spans="1:1" ht="13" x14ac:dyDescent="0.15">
      <c r="A3274" s="2" t="s">
        <v>3273</v>
      </c>
    </row>
    <row r="3275" spans="1:1" ht="13" x14ac:dyDescent="0.15">
      <c r="A3275" s="2" t="s">
        <v>3274</v>
      </c>
    </row>
    <row r="3276" spans="1:1" ht="13" x14ac:dyDescent="0.15">
      <c r="A3276" s="2" t="s">
        <v>3275</v>
      </c>
    </row>
    <row r="3277" spans="1:1" ht="13" x14ac:dyDescent="0.15">
      <c r="A3277" s="2" t="s">
        <v>3276</v>
      </c>
    </row>
    <row r="3278" spans="1:1" ht="13" x14ac:dyDescent="0.15">
      <c r="A3278" s="2" t="s">
        <v>3277</v>
      </c>
    </row>
    <row r="3279" spans="1:1" ht="13" x14ac:dyDescent="0.15">
      <c r="A3279" s="2" t="s">
        <v>3278</v>
      </c>
    </row>
    <row r="3280" spans="1:1" ht="13" x14ac:dyDescent="0.15">
      <c r="A3280" s="2" t="s">
        <v>3279</v>
      </c>
    </row>
    <row r="3281" spans="1:1" ht="13" x14ac:dyDescent="0.15">
      <c r="A3281" s="2" t="s">
        <v>3280</v>
      </c>
    </row>
    <row r="3282" spans="1:1" ht="13" x14ac:dyDescent="0.15">
      <c r="A3282" s="2" t="s">
        <v>3281</v>
      </c>
    </row>
    <row r="3283" spans="1:1" ht="13" x14ac:dyDescent="0.15">
      <c r="A3283" s="2" t="s">
        <v>3282</v>
      </c>
    </row>
    <row r="3284" spans="1:1" ht="13" x14ac:dyDescent="0.15">
      <c r="A3284" s="2" t="s">
        <v>3283</v>
      </c>
    </row>
    <row r="3285" spans="1:1" ht="13" x14ac:dyDescent="0.15">
      <c r="A3285" s="2" t="s">
        <v>3284</v>
      </c>
    </row>
    <row r="3286" spans="1:1" ht="13" x14ac:dyDescent="0.15">
      <c r="A3286" s="2" t="s">
        <v>3285</v>
      </c>
    </row>
    <row r="3287" spans="1:1" ht="13" x14ac:dyDescent="0.15">
      <c r="A3287" s="2" t="s">
        <v>3286</v>
      </c>
    </row>
    <row r="3288" spans="1:1" ht="13" x14ac:dyDescent="0.15">
      <c r="A3288" s="2" t="s">
        <v>3287</v>
      </c>
    </row>
    <row r="3289" spans="1:1" ht="13" x14ac:dyDescent="0.15">
      <c r="A3289" s="2" t="s">
        <v>3288</v>
      </c>
    </row>
    <row r="3290" spans="1:1" ht="13" x14ac:dyDescent="0.15">
      <c r="A3290" s="2" t="s">
        <v>3289</v>
      </c>
    </row>
    <row r="3291" spans="1:1" ht="13" x14ac:dyDescent="0.15">
      <c r="A3291" s="2" t="s">
        <v>3290</v>
      </c>
    </row>
    <row r="3292" spans="1:1" ht="13" x14ac:dyDescent="0.15">
      <c r="A3292" s="2" t="s">
        <v>3291</v>
      </c>
    </row>
    <row r="3293" spans="1:1" ht="13" x14ac:dyDescent="0.15">
      <c r="A3293" s="2" t="s">
        <v>3292</v>
      </c>
    </row>
    <row r="3294" spans="1:1" ht="13" x14ac:dyDescent="0.15">
      <c r="A3294" s="2" t="s">
        <v>3293</v>
      </c>
    </row>
    <row r="3295" spans="1:1" ht="13" x14ac:dyDescent="0.15">
      <c r="A3295" s="2" t="s">
        <v>3294</v>
      </c>
    </row>
    <row r="3296" spans="1:1" ht="13" x14ac:dyDescent="0.15">
      <c r="A3296" s="2" t="s">
        <v>3295</v>
      </c>
    </row>
    <row r="3297" spans="1:1" ht="13" x14ac:dyDescent="0.15">
      <c r="A3297" s="2" t="s">
        <v>3296</v>
      </c>
    </row>
    <row r="3298" spans="1:1" ht="13" x14ac:dyDescent="0.15">
      <c r="A3298" s="2" t="s">
        <v>3297</v>
      </c>
    </row>
    <row r="3299" spans="1:1" ht="13" x14ac:dyDescent="0.15">
      <c r="A3299" s="2" t="s">
        <v>3298</v>
      </c>
    </row>
    <row r="3300" spans="1:1" ht="13" x14ac:dyDescent="0.15">
      <c r="A3300" s="2" t="s">
        <v>3299</v>
      </c>
    </row>
    <row r="3301" spans="1:1" ht="13" x14ac:dyDescent="0.15">
      <c r="A3301" s="2" t="s">
        <v>3300</v>
      </c>
    </row>
    <row r="3302" spans="1:1" ht="13" x14ac:dyDescent="0.15">
      <c r="A3302" s="2" t="s">
        <v>3301</v>
      </c>
    </row>
    <row r="3303" spans="1:1" ht="13" x14ac:dyDescent="0.15">
      <c r="A3303" s="2" t="s">
        <v>3302</v>
      </c>
    </row>
    <row r="3304" spans="1:1" ht="13" x14ac:dyDescent="0.15">
      <c r="A3304" s="2" t="s">
        <v>3303</v>
      </c>
    </row>
    <row r="3305" spans="1:1" ht="13" x14ac:dyDescent="0.15">
      <c r="A3305" s="2" t="s">
        <v>3304</v>
      </c>
    </row>
    <row r="3306" spans="1:1" ht="13" x14ac:dyDescent="0.15">
      <c r="A3306" s="2" t="s">
        <v>3305</v>
      </c>
    </row>
    <row r="3307" spans="1:1" ht="13" x14ac:dyDescent="0.15">
      <c r="A3307" s="2" t="s">
        <v>3306</v>
      </c>
    </row>
    <row r="3308" spans="1:1" ht="13" x14ac:dyDescent="0.15">
      <c r="A3308" s="2" t="s">
        <v>3307</v>
      </c>
    </row>
    <row r="3309" spans="1:1" ht="13" x14ac:dyDescent="0.15">
      <c r="A3309" s="2" t="s">
        <v>3308</v>
      </c>
    </row>
    <row r="3310" spans="1:1" ht="13" x14ac:dyDescent="0.15">
      <c r="A3310" s="2" t="s">
        <v>3309</v>
      </c>
    </row>
    <row r="3311" spans="1:1" ht="13" x14ac:dyDescent="0.15">
      <c r="A3311" s="2" t="s">
        <v>3310</v>
      </c>
    </row>
    <row r="3312" spans="1:1" ht="13" x14ac:dyDescent="0.15">
      <c r="A3312" s="2" t="s">
        <v>3311</v>
      </c>
    </row>
    <row r="3313" spans="1:1" ht="13" x14ac:dyDescent="0.15">
      <c r="A3313" s="2" t="s">
        <v>3312</v>
      </c>
    </row>
    <row r="3314" spans="1:1" ht="13" x14ac:dyDescent="0.15">
      <c r="A3314" s="2" t="s">
        <v>3313</v>
      </c>
    </row>
    <row r="3315" spans="1:1" ht="13" x14ac:dyDescent="0.15">
      <c r="A3315" s="2" t="s">
        <v>3314</v>
      </c>
    </row>
    <row r="3316" spans="1:1" ht="13" x14ac:dyDescent="0.15">
      <c r="A3316" s="2" t="s">
        <v>3315</v>
      </c>
    </row>
    <row r="3317" spans="1:1" ht="13" x14ac:dyDescent="0.15">
      <c r="A3317" s="2" t="s">
        <v>3316</v>
      </c>
    </row>
    <row r="3318" spans="1:1" ht="13" x14ac:dyDescent="0.15">
      <c r="A3318" s="2" t="s">
        <v>3317</v>
      </c>
    </row>
    <row r="3319" spans="1:1" ht="13" x14ac:dyDescent="0.15">
      <c r="A3319" s="2" t="s">
        <v>3318</v>
      </c>
    </row>
    <row r="3320" spans="1:1" ht="13" x14ac:dyDescent="0.15">
      <c r="A3320" s="2" t="s">
        <v>3319</v>
      </c>
    </row>
    <row r="3321" spans="1:1" ht="13" x14ac:dyDescent="0.15">
      <c r="A3321" s="2" t="s">
        <v>3320</v>
      </c>
    </row>
    <row r="3322" spans="1:1" ht="13" x14ac:dyDescent="0.15">
      <c r="A3322" s="2" t="s">
        <v>3321</v>
      </c>
    </row>
    <row r="3323" spans="1:1" ht="13" x14ac:dyDescent="0.15">
      <c r="A3323" s="2" t="s">
        <v>3322</v>
      </c>
    </row>
    <row r="3324" spans="1:1" ht="13" x14ac:dyDescent="0.15">
      <c r="A3324" s="2" t="s">
        <v>3323</v>
      </c>
    </row>
    <row r="3325" spans="1:1" ht="13" x14ac:dyDescent="0.15">
      <c r="A3325" s="2" t="s">
        <v>3324</v>
      </c>
    </row>
    <row r="3326" spans="1:1" ht="13" x14ac:dyDescent="0.15">
      <c r="A3326" s="2" t="s">
        <v>3325</v>
      </c>
    </row>
    <row r="3327" spans="1:1" ht="13" x14ac:dyDescent="0.15">
      <c r="A3327" s="2" t="s">
        <v>3326</v>
      </c>
    </row>
    <row r="3328" spans="1:1" ht="13" x14ac:dyDescent="0.15">
      <c r="A3328" s="2" t="s">
        <v>3327</v>
      </c>
    </row>
    <row r="3329" spans="1:1" ht="13" x14ac:dyDescent="0.15">
      <c r="A3329" s="2" t="s">
        <v>3328</v>
      </c>
    </row>
    <row r="3330" spans="1:1" ht="13" x14ac:dyDescent="0.15">
      <c r="A3330" s="2" t="s">
        <v>3329</v>
      </c>
    </row>
    <row r="3331" spans="1:1" ht="13" x14ac:dyDescent="0.15">
      <c r="A3331" s="3" t="s">
        <v>3330</v>
      </c>
    </row>
    <row r="3332" spans="1:1" ht="13" x14ac:dyDescent="0.15">
      <c r="A3332" s="2" t="s">
        <v>3331</v>
      </c>
    </row>
    <row r="3333" spans="1:1" ht="13" x14ac:dyDescent="0.15">
      <c r="A3333" s="2" t="s">
        <v>3332</v>
      </c>
    </row>
    <row r="3334" spans="1:1" ht="13" x14ac:dyDescent="0.15">
      <c r="A3334" s="2" t="s">
        <v>3333</v>
      </c>
    </row>
    <row r="3335" spans="1:1" ht="13" x14ac:dyDescent="0.15">
      <c r="A3335" s="2" t="s">
        <v>3334</v>
      </c>
    </row>
    <row r="3336" spans="1:1" ht="13" x14ac:dyDescent="0.15">
      <c r="A3336" s="2" t="s">
        <v>3335</v>
      </c>
    </row>
    <row r="3337" spans="1:1" ht="13" x14ac:dyDescent="0.15">
      <c r="A3337" s="2" t="s">
        <v>3336</v>
      </c>
    </row>
    <row r="3338" spans="1:1" ht="13" x14ac:dyDescent="0.15">
      <c r="A3338" s="2" t="s">
        <v>3337</v>
      </c>
    </row>
    <row r="3339" spans="1:1" ht="13" x14ac:dyDescent="0.15">
      <c r="A3339" s="2" t="s">
        <v>3338</v>
      </c>
    </row>
    <row r="3340" spans="1:1" ht="13" x14ac:dyDescent="0.15">
      <c r="A3340" s="2" t="s">
        <v>3339</v>
      </c>
    </row>
    <row r="3341" spans="1:1" ht="13" x14ac:dyDescent="0.15">
      <c r="A3341" s="2" t="s">
        <v>3340</v>
      </c>
    </row>
    <row r="3342" spans="1:1" ht="13" x14ac:dyDescent="0.15">
      <c r="A3342" s="2" t="s">
        <v>3341</v>
      </c>
    </row>
    <row r="3343" spans="1:1" ht="13" x14ac:dyDescent="0.15">
      <c r="A3343" s="2" t="s">
        <v>3342</v>
      </c>
    </row>
    <row r="3344" spans="1:1" ht="13" x14ac:dyDescent="0.15">
      <c r="A3344" s="2" t="s">
        <v>3343</v>
      </c>
    </row>
    <row r="3345" spans="1:1" ht="13" x14ac:dyDescent="0.15">
      <c r="A3345" s="2" t="s">
        <v>3344</v>
      </c>
    </row>
    <row r="3346" spans="1:1" ht="13" x14ac:dyDescent="0.15">
      <c r="A3346" s="2" t="s">
        <v>3345</v>
      </c>
    </row>
    <row r="3347" spans="1:1" ht="13" x14ac:dyDescent="0.15">
      <c r="A3347" s="2" t="s">
        <v>3346</v>
      </c>
    </row>
    <row r="3348" spans="1:1" ht="13" x14ac:dyDescent="0.15">
      <c r="A3348" s="2" t="s">
        <v>3347</v>
      </c>
    </row>
    <row r="3349" spans="1:1" ht="13" x14ac:dyDescent="0.15">
      <c r="A3349" s="2" t="s">
        <v>3348</v>
      </c>
    </row>
    <row r="3350" spans="1:1" ht="13" x14ac:dyDescent="0.15">
      <c r="A3350" s="2" t="s">
        <v>3349</v>
      </c>
    </row>
    <row r="3351" spans="1:1" ht="13" x14ac:dyDescent="0.15">
      <c r="A3351" s="2" t="s">
        <v>3350</v>
      </c>
    </row>
    <row r="3352" spans="1:1" ht="13" x14ac:dyDescent="0.15">
      <c r="A3352" s="2" t="s">
        <v>3351</v>
      </c>
    </row>
    <row r="3353" spans="1:1" ht="13" x14ac:dyDescent="0.15">
      <c r="A3353" s="2" t="s">
        <v>3352</v>
      </c>
    </row>
    <row r="3354" spans="1:1" ht="13" x14ac:dyDescent="0.15">
      <c r="A3354" s="2" t="s">
        <v>3353</v>
      </c>
    </row>
    <row r="3355" spans="1:1" ht="13" x14ac:dyDescent="0.15">
      <c r="A3355" s="2" t="s">
        <v>3354</v>
      </c>
    </row>
    <row r="3356" spans="1:1" ht="13" x14ac:dyDescent="0.15">
      <c r="A3356" s="2" t="s">
        <v>3355</v>
      </c>
    </row>
    <row r="3357" spans="1:1" ht="13" x14ac:dyDescent="0.15">
      <c r="A3357" s="2" t="s">
        <v>3356</v>
      </c>
    </row>
    <row r="3358" spans="1:1" ht="13" x14ac:dyDescent="0.15">
      <c r="A3358" s="2" t="s">
        <v>3357</v>
      </c>
    </row>
    <row r="3359" spans="1:1" ht="13" x14ac:dyDescent="0.15">
      <c r="A3359" s="2" t="s">
        <v>3358</v>
      </c>
    </row>
    <row r="3360" spans="1:1" ht="13" x14ac:dyDescent="0.15">
      <c r="A3360" s="2" t="s">
        <v>3359</v>
      </c>
    </row>
    <row r="3361" spans="1:1" ht="13" x14ac:dyDescent="0.15">
      <c r="A3361" s="2" t="s">
        <v>3360</v>
      </c>
    </row>
    <row r="3362" spans="1:1" ht="13" x14ac:dyDescent="0.15">
      <c r="A3362" s="2" t="s">
        <v>3361</v>
      </c>
    </row>
    <row r="3363" spans="1:1" ht="13" x14ac:dyDescent="0.15">
      <c r="A3363" s="2" t="s">
        <v>3362</v>
      </c>
    </row>
    <row r="3364" spans="1:1" ht="13" x14ac:dyDescent="0.15">
      <c r="A3364" s="2" t="s">
        <v>3363</v>
      </c>
    </row>
    <row r="3365" spans="1:1" ht="13" x14ac:dyDescent="0.15">
      <c r="A3365" s="2" t="s">
        <v>3364</v>
      </c>
    </row>
    <row r="3366" spans="1:1" ht="13" x14ac:dyDescent="0.15">
      <c r="A3366" s="2" t="s">
        <v>3365</v>
      </c>
    </row>
    <row r="3367" spans="1:1" ht="13" x14ac:dyDescent="0.15">
      <c r="A3367" s="2" t="s">
        <v>3366</v>
      </c>
    </row>
    <row r="3368" spans="1:1" ht="13" x14ac:dyDescent="0.15">
      <c r="A3368" s="2" t="s">
        <v>3367</v>
      </c>
    </row>
    <row r="3369" spans="1:1" ht="13" x14ac:dyDescent="0.15">
      <c r="A3369" s="2" t="s">
        <v>3368</v>
      </c>
    </row>
    <row r="3370" spans="1:1" ht="13" x14ac:dyDescent="0.15">
      <c r="A3370" s="2" t="s">
        <v>3369</v>
      </c>
    </row>
    <row r="3371" spans="1:1" ht="13" x14ac:dyDescent="0.15">
      <c r="A3371" s="2" t="s">
        <v>3370</v>
      </c>
    </row>
    <row r="3372" spans="1:1" ht="13" x14ac:dyDescent="0.15">
      <c r="A3372" s="2" t="s">
        <v>3371</v>
      </c>
    </row>
    <row r="3373" spans="1:1" ht="13" x14ac:dyDescent="0.15">
      <c r="A3373" s="2" t="s">
        <v>3372</v>
      </c>
    </row>
    <row r="3374" spans="1:1" ht="13" x14ac:dyDescent="0.15">
      <c r="A3374" s="2" t="s">
        <v>3373</v>
      </c>
    </row>
    <row r="3375" spans="1:1" ht="13" x14ac:dyDescent="0.15">
      <c r="A3375" s="2" t="s">
        <v>3374</v>
      </c>
    </row>
    <row r="3376" spans="1:1" ht="13" x14ac:dyDescent="0.15">
      <c r="A3376" s="2" t="s">
        <v>3375</v>
      </c>
    </row>
    <row r="3377" spans="1:1" ht="13" x14ac:dyDescent="0.15">
      <c r="A3377" s="2" t="s">
        <v>3376</v>
      </c>
    </row>
    <row r="3378" spans="1:1" ht="13" x14ac:dyDescent="0.15">
      <c r="A3378" s="2" t="s">
        <v>3377</v>
      </c>
    </row>
    <row r="3379" spans="1:1" ht="13" x14ac:dyDescent="0.15">
      <c r="A3379" s="2" t="s">
        <v>3378</v>
      </c>
    </row>
    <row r="3380" spans="1:1" ht="13" x14ac:dyDescent="0.15">
      <c r="A3380" s="2" t="s">
        <v>3379</v>
      </c>
    </row>
    <row r="3381" spans="1:1" ht="13" x14ac:dyDescent="0.15">
      <c r="A3381" s="2" t="s">
        <v>3380</v>
      </c>
    </row>
    <row r="3382" spans="1:1" ht="13" x14ac:dyDescent="0.15">
      <c r="A3382" s="2" t="s">
        <v>3381</v>
      </c>
    </row>
    <row r="3383" spans="1:1" ht="13" x14ac:dyDescent="0.15">
      <c r="A3383" s="2" t="s">
        <v>3382</v>
      </c>
    </row>
    <row r="3384" spans="1:1" ht="13" x14ac:dyDescent="0.15">
      <c r="A3384" s="2" t="s">
        <v>3383</v>
      </c>
    </row>
    <row r="3385" spans="1:1" ht="13" x14ac:dyDescent="0.15">
      <c r="A3385" s="2" t="s">
        <v>3384</v>
      </c>
    </row>
    <row r="3386" spans="1:1" ht="13" x14ac:dyDescent="0.15">
      <c r="A3386" s="2" t="s">
        <v>3385</v>
      </c>
    </row>
    <row r="3387" spans="1:1" ht="13" x14ac:dyDescent="0.15">
      <c r="A3387" s="2" t="s">
        <v>3386</v>
      </c>
    </row>
    <row r="3388" spans="1:1" ht="13" x14ac:dyDescent="0.15">
      <c r="A3388" s="2" t="s">
        <v>3387</v>
      </c>
    </row>
    <row r="3389" spans="1:1" ht="13" x14ac:dyDescent="0.15">
      <c r="A3389" s="2" t="s">
        <v>3388</v>
      </c>
    </row>
    <row r="3390" spans="1:1" ht="13" x14ac:dyDescent="0.15">
      <c r="A3390" s="2" t="s">
        <v>3389</v>
      </c>
    </row>
    <row r="3391" spans="1:1" ht="13" x14ac:dyDescent="0.15">
      <c r="A3391" s="2" t="s">
        <v>3390</v>
      </c>
    </row>
    <row r="3392" spans="1:1" ht="13" x14ac:dyDescent="0.15">
      <c r="A3392" s="2" t="s">
        <v>3391</v>
      </c>
    </row>
    <row r="3393" spans="1:1" ht="13" x14ac:dyDescent="0.15">
      <c r="A3393" s="2" t="s">
        <v>3392</v>
      </c>
    </row>
    <row r="3394" spans="1:1" ht="13" x14ac:dyDescent="0.15">
      <c r="A3394" s="2" t="s">
        <v>3393</v>
      </c>
    </row>
    <row r="3395" spans="1:1" ht="13" x14ac:dyDescent="0.15">
      <c r="A3395" s="2" t="s">
        <v>3394</v>
      </c>
    </row>
    <row r="3396" spans="1:1" ht="13" x14ac:dyDescent="0.15">
      <c r="A3396" s="2" t="s">
        <v>3395</v>
      </c>
    </row>
    <row r="3397" spans="1:1" ht="13" x14ac:dyDescent="0.15">
      <c r="A3397" s="2" t="s">
        <v>3396</v>
      </c>
    </row>
    <row r="3398" spans="1:1" ht="13" x14ac:dyDescent="0.15">
      <c r="A3398" s="2" t="s">
        <v>3397</v>
      </c>
    </row>
    <row r="3399" spans="1:1" ht="13" x14ac:dyDescent="0.15">
      <c r="A3399" s="2" t="s">
        <v>3398</v>
      </c>
    </row>
    <row r="3400" spans="1:1" ht="13" x14ac:dyDescent="0.15">
      <c r="A3400" s="2" t="s">
        <v>3399</v>
      </c>
    </row>
    <row r="3401" spans="1:1" ht="13" x14ac:dyDescent="0.15">
      <c r="A3401" s="2" t="s">
        <v>3400</v>
      </c>
    </row>
    <row r="3402" spans="1:1" ht="13" x14ac:dyDescent="0.15">
      <c r="A3402" s="2" t="s">
        <v>3401</v>
      </c>
    </row>
    <row r="3403" spans="1:1" ht="13" x14ac:dyDescent="0.15">
      <c r="A3403" s="2" t="s">
        <v>3402</v>
      </c>
    </row>
    <row r="3404" spans="1:1" ht="13" x14ac:dyDescent="0.15">
      <c r="A3404" s="2" t="s">
        <v>3403</v>
      </c>
    </row>
    <row r="3405" spans="1:1" ht="13" x14ac:dyDescent="0.15">
      <c r="A3405" s="2" t="s">
        <v>3404</v>
      </c>
    </row>
    <row r="3406" spans="1:1" ht="13" x14ac:dyDescent="0.15">
      <c r="A3406" s="2" t="s">
        <v>3405</v>
      </c>
    </row>
    <row r="3407" spans="1:1" ht="13" x14ac:dyDescent="0.15">
      <c r="A3407" s="2" t="s">
        <v>3406</v>
      </c>
    </row>
    <row r="3408" spans="1:1" ht="13" x14ac:dyDescent="0.15">
      <c r="A3408" s="2" t="s">
        <v>3407</v>
      </c>
    </row>
    <row r="3409" spans="1:1" ht="13" x14ac:dyDescent="0.15">
      <c r="A3409" s="2" t="s">
        <v>3408</v>
      </c>
    </row>
    <row r="3410" spans="1:1" ht="13" x14ac:dyDescent="0.15">
      <c r="A3410" s="2" t="s">
        <v>3409</v>
      </c>
    </row>
    <row r="3411" spans="1:1" ht="13" x14ac:dyDescent="0.15">
      <c r="A3411" s="2" t="s">
        <v>3410</v>
      </c>
    </row>
    <row r="3412" spans="1:1" ht="13" x14ac:dyDescent="0.15">
      <c r="A3412" s="2" t="s">
        <v>3411</v>
      </c>
    </row>
    <row r="3413" spans="1:1" ht="13" x14ac:dyDescent="0.15">
      <c r="A3413" s="2" t="s">
        <v>3412</v>
      </c>
    </row>
    <row r="3414" spans="1:1" ht="13" x14ac:dyDescent="0.15">
      <c r="A3414" s="2" t="s">
        <v>3413</v>
      </c>
    </row>
    <row r="3415" spans="1:1" ht="13" x14ac:dyDescent="0.15">
      <c r="A3415" s="2" t="s">
        <v>3414</v>
      </c>
    </row>
    <row r="3416" spans="1:1" ht="13" x14ac:dyDescent="0.15">
      <c r="A3416" s="2" t="s">
        <v>3415</v>
      </c>
    </row>
    <row r="3417" spans="1:1" ht="13" x14ac:dyDescent="0.15">
      <c r="A3417" s="2" t="s">
        <v>3416</v>
      </c>
    </row>
    <row r="3418" spans="1:1" ht="13" x14ac:dyDescent="0.15">
      <c r="A3418" s="2" t="s">
        <v>3417</v>
      </c>
    </row>
    <row r="3419" spans="1:1" ht="13" x14ac:dyDescent="0.15">
      <c r="A3419" s="2" t="s">
        <v>3418</v>
      </c>
    </row>
    <row r="3420" spans="1:1" ht="13" x14ac:dyDescent="0.15">
      <c r="A3420" s="2" t="s">
        <v>3419</v>
      </c>
    </row>
    <row r="3421" spans="1:1" ht="13" x14ac:dyDescent="0.15">
      <c r="A3421" s="2" t="s">
        <v>3420</v>
      </c>
    </row>
    <row r="3422" spans="1:1" ht="13" x14ac:dyDescent="0.15">
      <c r="A3422" s="2" t="s">
        <v>3421</v>
      </c>
    </row>
    <row r="3423" spans="1:1" ht="13" x14ac:dyDescent="0.15">
      <c r="A3423" s="2" t="s">
        <v>3422</v>
      </c>
    </row>
    <row r="3424" spans="1:1" ht="13" x14ac:dyDescent="0.15">
      <c r="A3424" s="2" t="s">
        <v>3423</v>
      </c>
    </row>
    <row r="3425" spans="1:1" ht="13" x14ac:dyDescent="0.15">
      <c r="A3425" s="2" t="s">
        <v>3424</v>
      </c>
    </row>
    <row r="3426" spans="1:1" ht="13" x14ac:dyDescent="0.15">
      <c r="A3426" s="2" t="s">
        <v>3425</v>
      </c>
    </row>
    <row r="3427" spans="1:1" ht="13" x14ac:dyDescent="0.15">
      <c r="A3427" s="2" t="s">
        <v>3426</v>
      </c>
    </row>
    <row r="3428" spans="1:1" ht="13" x14ac:dyDescent="0.15">
      <c r="A3428" s="2" t="s">
        <v>3427</v>
      </c>
    </row>
    <row r="3429" spans="1:1" ht="13" x14ac:dyDescent="0.15">
      <c r="A3429" s="2" t="s">
        <v>3428</v>
      </c>
    </row>
    <row r="3430" spans="1:1" ht="13" x14ac:dyDescent="0.15">
      <c r="A3430" s="2" t="s">
        <v>3429</v>
      </c>
    </row>
    <row r="3431" spans="1:1" ht="13" x14ac:dyDescent="0.15">
      <c r="A3431" s="2" t="s">
        <v>3430</v>
      </c>
    </row>
    <row r="3432" spans="1:1" ht="13" x14ac:dyDescent="0.15">
      <c r="A3432" s="2" t="s">
        <v>3431</v>
      </c>
    </row>
    <row r="3433" spans="1:1" ht="13" x14ac:dyDescent="0.15">
      <c r="A3433" s="2" t="s">
        <v>3432</v>
      </c>
    </row>
    <row r="3434" spans="1:1" ht="13" x14ac:dyDescent="0.15">
      <c r="A3434" s="2" t="s">
        <v>3433</v>
      </c>
    </row>
    <row r="3435" spans="1:1" ht="13" x14ac:dyDescent="0.15">
      <c r="A3435" s="2" t="s">
        <v>3434</v>
      </c>
    </row>
    <row r="3436" spans="1:1" ht="13" x14ac:dyDescent="0.15">
      <c r="A3436" s="2" t="s">
        <v>3435</v>
      </c>
    </row>
    <row r="3437" spans="1:1" ht="13" x14ac:dyDescent="0.15">
      <c r="A3437" s="2" t="s">
        <v>3436</v>
      </c>
    </row>
    <row r="3438" spans="1:1" ht="13" x14ac:dyDescent="0.15">
      <c r="A3438" s="2" t="s">
        <v>3437</v>
      </c>
    </row>
    <row r="3439" spans="1:1" ht="13" x14ac:dyDescent="0.15">
      <c r="A3439" s="2" t="s">
        <v>3438</v>
      </c>
    </row>
    <row r="3440" spans="1:1" ht="13" x14ac:dyDescent="0.15">
      <c r="A3440" s="2" t="s">
        <v>3439</v>
      </c>
    </row>
    <row r="3441" spans="1:1" ht="13" x14ac:dyDescent="0.15">
      <c r="A3441" s="2" t="s">
        <v>3440</v>
      </c>
    </row>
    <row r="3442" spans="1:1" ht="13" x14ac:dyDescent="0.15">
      <c r="A3442" s="2" t="s">
        <v>3441</v>
      </c>
    </row>
    <row r="3443" spans="1:1" ht="13" x14ac:dyDescent="0.15">
      <c r="A3443" s="2" t="s">
        <v>3442</v>
      </c>
    </row>
    <row r="3444" spans="1:1" ht="13" x14ac:dyDescent="0.15">
      <c r="A3444" s="2" t="s">
        <v>3443</v>
      </c>
    </row>
    <row r="3445" spans="1:1" ht="13" x14ac:dyDescent="0.15">
      <c r="A3445" s="2" t="s">
        <v>3444</v>
      </c>
    </row>
    <row r="3446" spans="1:1" ht="13" x14ac:dyDescent="0.15">
      <c r="A3446" s="2" t="s">
        <v>3445</v>
      </c>
    </row>
    <row r="3447" spans="1:1" ht="13" x14ac:dyDescent="0.15">
      <c r="A3447" s="2" t="s">
        <v>3446</v>
      </c>
    </row>
    <row r="3448" spans="1:1" ht="13" x14ac:dyDescent="0.15">
      <c r="A3448" s="2" t="s">
        <v>3447</v>
      </c>
    </row>
    <row r="3449" spans="1:1" ht="13" x14ac:dyDescent="0.15">
      <c r="A3449" s="2" t="s">
        <v>3448</v>
      </c>
    </row>
    <row r="3450" spans="1:1" ht="13" x14ac:dyDescent="0.15">
      <c r="A3450" s="2" t="s">
        <v>3449</v>
      </c>
    </row>
    <row r="3451" spans="1:1" ht="13" x14ac:dyDescent="0.15">
      <c r="A3451" s="2" t="s">
        <v>3450</v>
      </c>
    </row>
    <row r="3452" spans="1:1" ht="13" x14ac:dyDescent="0.15">
      <c r="A3452" s="2" t="s">
        <v>3451</v>
      </c>
    </row>
    <row r="3453" spans="1:1" ht="13" x14ac:dyDescent="0.15">
      <c r="A3453" s="2" t="s">
        <v>3452</v>
      </c>
    </row>
    <row r="3454" spans="1:1" ht="13" x14ac:dyDescent="0.15">
      <c r="A3454" s="2" t="s">
        <v>3453</v>
      </c>
    </row>
    <row r="3455" spans="1:1" ht="13" x14ac:dyDescent="0.15">
      <c r="A3455" s="2" t="s">
        <v>3454</v>
      </c>
    </row>
    <row r="3456" spans="1:1" ht="13" x14ac:dyDescent="0.15">
      <c r="A3456" s="2" t="s">
        <v>3455</v>
      </c>
    </row>
    <row r="3457" spans="1:1" ht="13" x14ac:dyDescent="0.15">
      <c r="A3457" s="2" t="s">
        <v>3456</v>
      </c>
    </row>
    <row r="3458" spans="1:1" ht="13" x14ac:dyDescent="0.15">
      <c r="A3458" s="2" t="s">
        <v>3457</v>
      </c>
    </row>
    <row r="3459" spans="1:1" ht="13" x14ac:dyDescent="0.15">
      <c r="A3459" s="2" t="s">
        <v>3458</v>
      </c>
    </row>
    <row r="3460" spans="1:1" ht="13" x14ac:dyDescent="0.15">
      <c r="A3460" s="2" t="s">
        <v>3459</v>
      </c>
    </row>
    <row r="3461" spans="1:1" ht="13" x14ac:dyDescent="0.15">
      <c r="A3461" s="2" t="s">
        <v>3460</v>
      </c>
    </row>
    <row r="3462" spans="1:1" ht="13" x14ac:dyDescent="0.15">
      <c r="A3462" s="2" t="s">
        <v>3461</v>
      </c>
    </row>
    <row r="3463" spans="1:1" ht="13" x14ac:dyDescent="0.15">
      <c r="A3463" s="2" t="s">
        <v>3462</v>
      </c>
    </row>
    <row r="3464" spans="1:1" ht="13" x14ac:dyDescent="0.15">
      <c r="A3464" s="2" t="s">
        <v>3463</v>
      </c>
    </row>
    <row r="3465" spans="1:1" ht="13" x14ac:dyDescent="0.15">
      <c r="A3465" s="2" t="s">
        <v>3464</v>
      </c>
    </row>
    <row r="3466" spans="1:1" ht="13" x14ac:dyDescent="0.15">
      <c r="A3466" s="2" t="s">
        <v>3465</v>
      </c>
    </row>
    <row r="3467" spans="1:1" ht="13" x14ac:dyDescent="0.15">
      <c r="A3467" s="2" t="s">
        <v>3466</v>
      </c>
    </row>
    <row r="3468" spans="1:1" ht="13" x14ac:dyDescent="0.15">
      <c r="A3468" s="2" t="s">
        <v>3467</v>
      </c>
    </row>
    <row r="3469" spans="1:1" ht="13" x14ac:dyDescent="0.15">
      <c r="A3469" s="2" t="s">
        <v>3468</v>
      </c>
    </row>
    <row r="3470" spans="1:1" ht="13" x14ac:dyDescent="0.15">
      <c r="A3470" s="2" t="s">
        <v>3469</v>
      </c>
    </row>
    <row r="3471" spans="1:1" ht="13" x14ac:dyDescent="0.15">
      <c r="A3471" s="2" t="s">
        <v>3470</v>
      </c>
    </row>
    <row r="3472" spans="1:1" ht="13" x14ac:dyDescent="0.15">
      <c r="A3472" s="2" t="s">
        <v>3471</v>
      </c>
    </row>
    <row r="3473" spans="1:1" ht="13" x14ac:dyDescent="0.15">
      <c r="A3473" s="2" t="s">
        <v>3472</v>
      </c>
    </row>
    <row r="3474" spans="1:1" ht="13" x14ac:dyDescent="0.15">
      <c r="A3474" s="2" t="s">
        <v>3473</v>
      </c>
    </row>
    <row r="3475" spans="1:1" ht="13" x14ac:dyDescent="0.15">
      <c r="A3475" s="2" t="s">
        <v>3474</v>
      </c>
    </row>
    <row r="3476" spans="1:1" ht="13" x14ac:dyDescent="0.15">
      <c r="A3476" s="2" t="s">
        <v>3475</v>
      </c>
    </row>
    <row r="3477" spans="1:1" ht="13" x14ac:dyDescent="0.15">
      <c r="A3477" s="2" t="s">
        <v>3476</v>
      </c>
    </row>
    <row r="3478" spans="1:1" ht="13" x14ac:dyDescent="0.15">
      <c r="A3478" s="2" t="s">
        <v>3477</v>
      </c>
    </row>
    <row r="3479" spans="1:1" ht="13" x14ac:dyDescent="0.15">
      <c r="A3479" s="2" t="s">
        <v>3478</v>
      </c>
    </row>
    <row r="3480" spans="1:1" ht="13" x14ac:dyDescent="0.15">
      <c r="A3480" s="2" t="s">
        <v>3479</v>
      </c>
    </row>
    <row r="3481" spans="1:1" ht="13" x14ac:dyDescent="0.15">
      <c r="A3481" s="2" t="s">
        <v>3480</v>
      </c>
    </row>
    <row r="3482" spans="1:1" ht="13" x14ac:dyDescent="0.15">
      <c r="A3482" s="2" t="s">
        <v>3481</v>
      </c>
    </row>
    <row r="3483" spans="1:1" ht="13" x14ac:dyDescent="0.15">
      <c r="A3483" s="2" t="s">
        <v>3482</v>
      </c>
    </row>
    <row r="3484" spans="1:1" ht="13" x14ac:dyDescent="0.15">
      <c r="A3484" s="2" t="s">
        <v>3483</v>
      </c>
    </row>
    <row r="3485" spans="1:1" ht="13" x14ac:dyDescent="0.15">
      <c r="A3485" s="2" t="s">
        <v>3484</v>
      </c>
    </row>
    <row r="3486" spans="1:1" ht="13" x14ac:dyDescent="0.15">
      <c r="A3486" s="2" t="s">
        <v>3485</v>
      </c>
    </row>
    <row r="3487" spans="1:1" ht="13" x14ac:dyDescent="0.15">
      <c r="A3487" s="2" t="s">
        <v>3486</v>
      </c>
    </row>
    <row r="3488" spans="1:1" ht="13" x14ac:dyDescent="0.15">
      <c r="A3488" s="2" t="s">
        <v>3487</v>
      </c>
    </row>
    <row r="3489" spans="1:1" ht="13" x14ac:dyDescent="0.15">
      <c r="A3489" s="2" t="s">
        <v>3488</v>
      </c>
    </row>
    <row r="3490" spans="1:1" ht="13" x14ac:dyDescent="0.15">
      <c r="A3490" s="2" t="s">
        <v>3489</v>
      </c>
    </row>
    <row r="3491" spans="1:1" ht="13" x14ac:dyDescent="0.15">
      <c r="A3491" s="2" t="s">
        <v>3490</v>
      </c>
    </row>
    <row r="3492" spans="1:1" ht="13" x14ac:dyDescent="0.15">
      <c r="A3492" s="2" t="s">
        <v>3491</v>
      </c>
    </row>
    <row r="3493" spans="1:1" ht="13" x14ac:dyDescent="0.15">
      <c r="A3493" s="2" t="s">
        <v>3492</v>
      </c>
    </row>
    <row r="3494" spans="1:1" ht="13" x14ac:dyDescent="0.15">
      <c r="A3494" s="2" t="s">
        <v>3493</v>
      </c>
    </row>
    <row r="3495" spans="1:1" ht="13" x14ac:dyDescent="0.15">
      <c r="A3495" s="2" t="s">
        <v>3494</v>
      </c>
    </row>
    <row r="3496" spans="1:1" ht="13" x14ac:dyDescent="0.15">
      <c r="A3496" s="2" t="s">
        <v>3495</v>
      </c>
    </row>
    <row r="3497" spans="1:1" ht="13" x14ac:dyDescent="0.15">
      <c r="A3497" s="2" t="s">
        <v>3496</v>
      </c>
    </row>
    <row r="3498" spans="1:1" ht="13" x14ac:dyDescent="0.15">
      <c r="A3498" s="2" t="s">
        <v>3497</v>
      </c>
    </row>
    <row r="3499" spans="1:1" ht="13" x14ac:dyDescent="0.15">
      <c r="A3499" s="2" t="s">
        <v>3498</v>
      </c>
    </row>
    <row r="3500" spans="1:1" ht="13" x14ac:dyDescent="0.15">
      <c r="A3500" s="2" t="s">
        <v>3499</v>
      </c>
    </row>
    <row r="3501" spans="1:1" ht="13" x14ac:dyDescent="0.15">
      <c r="A3501" s="2" t="s">
        <v>3500</v>
      </c>
    </row>
    <row r="3502" spans="1:1" ht="13" x14ac:dyDescent="0.15">
      <c r="A3502" s="2" t="s">
        <v>3501</v>
      </c>
    </row>
    <row r="3503" spans="1:1" ht="13" x14ac:dyDescent="0.15">
      <c r="A3503" s="2" t="s">
        <v>3502</v>
      </c>
    </row>
    <row r="3504" spans="1:1" ht="13" x14ac:dyDescent="0.15">
      <c r="A3504" s="2" t="s">
        <v>3503</v>
      </c>
    </row>
    <row r="3505" spans="1:1" ht="13" x14ac:dyDescent="0.15">
      <c r="A3505" s="2" t="s">
        <v>3504</v>
      </c>
    </row>
    <row r="3506" spans="1:1" ht="13" x14ac:dyDescent="0.15">
      <c r="A3506" s="2" t="s">
        <v>3505</v>
      </c>
    </row>
    <row r="3507" spans="1:1" ht="13" x14ac:dyDescent="0.15">
      <c r="A3507" s="2" t="s">
        <v>3506</v>
      </c>
    </row>
    <row r="3508" spans="1:1" ht="13" x14ac:dyDescent="0.15">
      <c r="A3508" s="2" t="s">
        <v>3507</v>
      </c>
    </row>
    <row r="3509" spans="1:1" ht="13" x14ac:dyDescent="0.15">
      <c r="A3509" s="2" t="s">
        <v>3508</v>
      </c>
    </row>
    <row r="3510" spans="1:1" ht="13" x14ac:dyDescent="0.15">
      <c r="A3510" s="2" t="s">
        <v>3509</v>
      </c>
    </row>
    <row r="3511" spans="1:1" ht="13" x14ac:dyDescent="0.15">
      <c r="A3511" s="2" t="s">
        <v>3510</v>
      </c>
    </row>
    <row r="3512" spans="1:1" ht="13" x14ac:dyDescent="0.15">
      <c r="A3512" s="2" t="s">
        <v>3511</v>
      </c>
    </row>
    <row r="3513" spans="1:1" ht="13" x14ac:dyDescent="0.15">
      <c r="A3513" s="2" t="s">
        <v>3512</v>
      </c>
    </row>
    <row r="3514" spans="1:1" ht="13" x14ac:dyDescent="0.15">
      <c r="A3514" s="2" t="s">
        <v>3513</v>
      </c>
    </row>
    <row r="3515" spans="1:1" ht="13" x14ac:dyDescent="0.15">
      <c r="A3515" s="2" t="s">
        <v>3514</v>
      </c>
    </row>
    <row r="3516" spans="1:1" ht="13" x14ac:dyDescent="0.15">
      <c r="A3516" s="2" t="s">
        <v>3515</v>
      </c>
    </row>
    <row r="3517" spans="1:1" ht="13" x14ac:dyDescent="0.15">
      <c r="A3517" s="2" t="s">
        <v>3516</v>
      </c>
    </row>
    <row r="3518" spans="1:1" ht="13" x14ac:dyDescent="0.15">
      <c r="A3518" s="2" t="s">
        <v>3517</v>
      </c>
    </row>
    <row r="3519" spans="1:1" ht="13" x14ac:dyDescent="0.15">
      <c r="A3519" s="2" t="s">
        <v>3518</v>
      </c>
    </row>
    <row r="3520" spans="1:1" ht="13" x14ac:dyDescent="0.15">
      <c r="A3520" s="2" t="s">
        <v>3519</v>
      </c>
    </row>
    <row r="3521" spans="1:1" ht="13" x14ac:dyDescent="0.15">
      <c r="A3521" s="2" t="s">
        <v>3520</v>
      </c>
    </row>
    <row r="3522" spans="1:1" ht="13" x14ac:dyDescent="0.15">
      <c r="A3522" s="2" t="s">
        <v>3521</v>
      </c>
    </row>
    <row r="3523" spans="1:1" ht="13" x14ac:dyDescent="0.15">
      <c r="A3523" s="2" t="s">
        <v>3522</v>
      </c>
    </row>
    <row r="3524" spans="1:1" ht="13" x14ac:dyDescent="0.15">
      <c r="A3524" s="2" t="s">
        <v>3523</v>
      </c>
    </row>
    <row r="3525" spans="1:1" ht="13" x14ac:dyDescent="0.15">
      <c r="A3525" s="2" t="s">
        <v>3524</v>
      </c>
    </row>
    <row r="3526" spans="1:1" ht="13" x14ac:dyDescent="0.15">
      <c r="A3526" s="2" t="s">
        <v>3525</v>
      </c>
    </row>
    <row r="3527" spans="1:1" ht="13" x14ac:dyDescent="0.15">
      <c r="A3527" s="2" t="s">
        <v>3526</v>
      </c>
    </row>
    <row r="3528" spans="1:1" ht="13" x14ac:dyDescent="0.15">
      <c r="A3528" s="2" t="s">
        <v>3527</v>
      </c>
    </row>
    <row r="3529" spans="1:1" ht="13" x14ac:dyDescent="0.15">
      <c r="A3529" s="2" t="s">
        <v>3528</v>
      </c>
    </row>
    <row r="3530" spans="1:1" ht="13" x14ac:dyDescent="0.15">
      <c r="A3530" s="2" t="s">
        <v>3529</v>
      </c>
    </row>
    <row r="3531" spans="1:1" ht="13" x14ac:dyDescent="0.15">
      <c r="A3531" s="2" t="s">
        <v>3530</v>
      </c>
    </row>
    <row r="3532" spans="1:1" ht="13" x14ac:dyDescent="0.15">
      <c r="A3532" s="2" t="s">
        <v>3531</v>
      </c>
    </row>
    <row r="3533" spans="1:1" ht="13" x14ac:dyDescent="0.15">
      <c r="A3533" s="2" t="s">
        <v>3532</v>
      </c>
    </row>
    <row r="3534" spans="1:1" ht="13" x14ac:dyDescent="0.15">
      <c r="A3534" s="2" t="s">
        <v>3533</v>
      </c>
    </row>
    <row r="3535" spans="1:1" ht="13" x14ac:dyDescent="0.15">
      <c r="A3535" s="2" t="s">
        <v>3534</v>
      </c>
    </row>
    <row r="3536" spans="1:1" ht="13" x14ac:dyDescent="0.15">
      <c r="A3536" s="2" t="s">
        <v>3535</v>
      </c>
    </row>
    <row r="3537" spans="1:1" ht="13" x14ac:dyDescent="0.15">
      <c r="A3537" s="2" t="s">
        <v>3536</v>
      </c>
    </row>
    <row r="3538" spans="1:1" ht="13" x14ac:dyDescent="0.15">
      <c r="A3538" s="2" t="s">
        <v>3537</v>
      </c>
    </row>
    <row r="3539" spans="1:1" ht="13" x14ac:dyDescent="0.15">
      <c r="A3539" s="2" t="s">
        <v>3538</v>
      </c>
    </row>
    <row r="3540" spans="1:1" ht="13" x14ac:dyDescent="0.15">
      <c r="A3540" s="2" t="s">
        <v>3539</v>
      </c>
    </row>
    <row r="3541" spans="1:1" ht="13" x14ac:dyDescent="0.15">
      <c r="A3541" s="2" t="s">
        <v>3540</v>
      </c>
    </row>
    <row r="3542" spans="1:1" ht="13" x14ac:dyDescent="0.15">
      <c r="A3542" s="2" t="s">
        <v>3541</v>
      </c>
    </row>
    <row r="3543" spans="1:1" ht="13" x14ac:dyDescent="0.15">
      <c r="A3543" s="2" t="s">
        <v>3542</v>
      </c>
    </row>
    <row r="3544" spans="1:1" ht="13" x14ac:dyDescent="0.15">
      <c r="A3544" s="2" t="s">
        <v>3543</v>
      </c>
    </row>
    <row r="3545" spans="1:1" ht="13" x14ac:dyDescent="0.15">
      <c r="A3545" s="2" t="s">
        <v>3544</v>
      </c>
    </row>
    <row r="3546" spans="1:1" ht="13" x14ac:dyDescent="0.15">
      <c r="A3546" s="2" t="s">
        <v>3545</v>
      </c>
    </row>
    <row r="3547" spans="1:1" ht="13" x14ac:dyDescent="0.15">
      <c r="A3547" s="2" t="s">
        <v>3546</v>
      </c>
    </row>
    <row r="3548" spans="1:1" ht="13" x14ac:dyDescent="0.15">
      <c r="A3548" s="2" t="s">
        <v>3547</v>
      </c>
    </row>
    <row r="3549" spans="1:1" ht="13" x14ac:dyDescent="0.15">
      <c r="A3549" s="2" t="s">
        <v>3548</v>
      </c>
    </row>
    <row r="3550" spans="1:1" ht="13" x14ac:dyDescent="0.15">
      <c r="A3550" s="2" t="s">
        <v>3549</v>
      </c>
    </row>
    <row r="3551" spans="1:1" ht="13" x14ac:dyDescent="0.15">
      <c r="A3551" s="2" t="s">
        <v>3550</v>
      </c>
    </row>
    <row r="3552" spans="1:1" ht="13" x14ac:dyDescent="0.15">
      <c r="A3552" s="2" t="s">
        <v>3551</v>
      </c>
    </row>
    <row r="3553" spans="1:1" ht="13" x14ac:dyDescent="0.15">
      <c r="A3553" s="2" t="s">
        <v>3552</v>
      </c>
    </row>
    <row r="3554" spans="1:1" ht="13" x14ac:dyDescent="0.15">
      <c r="A3554" s="2" t="s">
        <v>3553</v>
      </c>
    </row>
    <row r="3555" spans="1:1" ht="13" x14ac:dyDescent="0.15">
      <c r="A3555" s="2" t="s">
        <v>3554</v>
      </c>
    </row>
    <row r="3556" spans="1:1" ht="13" x14ac:dyDescent="0.15">
      <c r="A3556" s="2" t="s">
        <v>3555</v>
      </c>
    </row>
    <row r="3557" spans="1:1" ht="13" x14ac:dyDescent="0.15">
      <c r="A3557" s="2" t="s">
        <v>3556</v>
      </c>
    </row>
    <row r="3558" spans="1:1" ht="13" x14ac:dyDescent="0.15">
      <c r="A3558" s="2" t="s">
        <v>3557</v>
      </c>
    </row>
    <row r="3559" spans="1:1" ht="13" x14ac:dyDescent="0.15">
      <c r="A3559" s="2" t="s">
        <v>3558</v>
      </c>
    </row>
    <row r="3560" spans="1:1" ht="13" x14ac:dyDescent="0.15">
      <c r="A3560" s="2" t="s">
        <v>3559</v>
      </c>
    </row>
    <row r="3561" spans="1:1" ht="13" x14ac:dyDescent="0.15">
      <c r="A3561" s="2" t="s">
        <v>3560</v>
      </c>
    </row>
    <row r="3562" spans="1:1" ht="13" x14ac:dyDescent="0.15">
      <c r="A3562" s="2" t="s">
        <v>3561</v>
      </c>
    </row>
    <row r="3563" spans="1:1" ht="13" x14ac:dyDescent="0.15">
      <c r="A3563" s="2" t="s">
        <v>3562</v>
      </c>
    </row>
    <row r="3564" spans="1:1" ht="13" x14ac:dyDescent="0.15">
      <c r="A3564" s="2" t="s">
        <v>3563</v>
      </c>
    </row>
    <row r="3565" spans="1:1" ht="13" x14ac:dyDescent="0.15">
      <c r="A3565" s="2" t="s">
        <v>3564</v>
      </c>
    </row>
    <row r="3566" spans="1:1" ht="13" x14ac:dyDescent="0.15">
      <c r="A3566" s="2" t="s">
        <v>3565</v>
      </c>
    </row>
    <row r="3567" spans="1:1" ht="13" x14ac:dyDescent="0.15">
      <c r="A3567" s="2" t="s">
        <v>3566</v>
      </c>
    </row>
    <row r="3568" spans="1:1" ht="13" x14ac:dyDescent="0.15">
      <c r="A3568" s="2" t="s">
        <v>3567</v>
      </c>
    </row>
    <row r="3569" spans="1:1" ht="13" x14ac:dyDescent="0.15">
      <c r="A3569" s="2" t="s">
        <v>3568</v>
      </c>
    </row>
    <row r="3570" spans="1:1" ht="13" x14ac:dyDescent="0.15">
      <c r="A3570" s="2" t="s">
        <v>3569</v>
      </c>
    </row>
    <row r="3571" spans="1:1" ht="13" x14ac:dyDescent="0.15">
      <c r="A3571" s="2" t="s">
        <v>3570</v>
      </c>
    </row>
  </sheetData>
  <autoFilter ref="A1:A357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497"/>
  <sheetViews>
    <sheetView workbookViewId="0">
      <selection activeCell="D1" sqref="D1"/>
    </sheetView>
  </sheetViews>
  <sheetFormatPr baseColWidth="10" defaultColWidth="14.5" defaultRowHeight="15.75" customHeight="1" x14ac:dyDescent="0.15"/>
  <cols>
    <col min="4" max="4" width="46.5" customWidth="1"/>
  </cols>
  <sheetData>
    <row r="1" spans="1:5" ht="15.75" customHeight="1" x14ac:dyDescent="0.15">
      <c r="A1" s="4" t="s">
        <v>1</v>
      </c>
      <c r="D1" s="19" t="s">
        <v>10625</v>
      </c>
    </row>
    <row r="2" spans="1:5" ht="15.75" customHeight="1" x14ac:dyDescent="0.15">
      <c r="A2" s="5" t="s">
        <v>689</v>
      </c>
      <c r="D2" t="str">
        <f ca="1">IFERROR(__xludf.DUMMYFUNCTION("split(A2,""("")"),"¡Q'Viva!: The Chosen ")</f>
        <v xml:space="preserve">¡Q'Viva!: The Chosen </v>
      </c>
      <c r="E2" t="str">
        <f ca="1">IFERROR(__xludf.DUMMYFUNCTION("""COMPUTED_VALUE"""),"TV Series 2012)")</f>
        <v>TV Series 2012)</v>
      </c>
    </row>
    <row r="3" spans="1:5" ht="15.75" customHeight="1" x14ac:dyDescent="0.15">
      <c r="A3" s="5" t="s">
        <v>690</v>
      </c>
      <c r="D3" t="str">
        <f ca="1">IFERROR(__xludf.DUMMYFUNCTION("split(A3,""("")"),"10 Puppies and Us ")</f>
        <v xml:space="preserve">10 Puppies and Us </v>
      </c>
      <c r="E3" t="str">
        <f ca="1">IFERROR(__xludf.DUMMYFUNCTION("""COMPUTED_VALUE"""),"TV Series 2017– )")</f>
        <v>TV Series 2017– )</v>
      </c>
    </row>
    <row r="4" spans="1:5" ht="15.75" customHeight="1" x14ac:dyDescent="0.15">
      <c r="A4" s="5" t="s">
        <v>691</v>
      </c>
      <c r="D4" t="str">
        <f ca="1">IFERROR(__xludf.DUMMYFUNCTION("split(A4,""("")"),"100 Code ")</f>
        <v xml:space="preserve">100 Code </v>
      </c>
      <c r="E4" t="str">
        <f ca="1">IFERROR(__xludf.DUMMYFUNCTION("""COMPUTED_VALUE"""),"TV Series 2015)")</f>
        <v>TV Series 2015)</v>
      </c>
    </row>
    <row r="5" spans="1:5" ht="15.75" customHeight="1" x14ac:dyDescent="0.15">
      <c r="A5" s="5" t="s">
        <v>692</v>
      </c>
      <c r="D5" t="str">
        <f ca="1">IFERROR(__xludf.DUMMYFUNCTION("split(A5,""("")"),"100 years of automobile ")</f>
        <v xml:space="preserve">100 years of automobile </v>
      </c>
      <c r="E5" t="str">
        <f ca="1">IFERROR(__xludf.DUMMYFUNCTION("""COMPUTED_VALUE"""),"TV Series 1985– )")</f>
        <v>TV Series 1985– )</v>
      </c>
    </row>
    <row r="6" spans="1:5" ht="15.75" customHeight="1" x14ac:dyDescent="0.15">
      <c r="A6" s="5" t="s">
        <v>693</v>
      </c>
      <c r="D6" t="str">
        <f ca="1">IFERROR(__xludf.DUMMYFUNCTION("split(A6,""("")"),"1000 Ways to Die ")</f>
        <v xml:space="preserve">1000 Ways to Die </v>
      </c>
      <c r="E6" t="str">
        <f ca="1">IFERROR(__xludf.DUMMYFUNCTION("""COMPUTED_VALUE"""),"TV Series 2008–2012)")</f>
        <v>TV Series 2008–2012)</v>
      </c>
    </row>
    <row r="7" spans="1:5" ht="15.75" customHeight="1" x14ac:dyDescent="0.15">
      <c r="A7" s="5" t="s">
        <v>416</v>
      </c>
      <c r="D7" t="str">
        <f ca="1">IFERROR(__xludf.DUMMYFUNCTION("split(A7,""("")"),"12 Monkeys ")</f>
        <v xml:space="preserve">12 Monkeys </v>
      </c>
      <c r="E7" t="str">
        <f ca="1">IFERROR(__xludf.DUMMYFUNCTION("""COMPUTED_VALUE"""),"TV Series 2015–2018)")</f>
        <v>TV Series 2015–2018)</v>
      </c>
    </row>
    <row r="8" spans="1:5" ht="15.75" customHeight="1" x14ac:dyDescent="0.15">
      <c r="A8" s="5" t="s">
        <v>103</v>
      </c>
      <c r="D8" t="str">
        <f ca="1">IFERROR(__xludf.DUMMYFUNCTION("split(A8,""("")"),"13 Reasons Why ")</f>
        <v xml:space="preserve">13 Reasons Why </v>
      </c>
      <c r="E8" t="str">
        <f ca="1">IFERROR(__xludf.DUMMYFUNCTION("""COMPUTED_VALUE"""),"TV Series 2017– )")</f>
        <v>TV Series 2017– )</v>
      </c>
    </row>
    <row r="9" spans="1:5" ht="15.75" customHeight="1" x14ac:dyDescent="0.15">
      <c r="A9" s="5" t="s">
        <v>694</v>
      </c>
      <c r="D9" t="str">
        <f ca="1">IFERROR(__xludf.DUMMYFUNCTION("split(A9,""("")"),"15 Storeys High ")</f>
        <v xml:space="preserve">15 Storeys High </v>
      </c>
      <c r="E9" t="str">
        <f ca="1">IFERROR(__xludf.DUMMYFUNCTION("""COMPUTED_VALUE"""),"TV Series 2002– )")</f>
        <v>TV Series 2002– )</v>
      </c>
    </row>
    <row r="10" spans="1:5" ht="15.75" customHeight="1" x14ac:dyDescent="0.15">
      <c r="A10" s="5" t="s">
        <v>695</v>
      </c>
      <c r="D10" t="str">
        <f ca="1">IFERROR(__xludf.DUMMYFUNCTION("split(A10,""("")"),"16 and Pregnant ")</f>
        <v xml:space="preserve">16 and Pregnant </v>
      </c>
      <c r="E10" t="str">
        <f ca="1">IFERROR(__xludf.DUMMYFUNCTION("""COMPUTED_VALUE"""),"TV Series 2009– )")</f>
        <v>TV Series 2009– )</v>
      </c>
    </row>
    <row r="11" spans="1:5" ht="15.75" customHeight="1" x14ac:dyDescent="0.15">
      <c r="A11" s="5" t="s">
        <v>696</v>
      </c>
      <c r="D11" t="str">
        <f ca="1">IFERROR(__xludf.DUMMYFUNCTION("split(A11,""("")"),"1600 Penn ")</f>
        <v xml:space="preserve">1600 Penn </v>
      </c>
      <c r="E11" t="str">
        <f ca="1">IFERROR(__xludf.DUMMYFUNCTION("""COMPUTED_VALUE"""),"TV Series 2012–2013)")</f>
        <v>TV Series 2012–2013)</v>
      </c>
    </row>
    <row r="12" spans="1:5" ht="15.75" customHeight="1" x14ac:dyDescent="0.15">
      <c r="A12" s="5" t="s">
        <v>697</v>
      </c>
      <c r="D12" t="str">
        <f ca="1">IFERROR(__xludf.DUMMYFUNCTION("split(A12,""("")"),"18 Wheels of Justice ")</f>
        <v xml:space="preserve">18 Wheels of Justice </v>
      </c>
      <c r="E12" t="str">
        <f ca="1">IFERROR(__xludf.DUMMYFUNCTION("""COMPUTED_VALUE"""),"TV Series 2000– )")</f>
        <v>TV Series 2000– )</v>
      </c>
    </row>
    <row r="13" spans="1:5" ht="15.75" customHeight="1" x14ac:dyDescent="0.15">
      <c r="A13" s="5" t="s">
        <v>698</v>
      </c>
      <c r="D13" t="str">
        <f ca="1">IFERROR(__xludf.DUMMYFUNCTION("split(A13,""("")"),"19 Kids and Counting ")</f>
        <v xml:space="preserve">19 Kids and Counting </v>
      </c>
      <c r="E13" t="str">
        <f ca="1">IFERROR(__xludf.DUMMYFUNCTION("""COMPUTED_VALUE"""),"TV Series 2008–2015)")</f>
        <v>TV Series 2008–2015)</v>
      </c>
    </row>
    <row r="14" spans="1:5" ht="15.75" customHeight="1" x14ac:dyDescent="0.15">
      <c r="A14" s="5" t="s">
        <v>699</v>
      </c>
      <c r="D14" t="str">
        <f ca="1">IFERROR(__xludf.DUMMYFUNCTION("split(A14,""("")"),"19-2 ")</f>
        <v xml:space="preserve">19-2 </v>
      </c>
      <c r="E14" t="str">
        <f ca="1">IFERROR(__xludf.DUMMYFUNCTION("""COMPUTED_VALUE"""),"TV Series 2014– )")</f>
        <v>TV Series 2014– )</v>
      </c>
    </row>
    <row r="15" spans="1:5" ht="15.75" customHeight="1" x14ac:dyDescent="0.15">
      <c r="A15" s="5" t="s">
        <v>700</v>
      </c>
      <c r="D15">
        <f ca="1">IFERROR(__xludf.DUMMYFUNCTION("split(A15,""("")"),1983)</f>
        <v>1983</v>
      </c>
      <c r="E15" t="str">
        <f ca="1">IFERROR(__xludf.DUMMYFUNCTION("""COMPUTED_VALUE"""),"TV Series 2018– )")</f>
        <v>TV Series 2018– )</v>
      </c>
    </row>
    <row r="16" spans="1:5" ht="15.75" customHeight="1" x14ac:dyDescent="0.15">
      <c r="A16" s="5" t="s">
        <v>701</v>
      </c>
      <c r="D16">
        <f ca="1">IFERROR(__xludf.DUMMYFUNCTION("split(A16,""("")"),1984)</f>
        <v>1984</v>
      </c>
      <c r="E16" t="str">
        <f ca="1">IFERROR(__xludf.DUMMYFUNCTION("""COMPUTED_VALUE"""),"TV Series 2013– )")</f>
        <v>TV Series 2013– )</v>
      </c>
    </row>
    <row r="17" spans="1:5" ht="15.75" customHeight="1" x14ac:dyDescent="0.15">
      <c r="A17" s="5" t="s">
        <v>702</v>
      </c>
      <c r="D17" t="str">
        <f ca="1">IFERROR(__xludf.DUMMYFUNCTION("split(A17,""("")"),"2 Broke Girls ")</f>
        <v xml:space="preserve">2 Broke Girls </v>
      </c>
      <c r="E17" t="str">
        <f ca="1">IFERROR(__xludf.DUMMYFUNCTION("""COMPUTED_VALUE"""),"TV Series 2011–2017)")</f>
        <v>TV Series 2011–2017)</v>
      </c>
    </row>
    <row r="18" spans="1:5" ht="15.75" customHeight="1" x14ac:dyDescent="0.15">
      <c r="A18" s="5" t="s">
        <v>703</v>
      </c>
      <c r="D18" t="str">
        <f ca="1">IFERROR(__xludf.DUMMYFUNCTION("split(A18,""("")"),"20tantos ")</f>
        <v xml:space="preserve">20tantos </v>
      </c>
      <c r="E18" t="str">
        <f ca="1">IFERROR(__xludf.DUMMYFUNCTION("""COMPUTED_VALUE"""),"TV Series 2002–2003)")</f>
        <v>TV Series 2002–2003)</v>
      </c>
    </row>
    <row r="19" spans="1:5" ht="15.75" customHeight="1" x14ac:dyDescent="0.15">
      <c r="A19" s="5" t="s">
        <v>704</v>
      </c>
      <c r="D19" t="str">
        <f ca="1">IFERROR(__xludf.DUMMYFUNCTION("split(A19,""("")"),"21 Jump Street ")</f>
        <v xml:space="preserve">21 Jump Street </v>
      </c>
      <c r="E19" t="str">
        <f ca="1">IFERROR(__xludf.DUMMYFUNCTION("""COMPUTED_VALUE"""),"TV Series 1987–1991)")</f>
        <v>TV Series 1987–1991)</v>
      </c>
    </row>
    <row r="20" spans="1:5" ht="15.75" customHeight="1" x14ac:dyDescent="0.15">
      <c r="A20" s="5" t="s">
        <v>269</v>
      </c>
      <c r="D20">
        <f ca="1">IFERROR(__xludf.DUMMYFUNCTION("split(A20,""("")"),24)</f>
        <v>24</v>
      </c>
      <c r="E20" t="str">
        <f ca="1">IFERROR(__xludf.DUMMYFUNCTION("""COMPUTED_VALUE"""),"TV Series 2001–2010)")</f>
        <v>TV Series 2001–2010)</v>
      </c>
    </row>
    <row r="21" spans="1:5" ht="15.75" customHeight="1" x14ac:dyDescent="0.15">
      <c r="A21" s="5" t="s">
        <v>705</v>
      </c>
      <c r="D21" t="str">
        <f ca="1">IFERROR(__xludf.DUMMYFUNCTION("split(A21,""("")"),"24 Hour Restaurant Battle ")</f>
        <v xml:space="preserve">24 Hour Restaurant Battle </v>
      </c>
      <c r="E21" t="str">
        <f ca="1">IFERROR(__xludf.DUMMYFUNCTION("""COMPUTED_VALUE"""),"TV Series 2010– )")</f>
        <v>TV Series 2010– )</v>
      </c>
    </row>
    <row r="22" spans="1:5" ht="15.75" customHeight="1" x14ac:dyDescent="0.15">
      <c r="A22" s="5" t="s">
        <v>706</v>
      </c>
      <c r="D22" t="str">
        <f ca="1">IFERROR(__xludf.DUMMYFUNCTION("split(A22,""("")"),"24 Hrs to Hell and Back ")</f>
        <v xml:space="preserve">24 Hrs to Hell and Back </v>
      </c>
      <c r="E22" t="str">
        <f ca="1">IFERROR(__xludf.DUMMYFUNCTION("""COMPUTED_VALUE"""),"TV Series 2018– )")</f>
        <v>TV Series 2018– )</v>
      </c>
    </row>
    <row r="23" spans="1:5" ht="15.75" customHeight="1" x14ac:dyDescent="0.15">
      <c r="A23" s="5" t="s">
        <v>707</v>
      </c>
      <c r="D23" t="str">
        <f ca="1">IFERROR(__xludf.DUMMYFUNCTION("split(A23,""("")"),"24 to Life ")</f>
        <v xml:space="preserve">24 to Life </v>
      </c>
      <c r="E23" t="str">
        <f ca="1">IFERROR(__xludf.DUMMYFUNCTION("""COMPUTED_VALUE"""),"TV Series 2016– )")</f>
        <v>TV Series 2016– )</v>
      </c>
    </row>
    <row r="24" spans="1:5" ht="15.75" customHeight="1" x14ac:dyDescent="0.15">
      <c r="A24" s="5" t="s">
        <v>525</v>
      </c>
      <c r="D24" t="str">
        <f ca="1">IFERROR(__xludf.DUMMYFUNCTION("split(A24,""("")"),"24: Legacy ")</f>
        <v xml:space="preserve">24: Legacy </v>
      </c>
      <c r="E24" t="str">
        <f ca="1">IFERROR(__xludf.DUMMYFUNCTION("""COMPUTED_VALUE"""),"TV Series 2016–2017)")</f>
        <v>TV Series 2016–2017)</v>
      </c>
    </row>
    <row r="25" spans="1:5" ht="15.75" customHeight="1" x14ac:dyDescent="0.15">
      <c r="A25" s="5" t="s">
        <v>708</v>
      </c>
      <c r="D25" t="str">
        <f ca="1">IFERROR(__xludf.DUMMYFUNCTION("split(A25,""("")"),"2point4 Children ")</f>
        <v xml:space="preserve">2point4 Children </v>
      </c>
      <c r="E25" t="str">
        <f ca="1">IFERROR(__xludf.DUMMYFUNCTION("""COMPUTED_VALUE"""),"TV Series 1991–1999)")</f>
        <v>TV Series 1991–1999)</v>
      </c>
    </row>
    <row r="26" spans="1:5" ht="15.75" customHeight="1" x14ac:dyDescent="0.15">
      <c r="A26" s="5" t="s">
        <v>709</v>
      </c>
      <c r="D26">
        <f ca="1">IFERROR(__xludf.DUMMYFUNCTION("split(A26,""("")"),3)</f>
        <v>3</v>
      </c>
      <c r="E26" t="str">
        <f ca="1">IFERROR(__xludf.DUMMYFUNCTION("""COMPUTED_VALUE"""),"TV Series 2012– )")</f>
        <v>TV Series 2012– )</v>
      </c>
    </row>
    <row r="27" spans="1:5" ht="15.75" customHeight="1" x14ac:dyDescent="0.15">
      <c r="A27" s="5" t="s">
        <v>710</v>
      </c>
      <c r="D27" t="str">
        <f ca="1">IFERROR(__xludf.DUMMYFUNCTION("split(A27,""("")"),"3:00 A.M. ")</f>
        <v xml:space="preserve">3:00 A.M. </v>
      </c>
      <c r="E27" t="str">
        <f ca="1">IFERROR(__xludf.DUMMYFUNCTION("""COMPUTED_VALUE"""),"TV Series 2016)")</f>
        <v>TV Series 2016)</v>
      </c>
    </row>
    <row r="28" spans="1:5" ht="15.75" customHeight="1" x14ac:dyDescent="0.15">
      <c r="A28" s="5" t="s">
        <v>711</v>
      </c>
      <c r="D28" t="str">
        <f ca="1">IFERROR(__xludf.DUMMYFUNCTION("split(A28,""("")"),"30 for 30 ")</f>
        <v xml:space="preserve">30 for 30 </v>
      </c>
      <c r="E28" t="str">
        <f ca="1">IFERROR(__xludf.DUMMYFUNCTION("""COMPUTED_VALUE"""),"TV Series 2009– )")</f>
        <v>TV Series 2009– )</v>
      </c>
    </row>
    <row r="29" spans="1:5" ht="15.75" customHeight="1" x14ac:dyDescent="0.15">
      <c r="A29" s="5" t="s">
        <v>324</v>
      </c>
      <c r="D29" t="str">
        <f ca="1">IFERROR(__xludf.DUMMYFUNCTION("split(A29,""("")"),"30 Rock ")</f>
        <v xml:space="preserve">30 Rock </v>
      </c>
      <c r="E29" t="str">
        <f ca="1">IFERROR(__xludf.DUMMYFUNCTION("""COMPUTED_VALUE"""),"TV Series 2006–2013)")</f>
        <v>TV Series 2006–2013)</v>
      </c>
    </row>
    <row r="30" spans="1:5" ht="15.75" customHeight="1" x14ac:dyDescent="0.15">
      <c r="A30" s="5" t="s">
        <v>712</v>
      </c>
      <c r="D30" t="str">
        <f ca="1">IFERROR(__xludf.DUMMYFUNCTION("split(A30,""("")"),"32 Brinkburn Street ")</f>
        <v xml:space="preserve">32 Brinkburn Street </v>
      </c>
      <c r="E30" t="str">
        <f ca="1">IFERROR(__xludf.DUMMYFUNCTION("""COMPUTED_VALUE"""),"TV Series 2011)")</f>
        <v>TV Series 2011)</v>
      </c>
    </row>
    <row r="31" spans="1:5" ht="15.75" customHeight="1" x14ac:dyDescent="0.15">
      <c r="A31" s="5" t="s">
        <v>713</v>
      </c>
      <c r="D31" t="str">
        <f ca="1">IFERROR(__xludf.DUMMYFUNCTION("split(A31,""("")"),"35 Diwrnod ")</f>
        <v xml:space="preserve">35 Diwrnod </v>
      </c>
      <c r="E31" t="str">
        <f ca="1">IFERROR(__xludf.DUMMYFUNCTION("""COMPUTED_VALUE"""),"TV Mini-Series 2014– )")</f>
        <v>TV Mini-Series 2014– )</v>
      </c>
    </row>
    <row r="32" spans="1:5" ht="15.75" customHeight="1" x14ac:dyDescent="0.15">
      <c r="A32" s="5" t="s">
        <v>305</v>
      </c>
      <c r="D32" t="str">
        <f ca="1">IFERROR(__xludf.DUMMYFUNCTION("split(A32,""("")"),"3Below: Tales of Arcadia ")</f>
        <v xml:space="preserve">3Below: Tales of Arcadia </v>
      </c>
      <c r="E32" t="str">
        <f ca="1">IFERROR(__xludf.DUMMYFUNCTION("""COMPUTED_VALUE"""),"TV Series 2018–2019)")</f>
        <v>TV Series 2018–2019)</v>
      </c>
    </row>
    <row r="33" spans="1:5" ht="15.75" customHeight="1" x14ac:dyDescent="0.15">
      <c r="A33" s="5" t="s">
        <v>270</v>
      </c>
      <c r="D33" t="str">
        <f ca="1">IFERROR(__xludf.DUMMYFUNCTION("split(A33,""("")"),"3rd Rock from the Sun ")</f>
        <v xml:space="preserve">3rd Rock from the Sun </v>
      </c>
      <c r="E33" t="str">
        <f ca="1">IFERROR(__xludf.DUMMYFUNCTION("""COMPUTED_VALUE"""),"TV Series 1996–2001)")</f>
        <v>TV Series 1996–2001)</v>
      </c>
    </row>
    <row r="34" spans="1:5" ht="15.75" customHeight="1" x14ac:dyDescent="0.15">
      <c r="A34" s="5" t="s">
        <v>714</v>
      </c>
      <c r="D34" t="str">
        <f ca="1">IFERROR(__xludf.DUMMYFUNCTION("split(A34,""("")"),"48 Hours ")</f>
        <v xml:space="preserve">48 Hours </v>
      </c>
      <c r="E34" t="str">
        <f ca="1">IFERROR(__xludf.DUMMYFUNCTION("""COMPUTED_VALUE"""),"TV Series 1988– )")</f>
        <v>TV Series 1988– )</v>
      </c>
    </row>
    <row r="35" spans="1:5" ht="15.75" customHeight="1" x14ac:dyDescent="0.15">
      <c r="A35" s="5" t="s">
        <v>417</v>
      </c>
      <c r="D35" t="str">
        <f ca="1">IFERROR(__xludf.DUMMYFUNCTION("split(A35,""("")"),"56 Up ")</f>
        <v xml:space="preserve">56 Up </v>
      </c>
      <c r="E35" t="str">
        <f ca="1">IFERROR(__xludf.DUMMYFUNCTION("""COMPUTED_VALUE"""),"TV Movie 2012)")</f>
        <v>TV Movie 2012)</v>
      </c>
    </row>
    <row r="36" spans="1:5" ht="15.75" customHeight="1" x14ac:dyDescent="0.15">
      <c r="A36" s="5" t="s">
        <v>186</v>
      </c>
      <c r="D36" t="str">
        <f ca="1">IFERROR(__xludf.DUMMYFUNCTION("split(A36,""("")"),"5th Ward ")</f>
        <v xml:space="preserve">5th Ward </v>
      </c>
      <c r="E36" t="str">
        <f ca="1">IFERROR(__xludf.DUMMYFUNCTION("""COMPUTED_VALUE"""),"TV Series 2018– )")</f>
        <v>TV Series 2018– )</v>
      </c>
    </row>
    <row r="37" spans="1:5" ht="15.75" customHeight="1" x14ac:dyDescent="0.15">
      <c r="A37" s="5" t="s">
        <v>715</v>
      </c>
      <c r="D37" t="str">
        <f ca="1">IFERROR(__xludf.DUMMYFUNCTION("split(A37,""("")"),"60 Days In ")</f>
        <v xml:space="preserve">60 Days In </v>
      </c>
      <c r="E37" t="str">
        <f ca="1">IFERROR(__xludf.DUMMYFUNCTION("""COMPUTED_VALUE"""),"TV Series 2016– )")</f>
        <v>TV Series 2016– )</v>
      </c>
    </row>
    <row r="38" spans="1:5" ht="15.75" customHeight="1" x14ac:dyDescent="0.15">
      <c r="A38" s="5" t="s">
        <v>716</v>
      </c>
      <c r="D38" t="str">
        <f ca="1">IFERROR(__xludf.DUMMYFUNCTION("split(A38,""("")"),"7 Little Johnstons ")</f>
        <v xml:space="preserve">7 Little Johnstons </v>
      </c>
      <c r="E38" t="str">
        <f ca="1">IFERROR(__xludf.DUMMYFUNCTION("""COMPUTED_VALUE"""),"TV Movie 2013)")</f>
        <v>TV Movie 2013)</v>
      </c>
    </row>
    <row r="39" spans="1:5" ht="15.75" customHeight="1" x14ac:dyDescent="0.15">
      <c r="A39" s="5" t="s">
        <v>717</v>
      </c>
      <c r="D39" t="str">
        <f ca="1">IFERROR(__xludf.DUMMYFUNCTION("split(A39,""("")"),"7 Lives Xposed ")</f>
        <v xml:space="preserve">7 Lives Xposed </v>
      </c>
      <c r="E39" t="str">
        <f ca="1">IFERROR(__xludf.DUMMYFUNCTION("""COMPUTED_VALUE"""),"TV Series 2001– )")</f>
        <v>TV Series 2001– )</v>
      </c>
    </row>
    <row r="40" spans="1:5" ht="15.75" customHeight="1" x14ac:dyDescent="0.15">
      <c r="A40" s="5" t="s">
        <v>718</v>
      </c>
      <c r="D40" t="str">
        <f ca="1">IFERROR(__xludf.DUMMYFUNCTION("split(A40,""("")"),"7th Heaven ")</f>
        <v xml:space="preserve">7th Heaven </v>
      </c>
      <c r="E40" t="str">
        <f ca="1">IFERROR(__xludf.DUMMYFUNCTION("""COMPUTED_VALUE"""),"TV Series 1996–2007)")</f>
        <v>TV Series 1996–2007)</v>
      </c>
    </row>
    <row r="41" spans="1:5" ht="15.75" customHeight="1" x14ac:dyDescent="0.15">
      <c r="A41" s="5" t="s">
        <v>719</v>
      </c>
      <c r="D41" t="str">
        <f ca="1">IFERROR(__xludf.DUMMYFUNCTION("split(A41,""("")"),"8 Out of 10 Cats Does Countdown ")</f>
        <v xml:space="preserve">8 Out of 10 Cats Does Countdown </v>
      </c>
      <c r="E41" t="str">
        <f ca="1">IFERROR(__xludf.DUMMYFUNCTION("""COMPUTED_VALUE"""),"TV Series 2012– )")</f>
        <v>TV Series 2012– )</v>
      </c>
    </row>
    <row r="42" spans="1:5" ht="15.75" customHeight="1" x14ac:dyDescent="0.15">
      <c r="A42" s="5" t="s">
        <v>720</v>
      </c>
      <c r="D42" t="str">
        <f ca="1">IFERROR(__xludf.DUMMYFUNCTION("split(A42,""("")"),"8 Simple Rules ")</f>
        <v xml:space="preserve">8 Simple Rules </v>
      </c>
      <c r="E42" t="str">
        <f ca="1">IFERROR(__xludf.DUMMYFUNCTION("""COMPUTED_VALUE"""),"TV Series 2002–2005)")</f>
        <v>TV Series 2002–2005)</v>
      </c>
    </row>
    <row r="43" spans="1:5" ht="15.75" customHeight="1" x14ac:dyDescent="0.15">
      <c r="A43" s="5" t="s">
        <v>721</v>
      </c>
      <c r="D43">
        <f ca="1">IFERROR(__xludf.DUMMYFUNCTION("split(A43,""("")"),8.13)</f>
        <v>8.1300000000000008</v>
      </c>
      <c r="E43" t="str">
        <f ca="1">IFERROR(__xludf.DUMMYFUNCTION("""COMPUTED_VALUE"""),"TV Series 2010–2013)")</f>
        <v>TV Series 2010–2013)</v>
      </c>
    </row>
    <row r="44" spans="1:5" ht="15.75" customHeight="1" x14ac:dyDescent="0.15">
      <c r="A44" s="5" t="s">
        <v>722</v>
      </c>
      <c r="D44" t="str">
        <f ca="1">IFERROR(__xludf.DUMMYFUNCTION("split(A44,""("")"),"800 Words ")</f>
        <v xml:space="preserve">800 Words </v>
      </c>
      <c r="E44" t="str">
        <f ca="1">IFERROR(__xludf.DUMMYFUNCTION("""COMPUTED_VALUE"""),"TV Series 2015– )")</f>
        <v>TV Series 2015– )</v>
      </c>
    </row>
    <row r="45" spans="1:5" ht="15.75" customHeight="1" x14ac:dyDescent="0.15">
      <c r="A45" s="5" t="s">
        <v>179</v>
      </c>
      <c r="D45" s="6">
        <f ca="1">IFERROR(__xludf.DUMMYFUNCTION("split(A45,""("")"),37135)</f>
        <v>37135</v>
      </c>
      <c r="E45" t="str">
        <f ca="1">IFERROR(__xludf.DUMMYFUNCTION("""COMPUTED_VALUE"""),"TV Series 2018– )")</f>
        <v>TV Series 2018– )</v>
      </c>
    </row>
    <row r="46" spans="1:5" ht="15.75" customHeight="1" x14ac:dyDescent="0.15">
      <c r="A46" s="5" t="s">
        <v>723</v>
      </c>
      <c r="D46" t="str">
        <f ca="1">IFERROR(__xludf.DUMMYFUNCTION("split(A46,""("")"),"90 Day Fiancé ")</f>
        <v xml:space="preserve">90 Day Fiancé </v>
      </c>
      <c r="E46" t="str">
        <f ca="1">IFERROR(__xludf.DUMMYFUNCTION("""COMPUTED_VALUE"""),"TV Series 2014– )")</f>
        <v>TV Series 2014– )</v>
      </c>
    </row>
    <row r="47" spans="1:5" ht="15.75" customHeight="1" x14ac:dyDescent="0.15">
      <c r="A47" s="5" t="s">
        <v>526</v>
      </c>
      <c r="D47" t="str">
        <f ca="1">IFERROR(__xludf.DUMMYFUNCTION("split(A47,""("")"),"90 Day Fiancé: The Other Way ")</f>
        <v xml:space="preserve">90 Day Fiancé: The Other Way </v>
      </c>
      <c r="E47" t="str">
        <f ca="1">IFERROR(__xludf.DUMMYFUNCTION("""COMPUTED_VALUE"""),"TV Series 2019– )")</f>
        <v>TV Series 2019– )</v>
      </c>
    </row>
    <row r="48" spans="1:5" ht="13" x14ac:dyDescent="0.15">
      <c r="A48" s="5" t="s">
        <v>527</v>
      </c>
      <c r="D48">
        <f ca="1">IFERROR(__xludf.DUMMYFUNCTION("split(A48,""("")"),90210)</f>
        <v>90210</v>
      </c>
      <c r="E48" t="str">
        <f ca="1">IFERROR(__xludf.DUMMYFUNCTION("""COMPUTED_VALUE"""),"TV Series 2008–2013)")</f>
        <v>TV Series 2008–2013)</v>
      </c>
    </row>
    <row r="49" spans="1:5" ht="13" x14ac:dyDescent="0.15">
      <c r="A49" s="5" t="s">
        <v>724</v>
      </c>
      <c r="D49" t="str">
        <f ca="1">IFERROR(__xludf.DUMMYFUNCTION("split(A49,""("")"),"A Bit of a Do ")</f>
        <v xml:space="preserve">A Bit of a Do </v>
      </c>
      <c r="E49" t="str">
        <f ca="1">IFERROR(__xludf.DUMMYFUNCTION("""COMPUTED_VALUE"""),"TV Mini-Series 1989– )")</f>
        <v>TV Mini-Series 1989– )</v>
      </c>
    </row>
    <row r="50" spans="1:5" ht="13" x14ac:dyDescent="0.15">
      <c r="A50" s="5" t="s">
        <v>725</v>
      </c>
      <c r="D50" t="str">
        <f ca="1">IFERROR(__xludf.DUMMYFUNCTION("split(A50,""("")"),"A Bit of Fry and Laurie ")</f>
        <v xml:space="preserve">A Bit of Fry and Laurie </v>
      </c>
      <c r="E50" t="str">
        <f ca="1">IFERROR(__xludf.DUMMYFUNCTION("""COMPUTED_VALUE"""),"TV Series 1987–1995)")</f>
        <v>TV Series 1987–1995)</v>
      </c>
    </row>
    <row r="51" spans="1:5" ht="13" x14ac:dyDescent="0.15">
      <c r="A51" s="5" t="s">
        <v>726</v>
      </c>
      <c r="D51" t="str">
        <f ca="1">IFERROR(__xludf.DUMMYFUNCTION("split(A51,""("")"),"A Chance to Love ")</f>
        <v xml:space="preserve">A Chance to Love </v>
      </c>
      <c r="E51" t="str">
        <f ca="1">IFERROR(__xludf.DUMMYFUNCTION("""COMPUTED_VALUE"""),"TV Series 2007– )")</f>
        <v>TV Series 2007– )</v>
      </c>
    </row>
    <row r="52" spans="1:5" ht="13" x14ac:dyDescent="0.15">
      <c r="A52" s="5" t="s">
        <v>727</v>
      </c>
      <c r="D52" t="str">
        <f ca="1">IFERROR(__xludf.DUMMYFUNCTION("split(A52,""("")"),"A Country Practice ")</f>
        <v xml:space="preserve">A Country Practice </v>
      </c>
      <c r="E52" t="str">
        <f ca="1">IFERROR(__xludf.DUMMYFUNCTION("""COMPUTED_VALUE"""),"TV Series 1981–1993)")</f>
        <v>TV Series 1981–1993)</v>
      </c>
    </row>
    <row r="53" spans="1:5" ht="13" x14ac:dyDescent="0.15">
      <c r="A53" s="5" t="s">
        <v>728</v>
      </c>
      <c r="D53" t="str">
        <f ca="1">IFERROR(__xludf.DUMMYFUNCTION("split(A53,""("")"),"A Crime to Remember ")</f>
        <v xml:space="preserve">A Crime to Remember </v>
      </c>
      <c r="E53" t="str">
        <f ca="1">IFERROR(__xludf.DUMMYFUNCTION("""COMPUTED_VALUE"""),"TV Series 2013– )")</f>
        <v>TV Series 2013– )</v>
      </c>
    </row>
    <row r="54" spans="1:5" ht="13" x14ac:dyDescent="0.15">
      <c r="A54" s="5" t="s">
        <v>729</v>
      </c>
      <c r="D54" t="str">
        <f ca="1">IFERROR(__xludf.DUMMYFUNCTION("split(A54,""("")"),"A Cup of Style ")</f>
        <v xml:space="preserve">A Cup of Style </v>
      </c>
      <c r="E54" t="str">
        <f ca="1">IFERROR(__xludf.DUMMYFUNCTION("""COMPUTED_VALUE"""),"TV Series 2010– )")</f>
        <v>TV Series 2010– )</v>
      </c>
    </row>
    <row r="55" spans="1:5" ht="13" x14ac:dyDescent="0.15">
      <c r="A55" s="5" t="s">
        <v>112</v>
      </c>
      <c r="D55" t="str">
        <f ca="1">IFERROR(__xludf.DUMMYFUNCTION("split(A55,""("")"),"A Discovery of Witches ")</f>
        <v xml:space="preserve">A Discovery of Witches </v>
      </c>
      <c r="E55" t="str">
        <f ca="1">IFERROR(__xludf.DUMMYFUNCTION("""COMPUTED_VALUE"""),"TV Series 2018– )")</f>
        <v>TV Series 2018– )</v>
      </c>
    </row>
    <row r="56" spans="1:5" ht="13" x14ac:dyDescent="0.15">
      <c r="A56" s="5" t="s">
        <v>730</v>
      </c>
      <c r="D56" t="str">
        <f ca="1">IFERROR(__xludf.DUMMYFUNCTION("split(A56,""("")"),"A Fine Romance ")</f>
        <v xml:space="preserve">A Fine Romance </v>
      </c>
      <c r="E56" t="str">
        <f ca="1">IFERROR(__xludf.DUMMYFUNCTION("""COMPUTED_VALUE"""),"TV Series 1981–1984)")</f>
        <v>TV Series 1981–1984)</v>
      </c>
    </row>
    <row r="57" spans="1:5" ht="13" x14ac:dyDescent="0.15">
      <c r="A57" s="5" t="s">
        <v>731</v>
      </c>
      <c r="D57" t="str">
        <f ca="1">IFERROR(__xludf.DUMMYFUNCTION("split(A57,""("")"),"A Game About Love ")</f>
        <v xml:space="preserve">A Game About Love </v>
      </c>
      <c r="E57" t="str">
        <f ca="1">IFERROR(__xludf.DUMMYFUNCTION("""COMPUTED_VALUE"""),"TV Series 2006– )")</f>
        <v>TV Series 2006– )</v>
      </c>
    </row>
    <row r="58" spans="1:5" ht="13" x14ac:dyDescent="0.15">
      <c r="A58" s="5" t="s">
        <v>732</v>
      </c>
      <c r="D58" t="str">
        <f ca="1">IFERROR(__xludf.DUMMYFUNCTION("split(A58,""("")"),"A Gypsy Life for Me ")</f>
        <v xml:space="preserve">A Gypsy Life for Me </v>
      </c>
      <c r="E58" t="str">
        <f ca="1">IFERROR(__xludf.DUMMYFUNCTION("""COMPUTED_VALUE"""),"TV Series 2010– )")</f>
        <v>TV Series 2010– )</v>
      </c>
    </row>
    <row r="59" spans="1:5" ht="13" x14ac:dyDescent="0.15">
      <c r="A59" s="5" t="s">
        <v>733</v>
      </c>
      <c r="D59" t="str">
        <f ca="1">IFERROR(__xludf.DUMMYFUNCTION("split(A59,""("")"),"A Haunting ")</f>
        <v xml:space="preserve">A Haunting </v>
      </c>
      <c r="E59" t="str">
        <f ca="1">IFERROR(__xludf.DUMMYFUNCTION("""COMPUTED_VALUE"""),"TV Series 2005–2019)")</f>
        <v>TV Series 2005–2019)</v>
      </c>
    </row>
    <row r="60" spans="1:5" ht="13" x14ac:dyDescent="0.15">
      <c r="A60" s="5" t="s">
        <v>734</v>
      </c>
      <c r="D60" t="str">
        <f ca="1">IFERROR(__xludf.DUMMYFUNCTION("split(A60,""("")"),"A League of Their Own US Road Trip ")</f>
        <v xml:space="preserve">A League of Their Own US Road Trip </v>
      </c>
      <c r="E60" t="str">
        <f ca="1">IFERROR(__xludf.DUMMYFUNCTION("""COMPUTED_VALUE"""),"TV Mini-Series 2017)")</f>
        <v>TV Mini-Series 2017)</v>
      </c>
    </row>
    <row r="61" spans="1:5" ht="13" x14ac:dyDescent="0.15">
      <c r="A61" s="5" t="s">
        <v>735</v>
      </c>
      <c r="D61" t="str">
        <f ca="1">IFERROR(__xludf.DUMMYFUNCTION("split(A61,""("")"),"A Million Little Things ")</f>
        <v xml:space="preserve">A Million Little Things </v>
      </c>
      <c r="E61" t="str">
        <f ca="1">IFERROR(__xludf.DUMMYFUNCTION("""COMPUTED_VALUE"""),"TV Series 2018– )")</f>
        <v>TV Series 2018– )</v>
      </c>
    </row>
    <row r="62" spans="1:5" ht="13" x14ac:dyDescent="0.15">
      <c r="A62" s="5" t="s">
        <v>265</v>
      </c>
      <c r="D62" t="str">
        <f ca="1">IFERROR(__xludf.DUMMYFUNCTION("split(A62,""("")"),"A Nero Wolfe Mystery ")</f>
        <v xml:space="preserve">A Nero Wolfe Mystery </v>
      </c>
      <c r="E62" t="str">
        <f ca="1">IFERROR(__xludf.DUMMYFUNCTION("""COMPUTED_VALUE"""),"TV Series 2001–2002)")</f>
        <v>TV Series 2001–2002)</v>
      </c>
    </row>
    <row r="63" spans="1:5" ht="13" x14ac:dyDescent="0.15">
      <c r="A63" s="5" t="s">
        <v>528</v>
      </c>
      <c r="D63" t="str">
        <f ca="1">IFERROR(__xludf.DUMMYFUNCTION("split(A63,""("")"),"A Pup Named Scooby-Doo ")</f>
        <v xml:space="preserve">A Pup Named Scooby-Doo </v>
      </c>
      <c r="E63" t="str">
        <f ca="1">IFERROR(__xludf.DUMMYFUNCTION("""COMPUTED_VALUE"""),"TV Series 1988–1991)")</f>
        <v>TV Series 1988–1991)</v>
      </c>
    </row>
    <row r="64" spans="1:5" ht="13" x14ac:dyDescent="0.15">
      <c r="A64" s="5" t="s">
        <v>32</v>
      </c>
      <c r="D64" t="str">
        <f ca="1">IFERROR(__xludf.DUMMYFUNCTION("split(A64,""("")"),"A Series of Unfortunate Events ")</f>
        <v xml:space="preserve">A Series of Unfortunate Events </v>
      </c>
      <c r="E64" t="str">
        <f ca="1">IFERROR(__xludf.DUMMYFUNCTION("""COMPUTED_VALUE"""),"TV Series 2017–2019)")</f>
        <v>TV Series 2017–2019)</v>
      </c>
    </row>
    <row r="65" spans="1:5" ht="13" x14ac:dyDescent="0.15">
      <c r="A65" s="5" t="s">
        <v>736</v>
      </c>
      <c r="D65" t="str">
        <f ca="1">IFERROR(__xludf.DUMMYFUNCTION("split(A65,""("")"),"A Skirt Through History ")</f>
        <v xml:space="preserve">A Skirt Through History </v>
      </c>
      <c r="E65" t="str">
        <f ca="1">IFERROR(__xludf.DUMMYFUNCTION("""COMPUTED_VALUE"""),"TV Series 1994– )")</f>
        <v>TV Series 1994– )</v>
      </c>
    </row>
    <row r="66" spans="1:5" ht="13" x14ac:dyDescent="0.15">
      <c r="A66" s="5" t="s">
        <v>737</v>
      </c>
      <c r="D66" t="str">
        <f ca="1">IFERROR(__xludf.DUMMYFUNCTION("split(A66,""("")"),"A Touch of Cloth ")</f>
        <v xml:space="preserve">A Touch of Cloth </v>
      </c>
      <c r="E66" t="str">
        <f ca="1">IFERROR(__xludf.DUMMYFUNCTION("""COMPUTED_VALUE"""),"TV Series 2012–2014)")</f>
        <v>TV Series 2012–2014)</v>
      </c>
    </row>
    <row r="67" spans="1:5" ht="13" x14ac:dyDescent="0.15">
      <c r="A67" s="5" t="s">
        <v>738</v>
      </c>
      <c r="D67" t="str">
        <f ca="1">IFERROR(__xludf.DUMMYFUNCTION("split(A67,""("")"),"A Touch of Frost ")</f>
        <v xml:space="preserve">A Touch of Frost </v>
      </c>
      <c r="E67" t="str">
        <f ca="1">IFERROR(__xludf.DUMMYFUNCTION("""COMPUTED_VALUE"""),"TV Series 1992–2010)")</f>
        <v>TV Series 1992–2010)</v>
      </c>
    </row>
    <row r="68" spans="1:5" ht="13" x14ac:dyDescent="0.15">
      <c r="A68" s="5" t="s">
        <v>739</v>
      </c>
      <c r="D68" t="str">
        <f ca="1">IFERROR(__xludf.DUMMYFUNCTION("split(A68,""("")"),"A Wedding and a Murder ")</f>
        <v xml:space="preserve">A Wedding and a Murder </v>
      </c>
      <c r="E68" t="str">
        <f ca="1">IFERROR(__xludf.DUMMYFUNCTION("""COMPUTED_VALUE"""),"TV Series 2018)")</f>
        <v>TV Series 2018)</v>
      </c>
    </row>
    <row r="69" spans="1:5" ht="13" x14ac:dyDescent="0.15">
      <c r="A69" s="5" t="s">
        <v>740</v>
      </c>
      <c r="D69" t="str">
        <f ca="1">IFERROR(__xludf.DUMMYFUNCTION("split(A69,""("")"),"A Wicked Offer ")</f>
        <v xml:space="preserve">A Wicked Offer </v>
      </c>
      <c r="E69" t="str">
        <f ca="1">IFERROR(__xludf.DUMMYFUNCTION("""COMPUTED_VALUE"""),"TV Series 2015–2016)")</f>
        <v>TV Series 2015–2016)</v>
      </c>
    </row>
    <row r="70" spans="1:5" ht="13" x14ac:dyDescent="0.15">
      <c r="A70" s="7" t="s">
        <v>741</v>
      </c>
      <c r="D70" t="str">
        <f ca="1">IFERROR(__xludf.DUMMYFUNCTION("split(A70,""("")"),"A Young Doctor's Notebook &amp; Other Stories ")</f>
        <v xml:space="preserve">A Young Doctor's Notebook &amp; Other Stories </v>
      </c>
      <c r="E70" t="str">
        <f ca="1">IFERROR(__xludf.DUMMYFUNCTION("""COMPUTED_VALUE"""),"TV Series 2012–2013)")</f>
        <v>TV Series 2012–2013)</v>
      </c>
    </row>
    <row r="71" spans="1:5" ht="13" x14ac:dyDescent="0.15">
      <c r="A71" s="5" t="s">
        <v>325</v>
      </c>
      <c r="D71" t="str">
        <f ca="1">IFERROR(__xludf.DUMMYFUNCTION("split(A71,""("")"),"A.D. The Bible Continues ")</f>
        <v xml:space="preserve">A.D. The Bible Continues </v>
      </c>
      <c r="E71" t="str">
        <f ca="1">IFERROR(__xludf.DUMMYFUNCTION("""COMPUTED_VALUE"""),"TV Series 2015)")</f>
        <v>TV Series 2015)</v>
      </c>
    </row>
    <row r="72" spans="1:5" ht="13" x14ac:dyDescent="0.15">
      <c r="A72" s="5" t="s">
        <v>199</v>
      </c>
      <c r="D72" t="str">
        <f ca="1">IFERROR(__xludf.DUMMYFUNCTION("split(A72,""("")"),"A.N.T. Farm ")</f>
        <v xml:space="preserve">A.N.T. Farm </v>
      </c>
      <c r="E72" t="str">
        <f ca="1">IFERROR(__xludf.DUMMYFUNCTION("""COMPUTED_VALUE"""),"TV Series 2011–2014)")</f>
        <v>TV Series 2011–2014)</v>
      </c>
    </row>
    <row r="73" spans="1:5" ht="13" x14ac:dyDescent="0.15">
      <c r="A73" s="5" t="s">
        <v>742</v>
      </c>
      <c r="D73" t="str">
        <f ca="1">IFERROR(__xludf.DUMMYFUNCTION("split(A73,""("")"),"A.P. Bio ")</f>
        <v xml:space="preserve">A.P. Bio </v>
      </c>
      <c r="E73" t="str">
        <f ca="1">IFERROR(__xludf.DUMMYFUNCTION("""COMPUTED_VALUE"""),"TV Series 2018– )")</f>
        <v>TV Series 2018– )</v>
      </c>
    </row>
    <row r="74" spans="1:5" ht="13" x14ac:dyDescent="0.15">
      <c r="A74" s="5" t="s">
        <v>743</v>
      </c>
      <c r="D74" t="str">
        <f ca="1">IFERROR(__xludf.DUMMYFUNCTION("split(A74,""("")"),"Aahat ")</f>
        <v xml:space="preserve">Aahat </v>
      </c>
      <c r="E74" t="str">
        <f ca="1">IFERROR(__xludf.DUMMYFUNCTION("""COMPUTED_VALUE"""),"TV Series 1996–2015)")</f>
        <v>TV Series 1996–2015)</v>
      </c>
    </row>
    <row r="75" spans="1:5" ht="13" x14ac:dyDescent="0.15">
      <c r="A75" s="5" t="s">
        <v>744</v>
      </c>
      <c r="D75" t="str">
        <f ca="1">IFERROR(__xludf.DUMMYFUNCTION("split(A75,""("")"),"Aap ki Kaneez ")</f>
        <v xml:space="preserve">Aap ki Kaneez </v>
      </c>
      <c r="E75" t="str">
        <f ca="1">IFERROR(__xludf.DUMMYFUNCTION("""COMPUTED_VALUE"""),"TV Series 2014–2015)")</f>
        <v>TV Series 2014–2015)</v>
      </c>
    </row>
    <row r="76" spans="1:5" ht="13" x14ac:dyDescent="0.15">
      <c r="A76" s="5" t="s">
        <v>745</v>
      </c>
      <c r="D76" t="str">
        <f ca="1">IFERROR(__xludf.DUMMYFUNCTION("split(A76,""("")"),"Aaron Stone ")</f>
        <v xml:space="preserve">Aaron Stone </v>
      </c>
      <c r="E76" t="str">
        <f ca="1">IFERROR(__xludf.DUMMYFUNCTION("""COMPUTED_VALUE"""),"TV Series 2009–2010)")</f>
        <v>TV Series 2009–2010)</v>
      </c>
    </row>
    <row r="77" spans="1:5" ht="13" x14ac:dyDescent="0.15">
      <c r="A77" s="5" t="s">
        <v>746</v>
      </c>
      <c r="D77" t="str">
        <f ca="1">IFERROR(__xludf.DUMMYFUNCTION("split(A77,""("")"),"Abby's ")</f>
        <v xml:space="preserve">Abby's </v>
      </c>
      <c r="E77" t="str">
        <f ca="1">IFERROR(__xludf.DUMMYFUNCTION("""COMPUTED_VALUE"""),"TV Series 2019– )")</f>
        <v>TV Series 2019– )</v>
      </c>
    </row>
    <row r="78" spans="1:5" ht="13" x14ac:dyDescent="0.15">
      <c r="A78" s="5" t="s">
        <v>747</v>
      </c>
      <c r="D78" t="str">
        <f ca="1">IFERROR(__xludf.DUMMYFUNCTION("split(A78,""("")"),"About Him ")</f>
        <v xml:space="preserve">About Him </v>
      </c>
      <c r="E78" t="str">
        <f ca="1">IFERROR(__xludf.DUMMYFUNCTION("""COMPUTED_VALUE"""),"TV Series 2016– )")</f>
        <v>TV Series 2016– )</v>
      </c>
    </row>
    <row r="79" spans="1:5" ht="13" x14ac:dyDescent="0.15">
      <c r="A79" s="5" t="s">
        <v>748</v>
      </c>
      <c r="D79" t="str">
        <f ca="1">IFERROR(__xludf.DUMMYFUNCTION("split(A79,""("")"),"Above Suspicion ")</f>
        <v xml:space="preserve">Above Suspicion </v>
      </c>
      <c r="E79" t="str">
        <f ca="1">IFERROR(__xludf.DUMMYFUNCTION("""COMPUTED_VALUE"""),"TV Series 2009–2012)")</f>
        <v>TV Series 2009–2012)</v>
      </c>
    </row>
    <row r="80" spans="1:5" ht="13" x14ac:dyDescent="0.15">
      <c r="A80" s="5" t="s">
        <v>749</v>
      </c>
      <c r="D80" t="str">
        <f ca="1">IFERROR(__xludf.DUMMYFUNCTION("split(A80,""("")"),"Absentia ")</f>
        <v xml:space="preserve">Absentia </v>
      </c>
      <c r="E80" t="str">
        <f ca="1">IFERROR(__xludf.DUMMYFUNCTION("""COMPUTED_VALUE"""),"TV Series 2017– )")</f>
        <v>TV Series 2017– )</v>
      </c>
    </row>
    <row r="81" spans="1:5" ht="13" x14ac:dyDescent="0.15">
      <c r="A81" s="5" t="s">
        <v>750</v>
      </c>
      <c r="D81" t="str">
        <f ca="1">IFERROR(__xludf.DUMMYFUNCTION("split(A81,""("")"),"Absolute Boyfriend ")</f>
        <v xml:space="preserve">Absolute Boyfriend </v>
      </c>
      <c r="E81" t="str">
        <f ca="1">IFERROR(__xludf.DUMMYFUNCTION("""COMPUTED_VALUE"""),"TV Series 2008– )")</f>
        <v>TV Series 2008– )</v>
      </c>
    </row>
    <row r="82" spans="1:5" ht="13" x14ac:dyDescent="0.15">
      <c r="A82" s="5" t="s">
        <v>751</v>
      </c>
      <c r="D82" t="str">
        <f ca="1">IFERROR(__xludf.DUMMYFUNCTION("split(A82,""("")"),"Absolutely Fabulous ")</f>
        <v xml:space="preserve">Absolutely Fabulous </v>
      </c>
      <c r="E82" t="str">
        <f ca="1">IFERROR(__xludf.DUMMYFUNCTION("""COMPUTED_VALUE"""),"TV Series 1992–2012)")</f>
        <v>TV Series 1992–2012)</v>
      </c>
    </row>
    <row r="83" spans="1:5" ht="13" x14ac:dyDescent="0.15">
      <c r="A83" s="5" t="s">
        <v>752</v>
      </c>
      <c r="D83" t="str">
        <f ca="1">IFERROR(__xludf.DUMMYFUNCTION("split(A83,""("")"),"Acceptable TV ")</f>
        <v xml:space="preserve">Acceptable TV </v>
      </c>
      <c r="E83" t="str">
        <f ca="1">IFERROR(__xludf.DUMMYFUNCTION("""COMPUTED_VALUE"""),"TV Series 2007)")</f>
        <v>TV Series 2007)</v>
      </c>
    </row>
    <row r="84" spans="1:5" ht="13" x14ac:dyDescent="0.15">
      <c r="A84" s="5" t="s">
        <v>753</v>
      </c>
      <c r="D84" t="str">
        <f ca="1">IFERROR(__xludf.DUMMYFUNCTION("split(A84,""("")"),"According to Jim ")</f>
        <v xml:space="preserve">According to Jim </v>
      </c>
      <c r="E84" t="str">
        <f ca="1">IFERROR(__xludf.DUMMYFUNCTION("""COMPUTED_VALUE"""),"TV Series 2001–2009)")</f>
        <v>TV Series 2001–2009)</v>
      </c>
    </row>
    <row r="85" spans="1:5" ht="13" x14ac:dyDescent="0.15">
      <c r="A85" s="5" t="s">
        <v>754</v>
      </c>
      <c r="D85" t="str">
        <f ca="1">IFERROR(__xludf.DUMMYFUNCTION("split(A85,""("")"),"Ace of Cakes ")</f>
        <v xml:space="preserve">Ace of Cakes </v>
      </c>
      <c r="E85" t="str">
        <f ca="1">IFERROR(__xludf.DUMMYFUNCTION("""COMPUTED_VALUE"""),"TV Series 2006– )")</f>
        <v>TV Series 2006– )</v>
      </c>
    </row>
    <row r="86" spans="1:5" ht="13" x14ac:dyDescent="0.15">
      <c r="A86" s="5" t="s">
        <v>755</v>
      </c>
      <c r="D86" t="str">
        <f ca="1">IFERROR(__xludf.DUMMYFUNCTION("split(A86,""("")"),"Ackley Bridge ")</f>
        <v xml:space="preserve">Ackley Bridge </v>
      </c>
      <c r="E86" t="str">
        <f ca="1">IFERROR(__xludf.DUMMYFUNCTION("""COMPUTED_VALUE"""),"TV Series 2017– )")</f>
        <v>TV Series 2017– )</v>
      </c>
    </row>
    <row r="87" spans="1:5" ht="13" x14ac:dyDescent="0.15">
      <c r="A87" s="5" t="s">
        <v>756</v>
      </c>
      <c r="D87" t="str">
        <f ca="1">IFERROR(__xludf.DUMMYFUNCTION("split(A87,""("")"),"Acorralada ")</f>
        <v xml:space="preserve">Acorralada </v>
      </c>
      <c r="E87" t="str">
        <f ca="1">IFERROR(__xludf.DUMMYFUNCTION("""COMPUTED_VALUE"""),"TV Series 2007–2008)")</f>
        <v>TV Series 2007–2008)</v>
      </c>
    </row>
    <row r="88" spans="1:5" ht="13" x14ac:dyDescent="0.15">
      <c r="A88" s="5" t="s">
        <v>757</v>
      </c>
      <c r="D88" t="str">
        <f ca="1">IFERROR(__xludf.DUMMYFUNCTION("split(A88,""("")"),"Action League Now!! ")</f>
        <v xml:space="preserve">Action League Now!! </v>
      </c>
      <c r="E88" t="str">
        <f ca="1">IFERROR(__xludf.DUMMYFUNCTION("""COMPUTED_VALUE"""),"TV Series 2003–2004)")</f>
        <v>TV Series 2003–2004)</v>
      </c>
    </row>
    <row r="89" spans="1:5" ht="13" x14ac:dyDescent="0.15">
      <c r="A89" s="5" t="s">
        <v>758</v>
      </c>
      <c r="D89" t="str">
        <f ca="1">IFERROR(__xludf.DUMMYFUNCTION("split(A89,""("")"),"Adam Mach ")</f>
        <v xml:space="preserve">Adam Mach </v>
      </c>
      <c r="E89" t="str">
        <f ca="1">IFERROR(__xludf.DUMMYFUNCTION("""COMPUTED_VALUE"""),"TV Series 2016– )")</f>
        <v>TV Series 2016– )</v>
      </c>
    </row>
    <row r="90" spans="1:5" ht="13" x14ac:dyDescent="0.15">
      <c r="A90" s="5" t="s">
        <v>759</v>
      </c>
      <c r="D90" t="str">
        <f ca="1">IFERROR(__xludf.DUMMYFUNCTION("split(A90,""("")"),"Adam Ruins Everything ")</f>
        <v xml:space="preserve">Adam Ruins Everything </v>
      </c>
      <c r="E90" t="str">
        <f ca="1">IFERROR(__xludf.DUMMYFUNCTION("""COMPUTED_VALUE"""),"TV Series 2015– )")</f>
        <v>TV Series 2015– )</v>
      </c>
    </row>
    <row r="91" spans="1:5" ht="13" x14ac:dyDescent="0.15">
      <c r="A91" s="5" t="s">
        <v>760</v>
      </c>
      <c r="D91" t="str">
        <f ca="1">IFERROR(__xludf.DUMMYFUNCTION("split(A91,""("")"),"Adventure Time ")</f>
        <v xml:space="preserve">Adventure Time </v>
      </c>
      <c r="E91" t="str">
        <f ca="1">IFERROR(__xludf.DUMMYFUNCTION("""COMPUTED_VALUE"""),"TV Series 2010–2018)")</f>
        <v>TV Series 2010–2018)</v>
      </c>
    </row>
    <row r="92" spans="1:5" ht="13" x14ac:dyDescent="0.15">
      <c r="A92" s="5" t="s">
        <v>761</v>
      </c>
      <c r="D92" t="str">
        <f ca="1">IFERROR(__xludf.DUMMYFUNCTION("split(A92,""("")"),"Adventures from the Book of Virtues ")</f>
        <v xml:space="preserve">Adventures from the Book of Virtues </v>
      </c>
      <c r="E92" t="str">
        <f ca="1">IFERROR(__xludf.DUMMYFUNCTION("""COMPUTED_VALUE"""),"TV Series 1996– )")</f>
        <v>TV Series 1996– )</v>
      </c>
    </row>
    <row r="93" spans="1:5" ht="13" x14ac:dyDescent="0.15">
      <c r="A93" s="5" t="s">
        <v>113</v>
      </c>
      <c r="D93" t="str">
        <f ca="1">IFERROR(__xludf.DUMMYFUNCTION("split(A93,""("")"),"Adventures in Wonderland ")</f>
        <v xml:space="preserve">Adventures in Wonderland </v>
      </c>
      <c r="E93" t="str">
        <f ca="1">IFERROR(__xludf.DUMMYFUNCTION("""COMPUTED_VALUE"""),"TV Series 1992–1994)")</f>
        <v>TV Series 1992–1994)</v>
      </c>
    </row>
    <row r="94" spans="1:5" ht="13" x14ac:dyDescent="0.15">
      <c r="A94" s="5" t="s">
        <v>762</v>
      </c>
      <c r="D94" t="str">
        <f ca="1">IFERROR(__xludf.DUMMYFUNCTION("split(A94,""("")"),"Adventures of JAB ")</f>
        <v xml:space="preserve">Adventures of JAB </v>
      </c>
      <c r="E94" t="str">
        <f ca="1">IFERROR(__xludf.DUMMYFUNCTION("""COMPUTED_VALUE"""),"TV Series 2012– )")</f>
        <v>TV Series 2012– )</v>
      </c>
    </row>
    <row r="95" spans="1:5" ht="13" x14ac:dyDescent="0.15">
      <c r="A95" s="5" t="s">
        <v>658</v>
      </c>
      <c r="D95" t="str">
        <f ca="1">IFERROR(__xludf.DUMMYFUNCTION("split(A95,""("")"),"Æon Flux ")</f>
        <v xml:space="preserve">Æon Flux </v>
      </c>
      <c r="E95" t="str">
        <f ca="1">IFERROR(__xludf.DUMMYFUNCTION("""COMPUTED_VALUE"""),"TV Series 1991–1995)")</f>
        <v>TV Series 1991–1995)</v>
      </c>
    </row>
    <row r="96" spans="1:5" ht="13" x14ac:dyDescent="0.15">
      <c r="A96" s="5" t="s">
        <v>763</v>
      </c>
      <c r="D96" t="str">
        <f ca="1">IFERROR(__xludf.DUMMYFUNCTION("split(A96,""("")"),"Africa's Deadly Kingdoms ")</f>
        <v xml:space="preserve">Africa's Deadly Kingdoms </v>
      </c>
      <c r="E96" t="str">
        <f ca="1">IFERROR(__xludf.DUMMYFUNCTION("""COMPUTED_VALUE"""),"TV Series 2018– )")</f>
        <v>TV Series 2018– )</v>
      </c>
    </row>
    <row r="97" spans="1:5" ht="13" x14ac:dyDescent="0.15">
      <c r="A97" s="5" t="s">
        <v>114</v>
      </c>
      <c r="D97" t="str">
        <f ca="1">IFERROR(__xludf.DUMMYFUNCTION("split(A97,""("")"),"Agatha Christie's Marple ")</f>
        <v xml:space="preserve">Agatha Christie's Marple </v>
      </c>
      <c r="E97" t="str">
        <f ca="1">IFERROR(__xludf.DUMMYFUNCTION("""COMPUTED_VALUE"""),"TV Series 2004–2013)")</f>
        <v>TV Series 2004–2013)</v>
      </c>
    </row>
    <row r="98" spans="1:5" ht="13" x14ac:dyDescent="0.15">
      <c r="A98" s="5" t="s">
        <v>115</v>
      </c>
      <c r="D98" t="str">
        <f ca="1">IFERROR(__xludf.DUMMYFUNCTION("split(A98,""("")"),"Agatha Raisin ")</f>
        <v xml:space="preserve">Agatha Raisin </v>
      </c>
      <c r="E98" t="str">
        <f ca="1">IFERROR(__xludf.DUMMYFUNCTION("""COMPUTED_VALUE"""),"TV Series 2014– )")</f>
        <v>TV Series 2014– )</v>
      </c>
    </row>
    <row r="99" spans="1:5" ht="13" x14ac:dyDescent="0.15">
      <c r="A99" s="5" t="s">
        <v>488</v>
      </c>
      <c r="D99" t="str">
        <f ca="1">IFERROR(__xludf.DUMMYFUNCTION("split(A99,""("")"),"Agent Carter ")</f>
        <v xml:space="preserve">Agent Carter </v>
      </c>
      <c r="E99" t="str">
        <f ca="1">IFERROR(__xludf.DUMMYFUNCTION("""COMPUTED_VALUE"""),"TV Series 2015–2016)")</f>
        <v>TV Series 2015–2016)</v>
      </c>
    </row>
    <row r="100" spans="1:5" ht="13" x14ac:dyDescent="0.15">
      <c r="A100" s="5" t="s">
        <v>264</v>
      </c>
      <c r="D100" t="str">
        <f ca="1">IFERROR(__xludf.DUMMYFUNCTION("split(A100,""("")"),"Agent X ")</f>
        <v xml:space="preserve">Agent X </v>
      </c>
      <c r="E100" t="str">
        <f ca="1">IFERROR(__xludf.DUMMYFUNCTION("""COMPUTED_VALUE"""),"TV Series 2015)")</f>
        <v>TV Series 2015)</v>
      </c>
    </row>
    <row r="101" spans="1:5" ht="13" x14ac:dyDescent="0.15">
      <c r="A101" s="5" t="s">
        <v>303</v>
      </c>
      <c r="D101" t="str">
        <f ca="1">IFERROR(__xludf.DUMMYFUNCTION("split(A101,""("")"),"Agents of S.H.I.E.L.D. ")</f>
        <v xml:space="preserve">Agents of S.H.I.E.L.D. </v>
      </c>
      <c r="E101" t="str">
        <f ca="1">IFERROR(__xludf.DUMMYFUNCTION("""COMPUTED_VALUE"""),"TV Series 2013– )")</f>
        <v>TV Series 2013– )</v>
      </c>
    </row>
    <row r="102" spans="1:5" ht="13" x14ac:dyDescent="0.15">
      <c r="A102" s="5" t="s">
        <v>764</v>
      </c>
      <c r="D102" t="str">
        <f ca="1">IFERROR(__xludf.DUMMYFUNCTION("split(A102,""("")"),"Ah! My Goddess ")</f>
        <v xml:space="preserve">Ah! My Goddess </v>
      </c>
      <c r="E102" t="str">
        <f ca="1">IFERROR(__xludf.DUMMYFUNCTION("""COMPUTED_VALUE"""),"TV Series 2005– )")</f>
        <v>TV Series 2005– )</v>
      </c>
    </row>
    <row r="103" spans="1:5" ht="13" x14ac:dyDescent="0.15">
      <c r="A103" s="5" t="s">
        <v>765</v>
      </c>
      <c r="D103" t="str">
        <f ca="1">IFERROR(__xludf.DUMMYFUNCTION("split(A103,""("")"),"Air Emergency ")</f>
        <v xml:space="preserve">Air Emergency </v>
      </c>
      <c r="E103" t="str">
        <f ca="1">IFERROR(__xludf.DUMMYFUNCTION("""COMPUTED_VALUE"""),"TV Series 2003– )")</f>
        <v>TV Series 2003– )</v>
      </c>
    </row>
    <row r="104" spans="1:5" ht="13" x14ac:dyDescent="0.15">
      <c r="A104" s="5" t="s">
        <v>766</v>
      </c>
      <c r="D104" t="str">
        <f ca="1">IFERROR(__xludf.DUMMYFUNCTION("split(A104,""("")"),"Airplane Repo ")</f>
        <v xml:space="preserve">Airplane Repo </v>
      </c>
      <c r="E104" t="str">
        <f ca="1">IFERROR(__xludf.DUMMYFUNCTION("""COMPUTED_VALUE"""),"TV Series 2010– )")</f>
        <v>TV Series 2010– )</v>
      </c>
    </row>
    <row r="105" spans="1:5" ht="13" x14ac:dyDescent="0.15">
      <c r="A105" s="5" t="s">
        <v>767</v>
      </c>
      <c r="D105" t="str">
        <f ca="1">IFERROR(__xludf.DUMMYFUNCTION("split(A105,""("")"),"Airwolf ")</f>
        <v xml:space="preserve">Airwolf </v>
      </c>
      <c r="E105" t="str">
        <f ca="1">IFERROR(__xludf.DUMMYFUNCTION("""COMPUTED_VALUE"""),"TV Series 1984–1986)")</f>
        <v>TV Series 1984–1986)</v>
      </c>
    </row>
    <row r="106" spans="1:5" ht="13" x14ac:dyDescent="0.15">
      <c r="A106" s="5" t="s">
        <v>398</v>
      </c>
      <c r="D106" t="str">
        <f ca="1">IFERROR(__xludf.DUMMYFUNCTION("split(A106,""("")"),"Aladdin ")</f>
        <v xml:space="preserve">Aladdin </v>
      </c>
      <c r="E106" t="str">
        <f ca="1">IFERROR(__xludf.DUMMYFUNCTION("""COMPUTED_VALUE"""),"TV Series 1994–1995)")</f>
        <v>TV Series 1994–1995)</v>
      </c>
    </row>
    <row r="107" spans="1:5" ht="13" x14ac:dyDescent="0.15">
      <c r="A107" s="5" t="s">
        <v>768</v>
      </c>
      <c r="D107" t="str">
        <f ca="1">IFERROR(__xludf.DUMMYFUNCTION("split(A107,""("")"),"Alakdana ")</f>
        <v xml:space="preserve">Alakdana </v>
      </c>
      <c r="E107" t="str">
        <f ca="1">IFERROR(__xludf.DUMMYFUNCTION("""COMPUTED_VALUE"""),"TV Series 2011– )")</f>
        <v>TV Series 2011– )</v>
      </c>
    </row>
    <row r="108" spans="1:5" ht="13" x14ac:dyDescent="0.15">
      <c r="A108" s="5" t="s">
        <v>769</v>
      </c>
      <c r="D108" t="str">
        <f ca="1">IFERROR(__xludf.DUMMYFUNCTION("split(A108,""("")"),"Alarm für Cobra 11Die Autobahnpolizei ")</f>
        <v xml:space="preserve">Alarm für Cobra 11Die Autobahnpolizei </v>
      </c>
      <c r="E108" t="str">
        <f ca="1">IFERROR(__xludf.DUMMYFUNCTION("""COMPUTED_VALUE"""),"TV Series 1996– )")</f>
        <v>TV Series 1996– )</v>
      </c>
    </row>
    <row r="109" spans="1:5" ht="13" x14ac:dyDescent="0.15">
      <c r="A109" s="5" t="s">
        <v>770</v>
      </c>
      <c r="D109" t="str">
        <f ca="1">IFERROR(__xludf.DUMMYFUNCTION("split(A109,""("")"),"Ales Lamka Fitness ")</f>
        <v xml:space="preserve">Ales Lamka Fitness </v>
      </c>
      <c r="E109" t="str">
        <f ca="1">IFERROR(__xludf.DUMMYFUNCTION("""COMPUTED_VALUE"""),"TV Series 2014– )")</f>
        <v>TV Series 2014– )</v>
      </c>
    </row>
    <row r="110" spans="1:5" ht="13" x14ac:dyDescent="0.15">
      <c r="A110" s="5" t="s">
        <v>771</v>
      </c>
      <c r="D110" t="str">
        <f ca="1">IFERROR(__xludf.DUMMYFUNCTION("split(A110,""("")"),"Alex, Inc. ")</f>
        <v xml:space="preserve">Alex, Inc. </v>
      </c>
      <c r="E110" t="str">
        <f ca="1">IFERROR(__xludf.DUMMYFUNCTION("""COMPUTED_VALUE"""),"TV Series 2018)")</f>
        <v>TV Series 2018)</v>
      </c>
    </row>
    <row r="111" spans="1:5" ht="13" x14ac:dyDescent="0.15">
      <c r="A111" s="5" t="s">
        <v>772</v>
      </c>
      <c r="D111" t="str">
        <f ca="1">IFERROR(__xludf.DUMMYFUNCTION("split(A111,""("")"),"Alexa &amp; Katie ")</f>
        <v xml:space="preserve">Alexa &amp; Katie </v>
      </c>
      <c r="E111" t="str">
        <f ca="1">IFERROR(__xludf.DUMMYFUNCTION("""COMPUTED_VALUE"""),"TV Series 2018– )")</f>
        <v>TV Series 2018– )</v>
      </c>
    </row>
    <row r="112" spans="1:5" ht="13" x14ac:dyDescent="0.15">
      <c r="A112" s="5" t="s">
        <v>773</v>
      </c>
      <c r="D112" t="str">
        <f ca="1">IFERROR(__xludf.DUMMYFUNCTION("split(A112,""("")"),"ALF ")</f>
        <v xml:space="preserve">ALF </v>
      </c>
      <c r="E112" t="str">
        <f ca="1">IFERROR(__xludf.DUMMYFUNCTION("""COMPUTED_VALUE"""),"TV Series 1986–1990)")</f>
        <v>TV Series 1986–1990)</v>
      </c>
    </row>
    <row r="113" spans="1:5" ht="13" x14ac:dyDescent="0.15">
      <c r="A113" s="5" t="s">
        <v>774</v>
      </c>
      <c r="D113" t="str">
        <f ca="1">IFERROR(__xludf.DUMMYFUNCTION("split(A113,""("")"),"Alfred J. Kwak ")</f>
        <v xml:space="preserve">Alfred J. Kwak </v>
      </c>
      <c r="E113" t="str">
        <f ca="1">IFERROR(__xludf.DUMMYFUNCTION("""COMPUTED_VALUE"""),"TV Series 1989–1991)")</f>
        <v>TV Series 1989–1991)</v>
      </c>
    </row>
    <row r="114" spans="1:5" ht="13" x14ac:dyDescent="0.15">
      <c r="A114" s="5" t="s">
        <v>775</v>
      </c>
      <c r="D114" t="str">
        <f ca="1">IFERROR(__xludf.DUMMYFUNCTION("split(A114,""("")"),"Ali May ASMR ")</f>
        <v xml:space="preserve">Ali May ASMR </v>
      </c>
      <c r="E114" t="str">
        <f ca="1">IFERROR(__xludf.DUMMYFUNCTION("""COMPUTED_VALUE"""),"TV Series 2018– )")</f>
        <v>TV Series 2018– )</v>
      </c>
    </row>
    <row r="115" spans="1:5" ht="13" x14ac:dyDescent="0.15">
      <c r="A115" s="5" t="s">
        <v>326</v>
      </c>
      <c r="D115" t="str">
        <f ca="1">IFERROR(__xludf.DUMMYFUNCTION("split(A115,""("")"),"Alias ")</f>
        <v xml:space="preserve">Alias </v>
      </c>
      <c r="E115" t="str">
        <f ca="1">IFERROR(__xludf.DUMMYFUNCTION("""COMPUTED_VALUE"""),"TV Series 2001–2006)")</f>
        <v>TV Series 2001–2006)</v>
      </c>
    </row>
    <row r="116" spans="1:5" ht="13" x14ac:dyDescent="0.15">
      <c r="A116" s="5" t="s">
        <v>409</v>
      </c>
      <c r="D116" t="str">
        <f ca="1">IFERROR(__xludf.DUMMYFUNCTION("split(A116,""("")"),"Alien Nation ")</f>
        <v xml:space="preserve">Alien Nation </v>
      </c>
      <c r="E116" t="str">
        <f ca="1">IFERROR(__xludf.DUMMYFUNCTION("""COMPUTED_VALUE"""),"TV Series 1989–1990)")</f>
        <v>TV Series 1989–1990)</v>
      </c>
    </row>
    <row r="117" spans="1:5" ht="13" x14ac:dyDescent="0.15">
      <c r="A117" s="5" t="s">
        <v>776</v>
      </c>
      <c r="D117" t="str">
        <f ca="1">IFERROR(__xludf.DUMMYFUNCTION("split(A117,""("")"),"Aliens in the Family ")</f>
        <v xml:space="preserve">Aliens in the Family </v>
      </c>
      <c r="E117" t="str">
        <f ca="1">IFERROR(__xludf.DUMMYFUNCTION("""COMPUTED_VALUE"""),"TV Series 1987– )")</f>
        <v>TV Series 1987– )</v>
      </c>
    </row>
    <row r="118" spans="1:5" ht="13" x14ac:dyDescent="0.15">
      <c r="A118" s="5" t="s">
        <v>529</v>
      </c>
      <c r="D118" t="str">
        <f ca="1">IFERROR(__xludf.DUMMYFUNCTION("split(A118,""("")"),"Aliens in the Family ")</f>
        <v xml:space="preserve">Aliens in the Family </v>
      </c>
      <c r="E118" t="str">
        <f ca="1">IFERROR(__xludf.DUMMYFUNCTION("""COMPUTED_VALUE"""),"TV Series 1996– )")</f>
        <v>TV Series 1996– )</v>
      </c>
    </row>
    <row r="119" spans="1:5" ht="13" x14ac:dyDescent="0.15">
      <c r="A119" s="5" t="s">
        <v>777</v>
      </c>
      <c r="D119" t="str">
        <f ca="1">IFERROR(__xludf.DUMMYFUNCTION("split(A119,""("")"),"Alisea and the Dream Prince ")</f>
        <v xml:space="preserve">Alisea and the Dream Prince </v>
      </c>
      <c r="E119" t="str">
        <f ca="1">IFERROR(__xludf.DUMMYFUNCTION("""COMPUTED_VALUE"""),"TV Movie 1996)")</f>
        <v>TV Movie 1996)</v>
      </c>
    </row>
    <row r="120" spans="1:5" ht="13" x14ac:dyDescent="0.15">
      <c r="A120" s="5" t="s">
        <v>200</v>
      </c>
      <c r="D120" t="str">
        <f ca="1">IFERROR(__xludf.DUMMYFUNCTION("split(A120,""("")"),"All American ")</f>
        <v xml:space="preserve">All American </v>
      </c>
      <c r="E120" t="str">
        <f ca="1">IFERROR(__xludf.DUMMYFUNCTION("""COMPUTED_VALUE"""),"TV Series 2018– )")</f>
        <v>TV Series 2018– )</v>
      </c>
    </row>
    <row r="121" spans="1:5" ht="13" x14ac:dyDescent="0.15">
      <c r="A121" s="5" t="s">
        <v>778</v>
      </c>
      <c r="D121" t="str">
        <f ca="1">IFERROR(__xludf.DUMMYFUNCTION("split(A121,""("")"),"All Def Comedy ")</f>
        <v xml:space="preserve">All Def Comedy </v>
      </c>
      <c r="E121" t="str">
        <f ca="1">IFERROR(__xludf.DUMMYFUNCTION("""COMPUTED_VALUE"""),"TV Series 2017– )")</f>
        <v>TV Series 2017– )</v>
      </c>
    </row>
    <row r="122" spans="1:5" ht="13" x14ac:dyDescent="0.15">
      <c r="A122" s="5" t="s">
        <v>779</v>
      </c>
      <c r="D122" t="str">
        <f ca="1">IFERROR(__xludf.DUMMYFUNCTION("split(A122,""("")"),"All Grown Up! ")</f>
        <v xml:space="preserve">All Grown Up! </v>
      </c>
      <c r="E122" t="str">
        <f ca="1">IFERROR(__xludf.DUMMYFUNCTION("""COMPUTED_VALUE"""),"TV Series 2003–2008)")</f>
        <v>TV Series 2003–2008)</v>
      </c>
    </row>
    <row r="123" spans="1:5" ht="13" x14ac:dyDescent="0.15">
      <c r="A123" s="5" t="s">
        <v>780</v>
      </c>
      <c r="D123" t="str">
        <f ca="1">IFERROR(__xludf.DUMMYFUNCTION("split(A123,""("")"),"All Saints ")</f>
        <v xml:space="preserve">All Saints </v>
      </c>
      <c r="E123" t="str">
        <f ca="1">IFERROR(__xludf.DUMMYFUNCTION("""COMPUTED_VALUE"""),"TV Series 1998–2009)")</f>
        <v>TV Series 1998–2009)</v>
      </c>
    </row>
    <row r="124" spans="1:5" ht="13" x14ac:dyDescent="0.15">
      <c r="A124" s="5" t="s">
        <v>781</v>
      </c>
      <c r="D124" t="str">
        <f ca="1">IFERROR(__xludf.DUMMYFUNCTION("split(A124,""("")"),"All Souls ")</f>
        <v xml:space="preserve">All Souls </v>
      </c>
      <c r="E124" t="str">
        <f ca="1">IFERROR(__xludf.DUMMYFUNCTION("""COMPUTED_VALUE"""),"TV Series 2001– )")</f>
        <v>TV Series 2001– )</v>
      </c>
    </row>
    <row r="125" spans="1:5" ht="13" x14ac:dyDescent="0.15">
      <c r="A125" s="5" t="s">
        <v>659</v>
      </c>
      <c r="D125" t="str">
        <f ca="1">IFERROR(__xludf.DUMMYFUNCTION("split(A125,""("")"),"Allen Gregory ")</f>
        <v xml:space="preserve">Allen Gregory </v>
      </c>
      <c r="E125" t="str">
        <f ca="1">IFERROR(__xludf.DUMMYFUNCTION("""COMPUTED_VALUE"""),"TV Series 2011)")</f>
        <v>TV Series 2011)</v>
      </c>
    </row>
    <row r="126" spans="1:5" ht="13" x14ac:dyDescent="0.15">
      <c r="A126" s="5" t="s">
        <v>782</v>
      </c>
      <c r="D126" t="str">
        <f ca="1">IFERROR(__xludf.DUMMYFUNCTION("split(A126,""("")"),"Alleyn Mysteries ")</f>
        <v xml:space="preserve">Alleyn Mysteries </v>
      </c>
      <c r="E126" t="str">
        <f ca="1">IFERROR(__xludf.DUMMYFUNCTION("""COMPUTED_VALUE"""),"TV Series 1990–1994)")</f>
        <v>TV Series 1990–1994)</v>
      </c>
    </row>
    <row r="127" spans="1:5" ht="13" x14ac:dyDescent="0.15">
      <c r="A127" s="8" t="s">
        <v>783</v>
      </c>
      <c r="D127" t="str">
        <f ca="1">IFERROR(__xludf.DUMMYFUNCTION("split(A127,""("")"),"Allo 'Allo ")</f>
        <v xml:space="preserve">Allo 'Allo </v>
      </c>
      <c r="E127" t="str">
        <f ca="1">IFERROR(__xludf.DUMMYFUNCTION("""COMPUTED_VALUE"""),"TV Series 1982–1992)")</f>
        <v>TV Series 1982–1992)</v>
      </c>
    </row>
    <row r="128" spans="1:5" ht="13" x14ac:dyDescent="0.15">
      <c r="A128" s="5" t="s">
        <v>327</v>
      </c>
      <c r="D128" t="str">
        <f ca="1">IFERROR(__xludf.DUMMYFUNCTION("split(A128,""("")"),"Ally McBeal ")</f>
        <v xml:space="preserve">Ally McBeal </v>
      </c>
      <c r="E128" t="str">
        <f ca="1">IFERROR(__xludf.DUMMYFUNCTION("""COMPUTED_VALUE"""),"TV Series 1997–2002)")</f>
        <v>TV Series 1997–2002)</v>
      </c>
    </row>
    <row r="129" spans="1:5" ht="13" x14ac:dyDescent="0.15">
      <c r="A129" s="5" t="s">
        <v>784</v>
      </c>
      <c r="D129" t="str">
        <f ca="1">IFERROR(__xludf.DUMMYFUNCTION("split(A129,""("")"),"Almost Home ")</f>
        <v xml:space="preserve">Almost Home </v>
      </c>
      <c r="E129" t="str">
        <f ca="1">IFERROR(__xludf.DUMMYFUNCTION("""COMPUTED_VALUE"""),"TV Series 1993)")</f>
        <v>TV Series 1993)</v>
      </c>
    </row>
    <row r="130" spans="1:5" ht="13" x14ac:dyDescent="0.15">
      <c r="A130" s="5" t="s">
        <v>785</v>
      </c>
      <c r="D130" t="str">
        <f ca="1">IFERROR(__xludf.DUMMYFUNCTION("split(A130,""("")"),"Alone ")</f>
        <v xml:space="preserve">Alone </v>
      </c>
      <c r="E130" t="str">
        <f ca="1">IFERROR(__xludf.DUMMYFUNCTION("""COMPUTED_VALUE"""),"TV Series 2015– )")</f>
        <v>TV Series 2015– )</v>
      </c>
    </row>
    <row r="131" spans="1:5" ht="13" x14ac:dyDescent="0.15">
      <c r="A131" s="5" t="s">
        <v>786</v>
      </c>
      <c r="D131" t="str">
        <f ca="1">IFERROR(__xludf.DUMMYFUNCTION("split(A131,""("")"),"Alone Together ")</f>
        <v xml:space="preserve">Alone Together </v>
      </c>
      <c r="E131" t="str">
        <f ca="1">IFERROR(__xludf.DUMMYFUNCTION("""COMPUTED_VALUE"""),"TV Series 2018)")</f>
        <v>TV Series 2018)</v>
      </c>
    </row>
    <row r="132" spans="1:5" ht="13" x14ac:dyDescent="0.15">
      <c r="A132" s="5" t="s">
        <v>104</v>
      </c>
      <c r="D132" t="str">
        <f ca="1">IFERROR(__xludf.DUMMYFUNCTION("split(A132,""("")"),"Altered Carbon ")</f>
        <v xml:space="preserve">Altered Carbon </v>
      </c>
      <c r="E132" t="str">
        <f ca="1">IFERROR(__xludf.DUMMYFUNCTION("""COMPUTED_VALUE"""),"TV Series 2018– )")</f>
        <v>TV Series 2018– )</v>
      </c>
    </row>
    <row r="133" spans="1:5" ht="13" x14ac:dyDescent="0.15">
      <c r="A133" s="5" t="s">
        <v>787</v>
      </c>
      <c r="D133" t="str">
        <f ca="1">IFERROR(__xludf.DUMMYFUNCTION("split(A133,""("")"),"Always and Everyone ")</f>
        <v xml:space="preserve">Always and Everyone </v>
      </c>
      <c r="E133" t="str">
        <f ca="1">IFERROR(__xludf.DUMMYFUNCTION("""COMPUTED_VALUE"""),"TV Series 1999–2002)")</f>
        <v>TV Series 1999–2002)</v>
      </c>
    </row>
    <row r="134" spans="1:5" ht="13" x14ac:dyDescent="0.15">
      <c r="A134" s="5" t="s">
        <v>490</v>
      </c>
      <c r="D134" t="str">
        <f ca="1">IFERROR(__xludf.DUMMYFUNCTION("split(A134,""("")"),"Amada Anime Series: Super Mario ")</f>
        <v xml:space="preserve">Amada Anime Series: Super Mario </v>
      </c>
      <c r="E134" t="str">
        <f ca="1">IFERROR(__xludf.DUMMYFUNCTION("""COMPUTED_VALUE"""),"TV Series 1989– )")</f>
        <v>TV Series 1989– )</v>
      </c>
    </row>
    <row r="135" spans="1:5" ht="13" x14ac:dyDescent="0.15">
      <c r="A135" s="5" t="s">
        <v>788</v>
      </c>
      <c r="D135" t="str">
        <f ca="1">IFERROR(__xludf.DUMMYFUNCTION("split(A135,""("")"),"America ")</f>
        <v xml:space="preserve">America </v>
      </c>
      <c r="E135" t="str">
        <f ca="1">IFERROR(__xludf.DUMMYFUNCTION("""COMPUTED_VALUE"""),"TV Series 2005– )")</f>
        <v>TV Series 2005– )</v>
      </c>
    </row>
    <row r="136" spans="1:5" ht="13" x14ac:dyDescent="0.15">
      <c r="A136" s="5" t="s">
        <v>789</v>
      </c>
      <c r="D136" t="str">
        <f ca="1">IFERROR(__xludf.DUMMYFUNCTION("split(A136,""("")"),"America's Book of Secrets ")</f>
        <v xml:space="preserve">America's Book of Secrets </v>
      </c>
      <c r="E136" t="str">
        <f ca="1">IFERROR(__xludf.DUMMYFUNCTION("""COMPUTED_VALUE"""),"TV Series 2012– )")</f>
        <v>TV Series 2012– )</v>
      </c>
    </row>
    <row r="137" spans="1:5" ht="13" x14ac:dyDescent="0.15">
      <c r="A137" s="5" t="s">
        <v>790</v>
      </c>
      <c r="D137" t="str">
        <f ca="1">IFERROR(__xludf.DUMMYFUNCTION("split(A137,""("")"),"America's Funniest Home Videos ")</f>
        <v xml:space="preserve">America's Funniest Home Videos </v>
      </c>
      <c r="E137" t="str">
        <f ca="1">IFERROR(__xludf.DUMMYFUNCTION("""COMPUTED_VALUE"""),"TV Series 1989– )")</f>
        <v>TV Series 1989– )</v>
      </c>
    </row>
    <row r="138" spans="1:5" ht="13" x14ac:dyDescent="0.15">
      <c r="A138" s="5" t="s">
        <v>530</v>
      </c>
      <c r="D138" t="str">
        <f ca="1">IFERROR(__xludf.DUMMYFUNCTION("split(A138,""("")"),"America's Most Wanted: America Fights Back ")</f>
        <v xml:space="preserve">America's Most Wanted: America Fights Back </v>
      </c>
      <c r="E138" t="str">
        <f ca="1">IFERROR(__xludf.DUMMYFUNCTION("""COMPUTED_VALUE"""),"TV Series 1988–2013)")</f>
        <v>TV Series 1988–2013)</v>
      </c>
    </row>
    <row r="139" spans="1:5" ht="13" x14ac:dyDescent="0.15">
      <c r="A139" s="5" t="s">
        <v>791</v>
      </c>
      <c r="D139" t="str">
        <f ca="1">IFERROR(__xludf.DUMMYFUNCTION("split(A139,""("")"),"America's Next Top Model ")</f>
        <v xml:space="preserve">America's Next Top Model </v>
      </c>
      <c r="E139" t="str">
        <f ca="1">IFERROR(__xludf.DUMMYFUNCTION("""COMPUTED_VALUE"""),"TV Series 2003– )")</f>
        <v>TV Series 2003– )</v>
      </c>
    </row>
    <row r="140" spans="1:5" ht="13" x14ac:dyDescent="0.15">
      <c r="A140" s="5" t="s">
        <v>792</v>
      </c>
      <c r="D140" t="str">
        <f ca="1">IFERROR(__xludf.DUMMYFUNCTION("split(A140,""("")"),"American Chainsaw ")</f>
        <v xml:space="preserve">American Chainsaw </v>
      </c>
      <c r="E140" t="str">
        <f ca="1">IFERROR(__xludf.DUMMYFUNCTION("""COMPUTED_VALUE"""),"TV Series 2012– )")</f>
        <v>TV Series 2012– )</v>
      </c>
    </row>
    <row r="141" spans="1:5" ht="13" x14ac:dyDescent="0.15">
      <c r="A141" s="5" t="s">
        <v>793</v>
      </c>
      <c r="D141" t="str">
        <f ca="1">IFERROR(__xludf.DUMMYFUNCTION("split(A141,""("")"),"American Crime Story ")</f>
        <v xml:space="preserve">American Crime Story </v>
      </c>
      <c r="E141" t="str">
        <f ca="1">IFERROR(__xludf.DUMMYFUNCTION("""COMPUTED_VALUE"""),"TV Series 2016– )")</f>
        <v>TV Series 2016– )</v>
      </c>
    </row>
    <row r="142" spans="1:5" ht="13" x14ac:dyDescent="0.15">
      <c r="A142" s="5" t="s">
        <v>318</v>
      </c>
      <c r="D142" t="str">
        <f ca="1">IFERROR(__xludf.DUMMYFUNCTION("split(A142,""("")"),"American Dad! ")</f>
        <v xml:space="preserve">American Dad! </v>
      </c>
      <c r="E142" t="str">
        <f ca="1">IFERROR(__xludf.DUMMYFUNCTION("""COMPUTED_VALUE"""),"TV Series 2005– )")</f>
        <v>TV Series 2005– )</v>
      </c>
    </row>
    <row r="143" spans="1:5" ht="13" x14ac:dyDescent="0.15">
      <c r="A143" s="5" t="s">
        <v>794</v>
      </c>
      <c r="D143" t="str">
        <f ca="1">IFERROR(__xludf.DUMMYFUNCTION("split(A143,""("")"),"American Dragon: Jake Long ")</f>
        <v xml:space="preserve">American Dragon: Jake Long </v>
      </c>
      <c r="E143" t="str">
        <f ca="1">IFERROR(__xludf.DUMMYFUNCTION("""COMPUTED_VALUE"""),"TV Series 2005–2007)")</f>
        <v>TV Series 2005–2007)</v>
      </c>
    </row>
    <row r="144" spans="1:5" ht="13" x14ac:dyDescent="0.15">
      <c r="A144" s="5" t="s">
        <v>795</v>
      </c>
      <c r="D144" t="str">
        <f ca="1">IFERROR(__xludf.DUMMYFUNCTION("split(A144,""("")"),"American Dream Builders ")</f>
        <v xml:space="preserve">American Dream Builders </v>
      </c>
      <c r="E144" t="str">
        <f ca="1">IFERROR(__xludf.DUMMYFUNCTION("""COMPUTED_VALUE"""),"TV Series 2014– )")</f>
        <v>TV Series 2014– )</v>
      </c>
    </row>
    <row r="145" spans="1:5" ht="13" x14ac:dyDescent="0.15">
      <c r="A145" s="5" t="s">
        <v>796</v>
      </c>
      <c r="D145" t="str">
        <f ca="1">IFERROR(__xludf.DUMMYFUNCTION("split(A145,""("")"),"American Dreams ")</f>
        <v xml:space="preserve">American Dreams </v>
      </c>
      <c r="E145" t="str">
        <f ca="1">IFERROR(__xludf.DUMMYFUNCTION("""COMPUTED_VALUE"""),"TV Series 2002–2005)")</f>
        <v>TV Series 2002–2005)</v>
      </c>
    </row>
    <row r="146" spans="1:5" ht="13" x14ac:dyDescent="0.15">
      <c r="A146" s="5" t="s">
        <v>797</v>
      </c>
      <c r="D146" t="str">
        <f ca="1">IFERROR(__xludf.DUMMYFUNCTION("split(A146,""("")"),"American Gods ")</f>
        <v xml:space="preserve">American Gods </v>
      </c>
      <c r="E146" t="str">
        <f ca="1">IFERROR(__xludf.DUMMYFUNCTION("""COMPUTED_VALUE"""),"TV Series 2017– )")</f>
        <v>TV Series 2017– )</v>
      </c>
    </row>
    <row r="147" spans="1:5" ht="13" x14ac:dyDescent="0.15">
      <c r="A147" s="5" t="s">
        <v>798</v>
      </c>
      <c r="D147" t="str">
        <f ca="1">IFERROR(__xludf.DUMMYFUNCTION("split(A147,""("")"),"American Gothic ")</f>
        <v xml:space="preserve">American Gothic </v>
      </c>
      <c r="E147" t="str">
        <f ca="1">IFERROR(__xludf.DUMMYFUNCTION("""COMPUTED_VALUE"""),"TV Series 1995–1996)")</f>
        <v>TV Series 1995–1996)</v>
      </c>
    </row>
    <row r="148" spans="1:5" ht="13" x14ac:dyDescent="0.15">
      <c r="A148" s="5" t="s">
        <v>531</v>
      </c>
      <c r="D148" t="str">
        <f ca="1">IFERROR(__xludf.DUMMYFUNCTION("split(A148,""("")"),"American Gothic ")</f>
        <v xml:space="preserve">American Gothic </v>
      </c>
      <c r="E148" t="str">
        <f ca="1">IFERROR(__xludf.DUMMYFUNCTION("""COMPUTED_VALUE"""),"TV Series 2016)")</f>
        <v>TV Series 2016)</v>
      </c>
    </row>
    <row r="149" spans="1:5" ht="13" x14ac:dyDescent="0.15">
      <c r="A149" s="5" t="s">
        <v>248</v>
      </c>
      <c r="D149" t="str">
        <f ca="1">IFERROR(__xludf.DUMMYFUNCTION("split(A149,""("")"),"American Horror Story ")</f>
        <v xml:space="preserve">American Horror Story </v>
      </c>
      <c r="E149" t="str">
        <f ca="1">IFERROR(__xludf.DUMMYFUNCTION("""COMPUTED_VALUE"""),"TV Series 2011– )")</f>
        <v>TV Series 2011– )</v>
      </c>
    </row>
    <row r="150" spans="1:5" ht="13" x14ac:dyDescent="0.15">
      <c r="A150" s="5" t="s">
        <v>328</v>
      </c>
      <c r="D150" t="str">
        <f ca="1">IFERROR(__xludf.DUMMYFUNCTION("split(A150,""("")"),"American Idol ")</f>
        <v xml:space="preserve">American Idol </v>
      </c>
      <c r="E150" t="str">
        <f ca="1">IFERROR(__xludf.DUMMYFUNCTION("""COMPUTED_VALUE"""),"TV Series 2002– )")</f>
        <v>TV Series 2002– )</v>
      </c>
    </row>
    <row r="151" spans="1:5" ht="13" x14ac:dyDescent="0.15">
      <c r="A151" s="5" t="s">
        <v>799</v>
      </c>
      <c r="D151" t="str">
        <f ca="1">IFERROR(__xludf.DUMMYFUNCTION("split(A151,""("")"),"American Murder Song ")</f>
        <v xml:space="preserve">American Murder Song </v>
      </c>
      <c r="E151" t="str">
        <f ca="1">IFERROR(__xludf.DUMMYFUNCTION("""COMPUTED_VALUE"""),"TV Series 2016– )")</f>
        <v>TV Series 2016– )</v>
      </c>
    </row>
    <row r="152" spans="1:5" ht="13" x14ac:dyDescent="0.15">
      <c r="A152" s="5" t="s">
        <v>800</v>
      </c>
      <c r="D152" t="str">
        <f ca="1">IFERROR(__xludf.DUMMYFUNCTION("split(A152,""("")"),"American Odyssey ")</f>
        <v xml:space="preserve">American Odyssey </v>
      </c>
      <c r="E152" t="str">
        <f ca="1">IFERROR(__xludf.DUMMYFUNCTION("""COMPUTED_VALUE"""),"TV Series 2015)")</f>
        <v>TV Series 2015)</v>
      </c>
    </row>
    <row r="153" spans="1:5" ht="13" x14ac:dyDescent="0.15">
      <c r="A153" s="5" t="s">
        <v>801</v>
      </c>
      <c r="D153" t="str">
        <f ca="1">IFERROR(__xludf.DUMMYFUNCTION("split(A153,""("")"),"American Pickers ")</f>
        <v xml:space="preserve">American Pickers </v>
      </c>
      <c r="E153" t="str">
        <f ca="1">IFERROR(__xludf.DUMMYFUNCTION("""COMPUTED_VALUE"""),"TV Series 2010– )")</f>
        <v>TV Series 2010– )</v>
      </c>
    </row>
    <row r="154" spans="1:5" ht="13" x14ac:dyDescent="0.15">
      <c r="A154" s="5" t="s">
        <v>802</v>
      </c>
      <c r="D154" t="str">
        <f ca="1">IFERROR(__xludf.DUMMYFUNCTION("split(A154,""("")"),"American Pie ")</f>
        <v xml:space="preserve">American Pie </v>
      </c>
      <c r="E154" t="str">
        <f ca="1">IFERROR(__xludf.DUMMYFUNCTION("""COMPUTED_VALUE"""),"TV Series 1989– )")</f>
        <v>TV Series 1989– )</v>
      </c>
    </row>
    <row r="155" spans="1:5" ht="13" x14ac:dyDescent="0.15">
      <c r="A155" s="5" t="s">
        <v>803</v>
      </c>
      <c r="D155" t="str">
        <f ca="1">IFERROR(__xludf.DUMMYFUNCTION("split(A155,""("")"),"American Playboy: The Hugh Hefner Story ")</f>
        <v xml:space="preserve">American Playboy: The Hugh Hefner Story </v>
      </c>
      <c r="E155" t="str">
        <f ca="1">IFERROR(__xludf.DUMMYFUNCTION("""COMPUTED_VALUE"""),"TV Series 2017– )")</f>
        <v>TV Series 2017– )</v>
      </c>
    </row>
    <row r="156" spans="1:5" ht="13" x14ac:dyDescent="0.15">
      <c r="A156" s="5" t="s">
        <v>271</v>
      </c>
      <c r="D156" t="str">
        <f ca="1">IFERROR(__xludf.DUMMYFUNCTION("split(A156,""("")"),"American Woman ")</f>
        <v xml:space="preserve">American Woman </v>
      </c>
      <c r="E156" t="str">
        <f ca="1">IFERROR(__xludf.DUMMYFUNCTION("""COMPUTED_VALUE"""),"TV Series 2018)")</f>
        <v>TV Series 2018)</v>
      </c>
    </row>
    <row r="157" spans="1:5" ht="13" x14ac:dyDescent="0.15">
      <c r="A157" s="5" t="s">
        <v>804</v>
      </c>
      <c r="D157" t="str">
        <f ca="1">IFERROR(__xludf.DUMMYFUNCTION("split(A157,""("")"),"Amie and Kamil's Fitness Journey ")</f>
        <v xml:space="preserve">Amie and Kamil's Fitness Journey </v>
      </c>
      <c r="E157" t="str">
        <f ca="1">IFERROR(__xludf.DUMMYFUNCTION("""COMPUTED_VALUE"""),"TV Series 2017– )")</f>
        <v>TV Series 2017– )</v>
      </c>
    </row>
    <row r="158" spans="1:5" ht="13" x14ac:dyDescent="0.15">
      <c r="A158" s="5" t="s">
        <v>805</v>
      </c>
      <c r="D158" t="str">
        <f ca="1">IFERROR(__xludf.DUMMYFUNCTION("split(A158,""("")"),"Amor de 4 ")</f>
        <v xml:space="preserve">Amor de 4 </v>
      </c>
      <c r="E158" t="str">
        <f ca="1">IFERROR(__xludf.DUMMYFUNCTION("""COMPUTED_VALUE"""),"TV Series 2017– )")</f>
        <v>TV Series 2017– )</v>
      </c>
    </row>
    <row r="159" spans="1:5" ht="13" x14ac:dyDescent="0.15">
      <c r="A159" s="5" t="s">
        <v>806</v>
      </c>
      <c r="D159" t="str">
        <f ca="1">IFERROR(__xludf.DUMMYFUNCTION("split(A159,""("")"),"Amor sin maquillaje ")</f>
        <v xml:space="preserve">Amor sin maquillaje </v>
      </c>
      <c r="E159" t="str">
        <f ca="1">IFERROR(__xludf.DUMMYFUNCTION("""COMPUTED_VALUE"""),"TV Series 2007– )")</f>
        <v>TV Series 2007– )</v>
      </c>
    </row>
    <row r="160" spans="1:5" ht="13" x14ac:dyDescent="0.15">
      <c r="A160" s="5" t="s">
        <v>807</v>
      </c>
      <c r="D160" t="str">
        <f ca="1">IFERROR(__xludf.DUMMYFUNCTION("split(A160,""("")"),"Amphibia ")</f>
        <v xml:space="preserve">Amphibia </v>
      </c>
      <c r="E160" t="str">
        <f ca="1">IFERROR(__xludf.DUMMYFUNCTION("""COMPUTED_VALUE"""),"TV Series 2019– )")</f>
        <v>TV Series 2019– )</v>
      </c>
    </row>
    <row r="161" spans="1:5" ht="13" x14ac:dyDescent="0.15">
      <c r="A161" s="5" t="s">
        <v>808</v>
      </c>
      <c r="D161" t="str">
        <f ca="1">IFERROR(__xludf.DUMMYFUNCTION("split(A161,""("")"),"An Idiot Abroad ")</f>
        <v xml:space="preserve">An Idiot Abroad </v>
      </c>
      <c r="E161" t="str">
        <f ca="1">IFERROR(__xludf.DUMMYFUNCTION("""COMPUTED_VALUE"""),"TV Series 2010–2012)")</f>
        <v>TV Series 2010–2012)</v>
      </c>
    </row>
    <row r="162" spans="1:5" ht="13" x14ac:dyDescent="0.15">
      <c r="A162" s="5" t="s">
        <v>809</v>
      </c>
      <c r="D162" t="str">
        <f ca="1">IFERROR(__xludf.DUMMYFUNCTION("split(A162,""("")"),"Ancient Aliens ")</f>
        <v xml:space="preserve">Ancient Aliens </v>
      </c>
      <c r="E162" t="str">
        <f ca="1">IFERROR(__xludf.DUMMYFUNCTION("""COMPUTED_VALUE"""),"TV Series 2009– )")</f>
        <v>TV Series 2009– )</v>
      </c>
    </row>
    <row r="163" spans="1:5" ht="13" x14ac:dyDescent="0.15">
      <c r="A163" s="5" t="s">
        <v>810</v>
      </c>
      <c r="D163" t="str">
        <f ca="1">IFERROR(__xludf.DUMMYFUNCTION("split(A163,""("")"),"Andi Mack ")</f>
        <v xml:space="preserve">Andi Mack </v>
      </c>
      <c r="E163" t="str">
        <f ca="1">IFERROR(__xludf.DUMMYFUNCTION("""COMPUTED_VALUE"""),"TV Series 2017–2019)")</f>
        <v>TV Series 2017–2019)</v>
      </c>
    </row>
    <row r="164" spans="1:5" ht="13" x14ac:dyDescent="0.15">
      <c r="A164" s="5" t="s">
        <v>811</v>
      </c>
      <c r="D164" t="str">
        <f ca="1">IFERROR(__xludf.DUMMYFUNCTION("split(A164,""("")"),"Andrew Marr's History of the World ")</f>
        <v xml:space="preserve">Andrew Marr's History of the World </v>
      </c>
      <c r="E164" t="str">
        <f ca="1">IFERROR(__xludf.DUMMYFUNCTION("""COMPUTED_VALUE"""),"TV Series 2012– )")</f>
        <v>TV Series 2012– )</v>
      </c>
    </row>
    <row r="165" spans="1:5" ht="13" x14ac:dyDescent="0.15">
      <c r="A165" s="5" t="s">
        <v>491</v>
      </c>
      <c r="D165" t="str">
        <f ca="1">IFERROR(__xludf.DUMMYFUNCTION("split(A165,""("")"),"Andromeda ")</f>
        <v xml:space="preserve">Andromeda </v>
      </c>
      <c r="E165" t="str">
        <f ca="1">IFERROR(__xludf.DUMMYFUNCTION("""COMPUTED_VALUE"""),"TV Series 2000–2005)")</f>
        <v>TV Series 2000–2005)</v>
      </c>
    </row>
    <row r="166" spans="1:5" ht="13" x14ac:dyDescent="0.15">
      <c r="A166" s="5" t="s">
        <v>812</v>
      </c>
      <c r="D166" t="str">
        <f ca="1">IFERROR(__xludf.DUMMYFUNCTION("split(A166,""("")"),"Andy Shows ")</f>
        <v xml:space="preserve">Andy Shows </v>
      </c>
      <c r="E166" t="str">
        <f ca="1">IFERROR(__xludf.DUMMYFUNCTION("""COMPUTED_VALUE"""),"TV Series 2013–2016)")</f>
        <v>TV Series 2013–2016)</v>
      </c>
    </row>
    <row r="167" spans="1:5" ht="13" x14ac:dyDescent="0.15">
      <c r="A167" s="5" t="s">
        <v>813</v>
      </c>
      <c r="D167" t="str">
        <f ca="1">IFERROR(__xludf.DUMMYFUNCTION("split(A167,""("")"),"Ang babaeng hinugot sa aking tadyang ")</f>
        <v xml:space="preserve">Ang babaeng hinugot sa aking tadyang </v>
      </c>
      <c r="E167" t="str">
        <f ca="1">IFERROR(__xludf.DUMMYFUNCTION("""COMPUTED_VALUE"""),"TV Series 2009– )")</f>
        <v>TV Series 2009– )</v>
      </c>
    </row>
    <row r="168" spans="1:5" ht="13" x14ac:dyDescent="0.15">
      <c r="A168" s="5" t="s">
        <v>532</v>
      </c>
      <c r="D168" t="str">
        <f ca="1">IFERROR(__xludf.DUMMYFUNCTION("split(A168,""("")"),"Angel ")</f>
        <v xml:space="preserve">Angel </v>
      </c>
      <c r="E168" t="str">
        <f ca="1">IFERROR(__xludf.DUMMYFUNCTION("""COMPUTED_VALUE"""),"TV Series 1999–2004)")</f>
        <v>TV Series 1999–2004)</v>
      </c>
    </row>
    <row r="169" spans="1:5" ht="13" x14ac:dyDescent="0.15">
      <c r="A169" s="5" t="s">
        <v>814</v>
      </c>
      <c r="D169" t="str">
        <f ca="1">IFERROR(__xludf.DUMMYFUNCTION("split(A169,""("")"),"Angelic Layer ")</f>
        <v xml:space="preserve">Angelic Layer </v>
      </c>
      <c r="E169" t="str">
        <f ca="1">IFERROR(__xludf.DUMMYFUNCTION("""COMPUTED_VALUE"""),"TV Series 2001– )")</f>
        <v>TV Series 2001– )</v>
      </c>
    </row>
    <row r="170" spans="1:5" ht="13" x14ac:dyDescent="0.15">
      <c r="A170" s="5" t="s">
        <v>418</v>
      </c>
      <c r="D170" t="str">
        <f ca="1">IFERROR(__xludf.DUMMYFUNCTION("split(A170,""("")"),"Anger Management ")</f>
        <v xml:space="preserve">Anger Management </v>
      </c>
      <c r="E170" t="str">
        <f ca="1">IFERROR(__xludf.DUMMYFUNCTION("""COMPUTED_VALUE"""),"TV Series 2012–2014)")</f>
        <v>TV Series 2012–2014)</v>
      </c>
    </row>
    <row r="171" spans="1:5" ht="13" x14ac:dyDescent="0.15">
      <c r="A171" s="5" t="s">
        <v>815</v>
      </c>
      <c r="D171" t="str">
        <f ca="1">IFERROR(__xludf.DUMMYFUNCTION("split(A171,""("")"),"Angie Tribeca ")</f>
        <v xml:space="preserve">Angie Tribeca </v>
      </c>
      <c r="E171" t="str">
        <f ca="1">IFERROR(__xludf.DUMMYFUNCTION("""COMPUTED_VALUE"""),"TV Series 2016– )")</f>
        <v>TV Series 2016– )</v>
      </c>
    </row>
    <row r="172" spans="1:5" ht="13" x14ac:dyDescent="0.15">
      <c r="A172" s="5" t="s">
        <v>816</v>
      </c>
      <c r="D172" t="str">
        <f ca="1">IFERROR(__xludf.DUMMYFUNCTION("split(A172,""("")"),"Animal Armageddon ")</f>
        <v xml:space="preserve">Animal Armageddon </v>
      </c>
      <c r="E172" t="str">
        <f ca="1">IFERROR(__xludf.DUMMYFUNCTION("""COMPUTED_VALUE"""),"TV Series 2009– )")</f>
        <v>TV Series 2009– )</v>
      </c>
    </row>
    <row r="173" spans="1:5" ht="13" x14ac:dyDescent="0.15">
      <c r="A173" s="5" t="s">
        <v>419</v>
      </c>
      <c r="D173" t="str">
        <f ca="1">IFERROR(__xludf.DUMMYFUNCTION("split(A173,""("")"),"Animal Kingdom ")</f>
        <v xml:space="preserve">Animal Kingdom </v>
      </c>
      <c r="E173" t="str">
        <f ca="1">IFERROR(__xludf.DUMMYFUNCTION("""COMPUTED_VALUE"""),"TV Series 2016– )")</f>
        <v>TV Series 2016– )</v>
      </c>
    </row>
    <row r="174" spans="1:5" ht="13" x14ac:dyDescent="0.15">
      <c r="A174" s="5" t="s">
        <v>329</v>
      </c>
      <c r="D174" t="str">
        <f ca="1">IFERROR(__xludf.DUMMYFUNCTION("split(A174,""("")"),"Animaniacs ")</f>
        <v xml:space="preserve">Animaniacs </v>
      </c>
      <c r="E174" t="str">
        <f ca="1">IFERROR(__xludf.DUMMYFUNCTION("""COMPUTED_VALUE"""),"TV Series 1993–1998)")</f>
        <v>TV Series 1993–1998)</v>
      </c>
    </row>
    <row r="175" spans="1:5" ht="13" x14ac:dyDescent="0.15">
      <c r="A175" s="5" t="s">
        <v>817</v>
      </c>
      <c r="D175" t="str">
        <f ca="1">IFERROR(__xludf.DUMMYFUNCTION("split(A175,""("")"),"Anime Abandon ")</f>
        <v xml:space="preserve">Anime Abandon </v>
      </c>
      <c r="E175" t="str">
        <f ca="1">IFERROR(__xludf.DUMMYFUNCTION("""COMPUTED_VALUE"""),"TV Series 2011– )")</f>
        <v>TV Series 2011– )</v>
      </c>
    </row>
    <row r="176" spans="1:5" ht="13" x14ac:dyDescent="0.15">
      <c r="A176" s="5" t="s">
        <v>818</v>
      </c>
      <c r="D176" t="str">
        <f ca="1">IFERROR(__xludf.DUMMYFUNCTION("split(A176,""("")"),"Anime-Gataris ")</f>
        <v xml:space="preserve">Anime-Gataris </v>
      </c>
      <c r="E176" t="str">
        <f ca="1">IFERROR(__xludf.DUMMYFUNCTION("""COMPUTED_VALUE"""),"TV Series 2017– )")</f>
        <v>TV Series 2017– )</v>
      </c>
    </row>
    <row r="177" spans="1:5" ht="13" x14ac:dyDescent="0.15">
      <c r="A177" s="5" t="s">
        <v>819</v>
      </c>
      <c r="D177" t="str">
        <f ca="1">IFERROR(__xludf.DUMMYFUNCTION("split(A177,""("")"),"Anna ")</f>
        <v xml:space="preserve">Anna </v>
      </c>
      <c r="E177" t="str">
        <f ca="1">IFERROR(__xludf.DUMMYFUNCTION("""COMPUTED_VALUE"""),"TV Series 2008– )")</f>
        <v>TV Series 2008– )</v>
      </c>
    </row>
    <row r="178" spans="1:5" ht="13" x14ac:dyDescent="0.15">
      <c r="A178" s="5" t="s">
        <v>820</v>
      </c>
      <c r="D178" t="str">
        <f ca="1">IFERROR(__xludf.DUMMYFUNCTION("split(A178,""("")"),"Anna Sulc ")</f>
        <v xml:space="preserve">Anna Sulc </v>
      </c>
      <c r="E178" t="str">
        <f ca="1">IFERROR(__xludf.DUMMYFUNCTION("""COMPUTED_VALUE"""),"TV Series 2015– )")</f>
        <v>TV Series 2015– )</v>
      </c>
    </row>
    <row r="179" spans="1:5" ht="13" x14ac:dyDescent="0.15">
      <c r="A179" s="5" t="s">
        <v>821</v>
      </c>
      <c r="D179" t="str">
        <f ca="1">IFERROR(__xludf.DUMMYFUNCTION("split(A179,""("")"),"Annie Camel ")</f>
        <v xml:space="preserve">Annie Camel </v>
      </c>
      <c r="E179" t="str">
        <f ca="1">IFERROR(__xludf.DUMMYFUNCTION("""COMPUTED_VALUE"""),"TV Series 2015– )")</f>
        <v>TV Series 2015– )</v>
      </c>
    </row>
    <row r="180" spans="1:5" ht="13" x14ac:dyDescent="0.15">
      <c r="A180" s="5" t="s">
        <v>822</v>
      </c>
      <c r="D180" t="str">
        <f ca="1">IFERROR(__xludf.DUMMYFUNCTION("split(A180,""("")"),"Annie Ki Ayegi Baraat ")</f>
        <v xml:space="preserve">Annie Ki Ayegi Baraat </v>
      </c>
      <c r="E180" t="str">
        <f ca="1">IFERROR(__xludf.DUMMYFUNCTION("""COMPUTED_VALUE"""),"TV Series 2012)")</f>
        <v>TV Series 2012)</v>
      </c>
    </row>
    <row r="181" spans="1:5" ht="13" x14ac:dyDescent="0.15">
      <c r="A181" s="5" t="s">
        <v>823</v>
      </c>
      <c r="D181" t="str">
        <f ca="1">IFERROR(__xludf.DUMMYFUNCTION("split(A181,""("")"),"Anohana: The Flower We Saw That Day ")</f>
        <v xml:space="preserve">Anohana: The Flower We Saw That Day </v>
      </c>
      <c r="E181" t="str">
        <f ca="1">IFERROR(__xludf.DUMMYFUNCTION("""COMPUTED_VALUE"""),"TV Mini-Series 2011– )")</f>
        <v>TV Mini-Series 2011– )</v>
      </c>
    </row>
    <row r="182" spans="1:5" ht="13" x14ac:dyDescent="0.15">
      <c r="A182" s="5" t="s">
        <v>824</v>
      </c>
      <c r="D182" t="str">
        <f ca="1">IFERROR(__xludf.DUMMYFUNCTION("split(A182,""("")"),"Another ")</f>
        <v xml:space="preserve">Another </v>
      </c>
      <c r="E182" t="str">
        <f ca="1">IFERROR(__xludf.DUMMYFUNCTION("""COMPUTED_VALUE"""),"TV Series 2012)")</f>
        <v>TV Series 2012)</v>
      </c>
    </row>
    <row r="183" spans="1:5" ht="13" x14ac:dyDescent="0.15">
      <c r="A183" s="5" t="s">
        <v>825</v>
      </c>
      <c r="D183" t="str">
        <f ca="1">IFERROR(__xludf.DUMMYFUNCTION("split(A183,""("")"),"Another Period ")</f>
        <v xml:space="preserve">Another Period </v>
      </c>
      <c r="E183" t="str">
        <f ca="1">IFERROR(__xludf.DUMMYFUNCTION("""COMPUTED_VALUE"""),"TV Series 2013–2018)")</f>
        <v>TV Series 2013–2018)</v>
      </c>
    </row>
    <row r="184" spans="1:5" ht="13" x14ac:dyDescent="0.15">
      <c r="A184" s="5" t="s">
        <v>330</v>
      </c>
      <c r="D184" t="str">
        <f ca="1">IFERROR(__xludf.DUMMYFUNCTION("split(A184,""("")"),"Anthony Bourdain: Parts Unknown ")</f>
        <v xml:space="preserve">Anthony Bourdain: Parts Unknown </v>
      </c>
      <c r="E184" t="str">
        <f ca="1">IFERROR(__xludf.DUMMYFUNCTION("""COMPUTED_VALUE"""),"TV Series 2013–2018)")</f>
        <v>TV Series 2013–2018)</v>
      </c>
    </row>
    <row r="185" spans="1:5" ht="13" x14ac:dyDescent="0.15">
      <c r="A185" s="5" t="s">
        <v>826</v>
      </c>
      <c r="D185" t="str">
        <f ca="1">IFERROR(__xludf.DUMMYFUNCTION("split(A185,""("")"),"Any Day Now ")</f>
        <v xml:space="preserve">Any Day Now </v>
      </c>
      <c r="E185" t="str">
        <f ca="1">IFERROR(__xludf.DUMMYFUNCTION("""COMPUTED_VALUE"""),"TV Series 1998–2002)")</f>
        <v>TV Series 1998–2002)</v>
      </c>
    </row>
    <row r="186" spans="1:5" ht="13" x14ac:dyDescent="0.15">
      <c r="A186" s="5" t="s">
        <v>827</v>
      </c>
      <c r="D186" t="str">
        <f ca="1">IFERROR(__xludf.DUMMYFUNCTION("split(A186,""("")"),"Anyone But Me ")</f>
        <v xml:space="preserve">Anyone But Me </v>
      </c>
      <c r="E186" t="str">
        <f ca="1">IFERROR(__xludf.DUMMYFUNCTION("""COMPUTED_VALUE"""),"TV Series 2008– )")</f>
        <v>TV Series 2008– )</v>
      </c>
    </row>
    <row r="187" spans="1:5" ht="13" x14ac:dyDescent="0.15">
      <c r="A187" s="5" t="s">
        <v>828</v>
      </c>
      <c r="D187" t="str">
        <f ca="1">IFERROR(__xludf.DUMMYFUNCTION("split(A187,""("")"),"Aqua Teen Hunger Force ")</f>
        <v xml:space="preserve">Aqua Teen Hunger Force </v>
      </c>
      <c r="E187" t="str">
        <f ca="1">IFERROR(__xludf.DUMMYFUNCTION("""COMPUTED_VALUE"""),"TV Series 2000–2015)")</f>
        <v>TV Series 2000–2015)</v>
      </c>
    </row>
    <row r="188" spans="1:5" ht="13" x14ac:dyDescent="0.15">
      <c r="A188" s="5" t="s">
        <v>829</v>
      </c>
      <c r="D188" t="str">
        <f ca="1">IFERROR(__xludf.DUMMYFUNCTION("split(A188,""("")"),"Aquarius ")</f>
        <v xml:space="preserve">Aquarius </v>
      </c>
      <c r="E188" t="str">
        <f ca="1">IFERROR(__xludf.DUMMYFUNCTION("""COMPUTED_VALUE"""),"TV Series 2015–2016)")</f>
        <v>TV Series 2015–2016)</v>
      </c>
    </row>
    <row r="189" spans="1:5" ht="13" x14ac:dyDescent="0.15">
      <c r="A189" s="5" t="s">
        <v>830</v>
      </c>
      <c r="D189" t="str">
        <f ca="1">IFERROR(__xludf.DUMMYFUNCTION("split(A189,""("")"),"Aquí no hay quien viva ")</f>
        <v xml:space="preserve">Aquí no hay quien viva </v>
      </c>
      <c r="E189" t="str">
        <f ca="1">IFERROR(__xludf.DUMMYFUNCTION("""COMPUTED_VALUE"""),"TV Series 2003–2006)")</f>
        <v>TV Series 2003–2006)</v>
      </c>
    </row>
    <row r="190" spans="1:5" ht="13" x14ac:dyDescent="0.15">
      <c r="A190" s="5" t="s">
        <v>831</v>
      </c>
      <c r="D190" t="str">
        <f ca="1">IFERROR(__xludf.DUMMYFUNCTION("split(A190,""("")"),"Arab Labor ")</f>
        <v xml:space="preserve">Arab Labor </v>
      </c>
      <c r="E190" t="str">
        <f ca="1">IFERROR(__xludf.DUMMYFUNCTION("""COMPUTED_VALUE"""),"TV Series 2007– )")</f>
        <v>TV Series 2007– )</v>
      </c>
    </row>
    <row r="191" spans="1:5" ht="13" x14ac:dyDescent="0.15">
      <c r="A191" s="5" t="s">
        <v>832</v>
      </c>
      <c r="D191" t="str">
        <f ca="1">IFERROR(__xludf.DUMMYFUNCTION("split(A191,""("")"),"Arang and the Magistrate ")</f>
        <v xml:space="preserve">Arang and the Magistrate </v>
      </c>
      <c r="E191" t="str">
        <f ca="1">IFERROR(__xludf.DUMMYFUNCTION("""COMPUTED_VALUE"""),"TV Series 2012– )")</f>
        <v>TV Series 2012– )</v>
      </c>
    </row>
    <row r="192" spans="1:5" ht="13" x14ac:dyDescent="0.15">
      <c r="A192" s="5" t="s">
        <v>660</v>
      </c>
      <c r="D192" t="str">
        <f ca="1">IFERROR(__xludf.DUMMYFUNCTION("split(A192,""("")"),"Archer ")</f>
        <v xml:space="preserve">Archer </v>
      </c>
      <c r="E192" t="str">
        <f ca="1">IFERROR(__xludf.DUMMYFUNCTION("""COMPUTED_VALUE"""),"TV Series 2009– )")</f>
        <v>TV Series 2009– )</v>
      </c>
    </row>
    <row r="193" spans="1:5" ht="13" x14ac:dyDescent="0.15">
      <c r="A193" s="5" t="s">
        <v>833</v>
      </c>
      <c r="D193" t="str">
        <f ca="1">IFERROR(__xludf.DUMMYFUNCTION("split(A193,""("")"),"Archie's Weird Mysteries ")</f>
        <v xml:space="preserve">Archie's Weird Mysteries </v>
      </c>
      <c r="E193" t="str">
        <f ca="1">IFERROR(__xludf.DUMMYFUNCTION("""COMPUTED_VALUE"""),"TV Series 1999–2000)")</f>
        <v>TV Series 1999–2000)</v>
      </c>
    </row>
    <row r="194" spans="1:5" ht="13" x14ac:dyDescent="0.15">
      <c r="A194" s="5" t="s">
        <v>834</v>
      </c>
      <c r="D194" t="str">
        <f ca="1">IFERROR(__xludf.DUMMYFUNCTION("split(A194,""("")"),"Are You Afraid of the Dark? ")</f>
        <v xml:space="preserve">Are You Afraid of the Dark? </v>
      </c>
      <c r="E194" t="str">
        <f ca="1">IFERROR(__xludf.DUMMYFUNCTION("""COMPUTED_VALUE"""),"TV Series 1990–2000)")</f>
        <v>TV Series 1990–2000)</v>
      </c>
    </row>
    <row r="195" spans="1:5" ht="13" x14ac:dyDescent="0.15">
      <c r="A195" s="5" t="s">
        <v>835</v>
      </c>
      <c r="D195" t="str">
        <f ca="1">IFERROR(__xludf.DUMMYFUNCTION("split(A195,""("")"),"Are You the One? ")</f>
        <v xml:space="preserve">Are You the One? </v>
      </c>
      <c r="E195" t="str">
        <f ca="1">IFERROR(__xludf.DUMMYFUNCTION("""COMPUTED_VALUE"""),"TV Series 2014– )")</f>
        <v>TV Series 2014– )</v>
      </c>
    </row>
    <row r="196" spans="1:5" ht="13" x14ac:dyDescent="0.15">
      <c r="A196" s="5" t="s">
        <v>836</v>
      </c>
      <c r="D196" t="str">
        <f ca="1">IFERROR(__xludf.DUMMYFUNCTION("split(A196,""("")"),"Area 88 ")</f>
        <v xml:space="preserve">Area 88 </v>
      </c>
      <c r="E196" t="str">
        <f ca="1">IFERROR(__xludf.DUMMYFUNCTION("""COMPUTED_VALUE"""),"TV Series 2004– )")</f>
        <v>TV Series 2004– )</v>
      </c>
    </row>
    <row r="197" spans="1:5" ht="13" x14ac:dyDescent="0.15">
      <c r="A197" s="5" t="s">
        <v>837</v>
      </c>
      <c r="D197" t="str">
        <f ca="1">IFERROR(__xludf.DUMMYFUNCTION("split(A197,""("")"),"Argai: The Prophecy ")</f>
        <v xml:space="preserve">Argai: The Prophecy </v>
      </c>
      <c r="E197" t="str">
        <f ca="1">IFERROR(__xludf.DUMMYFUNCTION("""COMPUTED_VALUE"""),"TV Series 2000–2001)")</f>
        <v>TV Series 2000–2001)</v>
      </c>
    </row>
    <row r="198" spans="1:5" ht="13" x14ac:dyDescent="0.15">
      <c r="A198" s="5" t="s">
        <v>838</v>
      </c>
      <c r="D198" t="str">
        <f ca="1">IFERROR(__xludf.DUMMYFUNCTION("split(A198,""("")"),"Århundredets vidner ")</f>
        <v xml:space="preserve">Århundredets vidner </v>
      </c>
      <c r="E198" t="str">
        <f ca="1">IFERROR(__xludf.DUMMYFUNCTION("""COMPUTED_VALUE"""),"TV Series 1998–1999)")</f>
        <v>TV Series 1998–1999)</v>
      </c>
    </row>
    <row r="199" spans="1:5" ht="13" x14ac:dyDescent="0.15">
      <c r="A199" s="5" t="s">
        <v>839</v>
      </c>
      <c r="D199" t="str">
        <f ca="1">IFERROR(__xludf.DUMMYFUNCTION("split(A199,""("")"),"Army Wives ")</f>
        <v xml:space="preserve">Army Wives </v>
      </c>
      <c r="E199" t="str">
        <f ca="1">IFERROR(__xludf.DUMMYFUNCTION("""COMPUTED_VALUE"""),"TV Series 2007–2013)")</f>
        <v>TV Series 2007–2013)</v>
      </c>
    </row>
    <row r="200" spans="1:5" ht="13" x14ac:dyDescent="0.15">
      <c r="A200" s="5" t="s">
        <v>840</v>
      </c>
      <c r="D200" t="str">
        <f ca="1">IFERROR(__xludf.DUMMYFUNCTION("split(A200,""("")"),"Around the World with Willy Fog ")</f>
        <v xml:space="preserve">Around the World with Willy Fog </v>
      </c>
      <c r="E200" t="str">
        <f ca="1">IFERROR(__xludf.DUMMYFUNCTION("""COMPUTED_VALUE"""),"TV Series 1981– )")</f>
        <v>TV Series 1981– )</v>
      </c>
    </row>
    <row r="201" spans="1:5" ht="13" x14ac:dyDescent="0.15">
      <c r="A201" s="5" t="s">
        <v>841</v>
      </c>
      <c r="D201" t="str">
        <f ca="1">IFERROR(__xludf.DUMMYFUNCTION("split(A201,""("")"),"Arrested Development ")</f>
        <v xml:space="preserve">Arrested Development </v>
      </c>
      <c r="E201" t="str">
        <f ca="1">IFERROR(__xludf.DUMMYFUNCTION("""COMPUTED_VALUE"""),"TV Series 2003– )")</f>
        <v>TV Series 2003– )</v>
      </c>
    </row>
    <row r="202" spans="1:5" ht="13" x14ac:dyDescent="0.15">
      <c r="A202" s="5" t="s">
        <v>489</v>
      </c>
      <c r="D202" t="str">
        <f ca="1">IFERROR(__xludf.DUMMYFUNCTION("split(A202,""("")"),"Arrow ")</f>
        <v xml:space="preserve">Arrow </v>
      </c>
      <c r="E202" t="str">
        <f ca="1">IFERROR(__xludf.DUMMYFUNCTION("""COMPUTED_VALUE"""),"TV Series 2012– )")</f>
        <v>TV Series 2012– )</v>
      </c>
    </row>
    <row r="203" spans="1:5" ht="13" x14ac:dyDescent="0.15">
      <c r="A203" s="5" t="s">
        <v>842</v>
      </c>
      <c r="D203" t="str">
        <f ca="1">IFERROR(__xludf.DUMMYFUNCTION("split(A203,""("")"),"Art of the Western World ")</f>
        <v xml:space="preserve">Art of the Western World </v>
      </c>
      <c r="E203" t="str">
        <f ca="1">IFERROR(__xludf.DUMMYFUNCTION("""COMPUTED_VALUE"""),"TV Series 1989– )")</f>
        <v>TV Series 1989– )</v>
      </c>
    </row>
    <row r="204" spans="1:5" ht="13" x14ac:dyDescent="0.15">
      <c r="A204" s="5" t="s">
        <v>843</v>
      </c>
      <c r="D204" t="str">
        <f ca="1">IFERROR(__xludf.DUMMYFUNCTION("split(A204,""("")"),"Artists at Work ")</f>
        <v xml:space="preserve">Artists at Work </v>
      </c>
      <c r="E204" t="str">
        <f ca="1">IFERROR(__xludf.DUMMYFUNCTION("""COMPUTED_VALUE"""),"TV Series 2006–2007)")</f>
        <v>TV Series 2006–2007)</v>
      </c>
    </row>
    <row r="205" spans="1:5" ht="13" x14ac:dyDescent="0.15">
      <c r="A205" s="5" t="s">
        <v>844</v>
      </c>
      <c r="D205" t="str">
        <f ca="1">IFERROR(__xludf.DUMMYFUNCTION("split(A205,""("")"),"As Ilhas Desconhecidas ")</f>
        <v xml:space="preserve">As Ilhas Desconhecidas </v>
      </c>
      <c r="E205" t="str">
        <f ca="1">IFERROR(__xludf.DUMMYFUNCTION("""COMPUTED_VALUE"""),"TV Series 2009– )")</f>
        <v>TV Series 2009– )</v>
      </c>
    </row>
    <row r="206" spans="1:5" ht="13" x14ac:dyDescent="0.15">
      <c r="A206" s="5" t="s">
        <v>845</v>
      </c>
      <c r="D206" t="str">
        <f ca="1">IFERROR(__xludf.DUMMYFUNCTION("split(A206,""("")"),"As Time Goes By ")</f>
        <v xml:space="preserve">As Time Goes By </v>
      </c>
      <c r="E206" t="str">
        <f ca="1">IFERROR(__xludf.DUMMYFUNCTION("""COMPUTED_VALUE"""),"TV Series 1992–2005)")</f>
        <v>TV Series 1992–2005)</v>
      </c>
    </row>
    <row r="207" spans="1:5" ht="13" x14ac:dyDescent="0.15">
      <c r="A207" s="5" t="s">
        <v>420</v>
      </c>
      <c r="D207" t="str">
        <f ca="1">IFERROR(__xludf.DUMMYFUNCTION("split(A207,""("")"),"Ash vs Evil Dead ")</f>
        <v xml:space="preserve">Ash vs Evil Dead </v>
      </c>
      <c r="E207" t="str">
        <f ca="1">IFERROR(__xludf.DUMMYFUNCTION("""COMPUTED_VALUE"""),"TV Series 2015–2018)")</f>
        <v>TV Series 2015–2018)</v>
      </c>
    </row>
    <row r="208" spans="1:5" ht="13" x14ac:dyDescent="0.15">
      <c r="A208" s="5" t="s">
        <v>846</v>
      </c>
      <c r="D208" t="str">
        <f ca="1">IFERROR(__xludf.DUMMYFUNCTION("split(A208,""("")"),"Ashes to Ashes ")</f>
        <v xml:space="preserve">Ashes to Ashes </v>
      </c>
      <c r="E208" t="str">
        <f ca="1">IFERROR(__xludf.DUMMYFUNCTION("""COMPUTED_VALUE"""),"TV Series 2008–2010)")</f>
        <v>TV Series 2008–2010)</v>
      </c>
    </row>
    <row r="209" spans="1:5" ht="13" x14ac:dyDescent="0.15">
      <c r="A209" s="5" t="s">
        <v>847</v>
      </c>
      <c r="D209" t="str">
        <f ca="1">IFERROR(__xludf.DUMMYFUNCTION("split(A209,""("")"),"Así son ellas ")</f>
        <v xml:space="preserve">Así son ellas </v>
      </c>
      <c r="E209" t="str">
        <f ca="1">IFERROR(__xludf.DUMMYFUNCTION("""COMPUTED_VALUE"""),"TV Series 2002–2003)")</f>
        <v>TV Series 2002–2003)</v>
      </c>
    </row>
    <row r="210" spans="1:5" ht="13" x14ac:dyDescent="0.15">
      <c r="A210" s="5" t="s">
        <v>848</v>
      </c>
      <c r="D210" t="str">
        <f ca="1">IFERROR(__xludf.DUMMYFUNCTION("split(A210,""("")"),"Asian Treasures ")</f>
        <v xml:space="preserve">Asian Treasures </v>
      </c>
      <c r="E210" t="str">
        <f ca="1">IFERROR(__xludf.DUMMYFUNCTION("""COMPUTED_VALUE"""),"TV Series 2007– )")</f>
        <v>TV Series 2007– )</v>
      </c>
    </row>
    <row r="211" spans="1:5" ht="13" x14ac:dyDescent="0.15">
      <c r="A211" s="5" t="s">
        <v>849</v>
      </c>
      <c r="D211" t="str">
        <f ca="1">IFERROR(__xludf.DUMMYFUNCTION("split(A211,""("")"),"ASMR Darling ")</f>
        <v xml:space="preserve">ASMR Darling </v>
      </c>
      <c r="E211" t="str">
        <f ca="1">IFERROR(__xludf.DUMMYFUNCTION("""COMPUTED_VALUE"""),"TV Series 2016– )")</f>
        <v>TV Series 2016– )</v>
      </c>
    </row>
    <row r="212" spans="1:5" ht="13" x14ac:dyDescent="0.15">
      <c r="A212" s="5" t="s">
        <v>850</v>
      </c>
      <c r="D212" t="str">
        <f ca="1">IFERROR(__xludf.DUMMYFUNCTION("split(A212,""("")"),"ASMR Melina ")</f>
        <v xml:space="preserve">ASMR Melina </v>
      </c>
      <c r="E212" t="str">
        <f ca="1">IFERROR(__xludf.DUMMYFUNCTION("""COMPUTED_VALUE"""),"TV Series 2019– )")</f>
        <v>TV Series 2019– )</v>
      </c>
    </row>
    <row r="213" spans="1:5" ht="13" x14ac:dyDescent="0.15">
      <c r="A213" s="5" t="s">
        <v>851</v>
      </c>
      <c r="D213" t="str">
        <f ca="1">IFERROR(__xludf.DUMMYFUNCTION("split(A213,""("")"),"ASMR Patronus ")</f>
        <v xml:space="preserve">ASMR Patronus </v>
      </c>
      <c r="E213" t="str">
        <f ca="1">IFERROR(__xludf.DUMMYFUNCTION("""COMPUTED_VALUE"""),"TV Series 2017– )")</f>
        <v>TV Series 2017– )</v>
      </c>
    </row>
    <row r="214" spans="1:5" ht="13" x14ac:dyDescent="0.15">
      <c r="A214" s="5" t="s">
        <v>852</v>
      </c>
      <c r="D214" t="str">
        <f ca="1">IFERROR(__xludf.DUMMYFUNCTION("split(A214,""("")"),"Asmrbebexo ")</f>
        <v xml:space="preserve">Asmrbebexo </v>
      </c>
      <c r="E214" t="str">
        <f ca="1">IFERROR(__xludf.DUMMYFUNCTION("""COMPUTED_VALUE"""),"TV Series 2012– )")</f>
        <v>TV Series 2012– )</v>
      </c>
    </row>
    <row r="215" spans="1:5" ht="13" x14ac:dyDescent="0.15">
      <c r="A215" s="5" t="s">
        <v>853</v>
      </c>
      <c r="D215" t="str">
        <f ca="1">IFERROR(__xludf.DUMMYFUNCTION("split(A215,""("")"),"Atashinchi no danshi ")</f>
        <v xml:space="preserve">Atashinchi no danshi </v>
      </c>
      <c r="E215" t="str">
        <f ca="1">IFERROR(__xludf.DUMMYFUNCTION("""COMPUTED_VALUE"""),"TV Series 2009– )")</f>
        <v>TV Series 2009– )</v>
      </c>
    </row>
    <row r="216" spans="1:5" ht="13" x14ac:dyDescent="0.15">
      <c r="A216" s="5" t="s">
        <v>201</v>
      </c>
      <c r="D216" t="str">
        <f ca="1">IFERROR(__xludf.DUMMYFUNCTION("split(A216,""("")"),"ATL Homicide ")</f>
        <v xml:space="preserve">ATL Homicide </v>
      </c>
      <c r="E216" t="str">
        <f ca="1">IFERROR(__xludf.DUMMYFUNCTION("""COMPUTED_VALUE"""),"TV Series 2018– )")</f>
        <v>TV Series 2018– )</v>
      </c>
    </row>
    <row r="217" spans="1:5" ht="13" x14ac:dyDescent="0.15">
      <c r="A217" s="5" t="s">
        <v>116</v>
      </c>
      <c r="D217" t="str">
        <f ca="1">IFERROR(__xludf.DUMMYFUNCTION("split(A217,""("")"),"Atlantis ")</f>
        <v xml:space="preserve">Atlantis </v>
      </c>
      <c r="E217" t="str">
        <f ca="1">IFERROR(__xludf.DUMMYFUNCTION("""COMPUTED_VALUE"""),"TV Series 2013–2015)")</f>
        <v>TV Series 2013–2015)</v>
      </c>
    </row>
    <row r="218" spans="1:5" ht="13" x14ac:dyDescent="0.15">
      <c r="A218" s="5" t="s">
        <v>854</v>
      </c>
      <c r="D218" t="str">
        <f ca="1">IFERROR(__xludf.DUMMYFUNCTION("split(A218,""("")"),"Atom TV ")</f>
        <v xml:space="preserve">Atom TV </v>
      </c>
      <c r="E218" t="str">
        <f ca="1">IFERROR(__xludf.DUMMYFUNCTION("""COMPUTED_VALUE"""),"TV Series 2008–2010)")</f>
        <v>TV Series 2008–2010)</v>
      </c>
    </row>
    <row r="219" spans="1:5" ht="13" x14ac:dyDescent="0.15">
      <c r="A219" s="5" t="s">
        <v>855</v>
      </c>
      <c r="D219" t="str">
        <f ca="1">IFERROR(__xludf.DUMMYFUNCTION("split(A219,""("")"),"Attack on Titan ")</f>
        <v xml:space="preserve">Attack on Titan </v>
      </c>
      <c r="E219" t="str">
        <f ca="1">IFERROR(__xludf.DUMMYFUNCTION("""COMPUTED_VALUE"""),"TV Series 2013– )")</f>
        <v>TV Series 2013– )</v>
      </c>
    </row>
    <row r="220" spans="1:5" ht="13" x14ac:dyDescent="0.15">
      <c r="A220" s="5" t="s">
        <v>272</v>
      </c>
      <c r="D220" t="str">
        <f ca="1">IFERROR(__xludf.DUMMYFUNCTION("split(A220,""("")"),"Atypical ")</f>
        <v xml:space="preserve">Atypical </v>
      </c>
      <c r="E220" t="str">
        <f ca="1">IFERROR(__xludf.DUMMYFUNCTION("""COMPUTED_VALUE"""),"TV Series 2017– )")</f>
        <v>TV Series 2017– )</v>
      </c>
    </row>
    <row r="221" spans="1:5" ht="13" x14ac:dyDescent="0.15">
      <c r="A221" s="5" t="s">
        <v>856</v>
      </c>
      <c r="D221" t="str">
        <f ca="1">IFERROR(__xludf.DUMMYFUNCTION("split(A221,""("")"),"Auf Wiedersehen, Pet ")</f>
        <v xml:space="preserve">Auf Wiedersehen, Pet </v>
      </c>
      <c r="E221" t="str">
        <f ca="1">IFERROR(__xludf.DUMMYFUNCTION("""COMPUTED_VALUE"""),"TV Series 1983–2004)")</f>
        <v>TV Series 1983–2004)</v>
      </c>
    </row>
    <row r="222" spans="1:5" ht="13" x14ac:dyDescent="0.15">
      <c r="A222" s="5" t="s">
        <v>857</v>
      </c>
      <c r="D222" t="str">
        <f ca="1">IFERROR(__xludf.DUMMYFUNCTION("split(A222,""("")"),"Austin &amp; Ally ")</f>
        <v xml:space="preserve">Austin &amp; Ally </v>
      </c>
      <c r="E222" t="str">
        <f ca="1">IFERROR(__xludf.DUMMYFUNCTION("""COMPUTED_VALUE"""),"TV Series 2011–2016)")</f>
        <v>TV Series 2011–2016)</v>
      </c>
    </row>
    <row r="223" spans="1:5" ht="13" x14ac:dyDescent="0.15">
      <c r="A223" s="5" t="s">
        <v>858</v>
      </c>
      <c r="D223" t="str">
        <f ca="1">IFERROR(__xludf.DUMMYFUNCTION("split(A223,""("")"),"Austintatious ")</f>
        <v xml:space="preserve">Austintatious </v>
      </c>
      <c r="E223" t="str">
        <f ca="1">IFERROR(__xludf.DUMMYFUNCTION("""COMPUTED_VALUE"""),"TV Series 2017– )")</f>
        <v>TV Series 2017– )</v>
      </c>
    </row>
    <row r="224" spans="1:5" ht="13" x14ac:dyDescent="0.15">
      <c r="A224" s="5" t="s">
        <v>533</v>
      </c>
      <c r="D224" t="str">
        <f ca="1">IFERROR(__xludf.DUMMYFUNCTION("split(A224,""("")"),"Australia's Next Top Model ")</f>
        <v xml:space="preserve">Australia's Next Top Model </v>
      </c>
      <c r="E224" t="str">
        <f ca="1">IFERROR(__xludf.DUMMYFUNCTION("""COMPUTED_VALUE"""),"TV Series 2005– )")</f>
        <v>TV Series 2005– )</v>
      </c>
    </row>
    <row r="225" spans="1:5" ht="13" x14ac:dyDescent="0.15">
      <c r="A225" s="5" t="s">
        <v>859</v>
      </c>
      <c r="D225" t="str">
        <f ca="1">IFERROR(__xludf.DUMMYFUNCTION("split(A225,""("")"),"Australian Icon Towns ")</f>
        <v xml:space="preserve">Australian Icon Towns </v>
      </c>
      <c r="E225" t="str">
        <f ca="1">IFERROR(__xludf.DUMMYFUNCTION("""COMPUTED_VALUE"""),"TV Series 2004–2005)")</f>
        <v>TV Series 2004–2005)</v>
      </c>
    </row>
    <row r="226" spans="1:5" ht="13" x14ac:dyDescent="0.15">
      <c r="A226" s="5" t="s">
        <v>860</v>
      </c>
      <c r="D226" t="str">
        <f ca="1">IFERROR(__xludf.DUMMYFUNCTION("split(A226,""("")"),"Ava-Conda ASMR ")</f>
        <v xml:space="preserve">Ava-Conda ASMR </v>
      </c>
      <c r="E226" t="str">
        <f ca="1">IFERROR(__xludf.DUMMYFUNCTION("""COMPUTED_VALUE"""),"TV Series 2015– )")</f>
        <v>TV Series 2015– )</v>
      </c>
    </row>
    <row r="227" spans="1:5" ht="13" x14ac:dyDescent="0.15">
      <c r="A227" s="5" t="s">
        <v>861</v>
      </c>
      <c r="D227" t="str">
        <f ca="1">IFERROR(__xludf.DUMMYFUNCTION("split(A227,""("")"),"Avatar: The Last Airbender ")</f>
        <v xml:space="preserve">Avatar: The Last Airbender </v>
      </c>
      <c r="E227" t="str">
        <f ca="1">IFERROR(__xludf.DUMMYFUNCTION("""COMPUTED_VALUE"""),"TV Series 2005–2008)")</f>
        <v>TV Series 2005–2008)</v>
      </c>
    </row>
    <row r="228" spans="1:5" ht="13" x14ac:dyDescent="0.15">
      <c r="A228" s="5" t="s">
        <v>492</v>
      </c>
      <c r="D228" t="str">
        <f ca="1">IFERROR(__xludf.DUMMYFUNCTION("split(A228,""("")"),"Avengers: United They Stand ")</f>
        <v xml:space="preserve">Avengers: United They Stand </v>
      </c>
      <c r="E228" t="str">
        <f ca="1">IFERROR(__xludf.DUMMYFUNCTION("""COMPUTED_VALUE"""),"TV Series 1999–2000)")</f>
        <v>TV Series 1999–2000)</v>
      </c>
    </row>
    <row r="229" spans="1:5" ht="13" x14ac:dyDescent="0.15">
      <c r="A229" s="5" t="s">
        <v>862</v>
      </c>
      <c r="D229" t="str">
        <f ca="1">IFERROR(__xludf.DUMMYFUNCTION("split(A229,""("")"),"Average Joe ")</f>
        <v xml:space="preserve">Average Joe </v>
      </c>
      <c r="E229" t="str">
        <f ca="1">IFERROR(__xludf.DUMMYFUNCTION("""COMPUTED_VALUE"""),"TV Series 2003– )")</f>
        <v>TV Series 2003– )</v>
      </c>
    </row>
    <row r="230" spans="1:5" ht="13" x14ac:dyDescent="0.15">
      <c r="A230" s="5" t="s">
        <v>863</v>
      </c>
      <c r="D230" t="str">
        <f ca="1">IFERROR(__xludf.DUMMYFUNCTION("split(A230,""("")"),"Avoiding Armageddon ")</f>
        <v xml:space="preserve">Avoiding Armageddon </v>
      </c>
      <c r="E230" t="str">
        <f ca="1">IFERROR(__xludf.DUMMYFUNCTION("""COMPUTED_VALUE"""),"TV Series 2003– )")</f>
        <v>TV Series 2003– )</v>
      </c>
    </row>
    <row r="231" spans="1:5" ht="13" x14ac:dyDescent="0.15">
      <c r="A231" s="5" t="s">
        <v>864</v>
      </c>
      <c r="D231" t="str">
        <f ca="1">IFERROR(__xludf.DUMMYFUNCTION("split(A231,""("")"),"Avonlea ")</f>
        <v xml:space="preserve">Avonlea </v>
      </c>
      <c r="E231" t="str">
        <f ca="1">IFERROR(__xludf.DUMMYFUNCTION("""COMPUTED_VALUE"""),"TV Series 1990–1996)")</f>
        <v>TV Series 1990–1996)</v>
      </c>
    </row>
    <row r="232" spans="1:5" ht="13" x14ac:dyDescent="0.15">
      <c r="A232" s="5" t="s">
        <v>865</v>
      </c>
      <c r="D232" t="str">
        <f ca="1">IFERROR(__xludf.DUMMYFUNCTION("split(A232,""("")"),"Awkward. ")</f>
        <v xml:space="preserve">Awkward. </v>
      </c>
      <c r="E232" t="str">
        <f ca="1">IFERROR(__xludf.DUMMYFUNCTION("""COMPUTED_VALUE"""),"TV Series 2011–2016)")</f>
        <v>TV Series 2011–2016)</v>
      </c>
    </row>
    <row r="233" spans="1:5" ht="13" x14ac:dyDescent="0.15">
      <c r="A233" s="5" t="s">
        <v>866</v>
      </c>
      <c r="D233" t="str">
        <f ca="1">IFERROR(__xludf.DUMMYFUNCTION("split(A233,""("")"),"Ax Men ")</f>
        <v xml:space="preserve">Ax Men </v>
      </c>
      <c r="E233" t="str">
        <f ca="1">IFERROR(__xludf.DUMMYFUNCTION("""COMPUTED_VALUE"""),"TV Series 2008– )")</f>
        <v>TV Series 2008– )</v>
      </c>
    </row>
    <row r="234" spans="1:5" ht="13" x14ac:dyDescent="0.15">
      <c r="A234" s="5" t="s">
        <v>867</v>
      </c>
      <c r="D234" t="str">
        <f ca="1">IFERROR(__xludf.DUMMYFUNCTION("split(A234,""("")"),"Ayza Atgawez ")</f>
        <v xml:space="preserve">Ayza Atgawez </v>
      </c>
      <c r="E234" t="str">
        <f ca="1">IFERROR(__xludf.DUMMYFUNCTION("""COMPUTED_VALUE"""),"TV Series 2010– )")</f>
        <v>TV Series 2010– )</v>
      </c>
    </row>
    <row r="235" spans="1:5" ht="13" x14ac:dyDescent="0.15">
      <c r="A235" s="5" t="s">
        <v>868</v>
      </c>
      <c r="D235" t="str">
        <f ca="1">IFERROR(__xludf.DUMMYFUNCTION("split(A235,""("")"),"Azumanga Daioh ")</f>
        <v xml:space="preserve">Azumanga Daioh </v>
      </c>
      <c r="E235" t="str">
        <f ca="1">IFERROR(__xludf.DUMMYFUNCTION("""COMPUTED_VALUE"""),"TV Series 2002)")</f>
        <v>TV Series 2002)</v>
      </c>
    </row>
    <row r="236" spans="1:5" ht="13" x14ac:dyDescent="0.15">
      <c r="A236" s="5" t="s">
        <v>869</v>
      </c>
      <c r="D236" t="str">
        <f ca="1">IFERROR(__xludf.DUMMYFUNCTION("split(A236,""("")"),"Babangon ako't dudurugin kita ")</f>
        <v xml:space="preserve">Babangon ako't dudurugin kita </v>
      </c>
      <c r="E236" t="str">
        <f ca="1">IFERROR(__xludf.DUMMYFUNCTION("""COMPUTED_VALUE"""),"TV Series 2008– )")</f>
        <v>TV Series 2008– )</v>
      </c>
    </row>
    <row r="237" spans="1:5" ht="13" x14ac:dyDescent="0.15">
      <c r="A237" s="5" t="s">
        <v>870</v>
      </c>
      <c r="D237" t="str">
        <f ca="1">IFERROR(__xludf.DUMMYFUNCTION("split(A237,""("")"),"Babar ")</f>
        <v xml:space="preserve">Babar </v>
      </c>
      <c r="E237" t="str">
        <f ca="1">IFERROR(__xludf.DUMMYFUNCTION("""COMPUTED_VALUE"""),"TV Series 1989–2002)")</f>
        <v>TV Series 1989–2002)</v>
      </c>
    </row>
    <row r="238" spans="1:5" ht="13" x14ac:dyDescent="0.15">
      <c r="A238" s="5" t="s">
        <v>871</v>
      </c>
      <c r="D238" t="str">
        <f ca="1">IFERROR(__xludf.DUMMYFUNCTION("split(A238,""("")"),"Baby Daddy ")</f>
        <v xml:space="preserve">Baby Daddy </v>
      </c>
      <c r="E238" t="str">
        <f ca="1">IFERROR(__xludf.DUMMYFUNCTION("""COMPUTED_VALUE"""),"TV Series 2012–2017)")</f>
        <v>TV Series 2012–2017)</v>
      </c>
    </row>
    <row r="239" spans="1:5" ht="13" x14ac:dyDescent="0.15">
      <c r="A239" s="5" t="s">
        <v>466</v>
      </c>
      <c r="D239" t="str">
        <f ca="1">IFERROR(__xludf.DUMMYFUNCTION("split(A239,""("")"),"Baby Looney Tunes ")</f>
        <v xml:space="preserve">Baby Looney Tunes </v>
      </c>
      <c r="E239" t="str">
        <f ca="1">IFERROR(__xludf.DUMMYFUNCTION("""COMPUTED_VALUE"""),"TV Series 2002–2005)")</f>
        <v>TV Series 2002–2005)</v>
      </c>
    </row>
    <row r="240" spans="1:5" ht="13" x14ac:dyDescent="0.15">
      <c r="A240" s="5" t="s">
        <v>672</v>
      </c>
      <c r="D240" t="str">
        <f ca="1">IFERROR(__xludf.DUMMYFUNCTION("split(A240,""("")"),"Babylon 5 ")</f>
        <v xml:space="preserve">Babylon 5 </v>
      </c>
      <c r="E240" t="str">
        <f ca="1">IFERROR(__xludf.DUMMYFUNCTION("""COMPUTED_VALUE"""),"TV Series 1994–1998)")</f>
        <v>TV Series 1994–1998)</v>
      </c>
    </row>
    <row r="241" spans="1:5" ht="13" x14ac:dyDescent="0.15">
      <c r="A241" s="5" t="s">
        <v>872</v>
      </c>
      <c r="D241" t="str">
        <f ca="1">IFERROR(__xludf.DUMMYFUNCTION("split(A241,""("")"),"Babylon Berlin ")</f>
        <v xml:space="preserve">Babylon Berlin </v>
      </c>
      <c r="E241" t="str">
        <f ca="1">IFERROR(__xludf.DUMMYFUNCTION("""COMPUTED_VALUE"""),"TV Series 2017– )")</f>
        <v>TV Series 2017– )</v>
      </c>
    </row>
    <row r="242" spans="1:5" ht="13" x14ac:dyDescent="0.15">
      <c r="A242" s="5" t="s">
        <v>873</v>
      </c>
      <c r="D242" t="str">
        <f ca="1">IFERROR(__xludf.DUMMYFUNCTION("split(A242,""("")"),"Baccano! ")</f>
        <v xml:space="preserve">Baccano! </v>
      </c>
      <c r="E242" t="str">
        <f ca="1">IFERROR(__xludf.DUMMYFUNCTION("""COMPUTED_VALUE"""),"TV Series 2007–2008)")</f>
        <v>TV Series 2007–2008)</v>
      </c>
    </row>
    <row r="243" spans="1:5" ht="13" x14ac:dyDescent="0.15">
      <c r="A243" s="5" t="s">
        <v>534</v>
      </c>
      <c r="D243" t="str">
        <f ca="1">IFERROR(__xludf.DUMMYFUNCTION("split(A243,""("")"),"Bachelor in Paradise ")</f>
        <v xml:space="preserve">Bachelor in Paradise </v>
      </c>
      <c r="E243" t="str">
        <f ca="1">IFERROR(__xludf.DUMMYFUNCTION("""COMPUTED_VALUE"""),"TV Series 2014– )")</f>
        <v>TV Series 2014– )</v>
      </c>
    </row>
    <row r="244" spans="1:5" ht="13" x14ac:dyDescent="0.15">
      <c r="A244" s="5" t="s">
        <v>535</v>
      </c>
      <c r="D244" t="str">
        <f ca="1">IFERROR(__xludf.DUMMYFUNCTION("split(A244,""("")"),"Bachelor Pad ")</f>
        <v xml:space="preserve">Bachelor Pad </v>
      </c>
      <c r="E244" t="str">
        <f ca="1">IFERROR(__xludf.DUMMYFUNCTION("""COMPUTED_VALUE"""),"TV Series 2010–2012)")</f>
        <v>TV Series 2010–2012)</v>
      </c>
    </row>
    <row r="245" spans="1:5" ht="13" x14ac:dyDescent="0.15">
      <c r="A245" s="5" t="s">
        <v>874</v>
      </c>
      <c r="D245" t="str">
        <f ca="1">IFERROR(__xludf.DUMMYFUNCTION("split(A245,""("")"),"Back ")</f>
        <v xml:space="preserve">Back </v>
      </c>
      <c r="E245" t="str">
        <f ca="1">IFERROR(__xludf.DUMMYFUNCTION("""COMPUTED_VALUE"""),"TV Series 2017– )")</f>
        <v>TV Series 2017– )</v>
      </c>
    </row>
    <row r="246" spans="1:5" ht="13" x14ac:dyDescent="0.15">
      <c r="A246" s="5" t="s">
        <v>875</v>
      </c>
      <c r="D246" t="str">
        <f ca="1">IFERROR(__xludf.DUMMYFUNCTION("split(A246,""("")"),"Back from the Dead ")</f>
        <v xml:space="preserve">Back from the Dead </v>
      </c>
      <c r="E246" t="str">
        <f ca="1">IFERROR(__xludf.DUMMYFUNCTION("""COMPUTED_VALUE"""),"TV Series 2013– )")</f>
        <v>TV Series 2013– )</v>
      </c>
    </row>
    <row r="247" spans="1:5" ht="13" x14ac:dyDescent="0.15">
      <c r="A247" s="5" t="s">
        <v>876</v>
      </c>
      <c r="D247" t="str">
        <f ca="1">IFERROR(__xludf.DUMMYFUNCTION("split(A247,""("")"),"Back of the Y Masterpiece Television ")</f>
        <v xml:space="preserve">Back of the Y Masterpiece Television </v>
      </c>
      <c r="E247" t="str">
        <f ca="1">IFERROR(__xludf.DUMMYFUNCTION("""COMPUTED_VALUE"""),"TV Series 2008– )")</f>
        <v>TV Series 2008– )</v>
      </c>
    </row>
    <row r="248" spans="1:5" ht="13" x14ac:dyDescent="0.15">
      <c r="A248" s="5" t="s">
        <v>877</v>
      </c>
      <c r="D248" t="str">
        <f ca="1">IFERROR(__xludf.DUMMYFUNCTION("split(A248,""("")"),"Back Roads ")</f>
        <v xml:space="preserve">Back Roads </v>
      </c>
      <c r="E248" t="str">
        <f ca="1">IFERROR(__xludf.DUMMYFUNCTION("""COMPUTED_VALUE"""),"TV Series 2015–2018)")</f>
        <v>TV Series 2015–2018)</v>
      </c>
    </row>
    <row r="249" spans="1:5" ht="13" x14ac:dyDescent="0.15">
      <c r="A249" s="5" t="s">
        <v>421</v>
      </c>
      <c r="D249" t="str">
        <f ca="1">IFERROR(__xludf.DUMMYFUNCTION("split(A249,""("")"),"Back to the Future ")</f>
        <v xml:space="preserve">Back to the Future </v>
      </c>
      <c r="E249" t="str">
        <f ca="1">IFERROR(__xludf.DUMMYFUNCTION("""COMPUTED_VALUE"""),"TV Series 1991–1993)")</f>
        <v>TV Series 1991–1993)</v>
      </c>
    </row>
    <row r="250" spans="1:5" ht="13" x14ac:dyDescent="0.15">
      <c r="A250" s="5" t="s">
        <v>878</v>
      </c>
      <c r="D250" t="str">
        <f ca="1">IFERROR(__xludf.DUMMYFUNCTION("split(A250,""("")"),"Back to the Peaceful Sea ")</f>
        <v xml:space="preserve">Back to the Peaceful Sea </v>
      </c>
      <c r="E250" t="str">
        <f ca="1">IFERROR(__xludf.DUMMYFUNCTION("""COMPUTED_VALUE"""),"TV Series 2016– )")</f>
        <v>TV Series 2016– )</v>
      </c>
    </row>
    <row r="251" spans="1:5" ht="13" x14ac:dyDescent="0.15">
      <c r="A251" s="5" t="s">
        <v>879</v>
      </c>
      <c r="D251" t="str">
        <f ca="1">IFERROR(__xludf.DUMMYFUNCTION("split(A251,""("")"),"Bad Blood ")</f>
        <v xml:space="preserve">Bad Blood </v>
      </c>
      <c r="E251" t="str">
        <f ca="1">IFERROR(__xludf.DUMMYFUNCTION("""COMPUTED_VALUE"""),"TV Mini-Series 2017– )")</f>
        <v>TV Mini-Series 2017– )</v>
      </c>
    </row>
    <row r="252" spans="1:5" ht="13" x14ac:dyDescent="0.15">
      <c r="A252" s="5" t="s">
        <v>880</v>
      </c>
      <c r="D252" t="str">
        <f ca="1">IFERROR(__xludf.DUMMYFUNCTION("split(A252,""("")"),"Bad Girls ")</f>
        <v xml:space="preserve">Bad Girls </v>
      </c>
      <c r="E252" t="str">
        <f ca="1">IFERROR(__xludf.DUMMYFUNCTION("""COMPUTED_VALUE"""),"TV Series 1999–2006)")</f>
        <v>TV Series 1999–2006)</v>
      </c>
    </row>
    <row r="253" spans="1:5" ht="13" x14ac:dyDescent="0.15">
      <c r="A253" s="5" t="s">
        <v>881</v>
      </c>
      <c r="D253" t="str">
        <f ca="1">IFERROR(__xludf.DUMMYFUNCTION("split(A253,""("")"),"Bad Move ")</f>
        <v xml:space="preserve">Bad Move </v>
      </c>
      <c r="E253" t="str">
        <f ca="1">IFERROR(__xludf.DUMMYFUNCTION("""COMPUTED_VALUE"""),"TV Series 2017– )")</f>
        <v>TV Series 2017– )</v>
      </c>
    </row>
    <row r="254" spans="1:5" ht="13" x14ac:dyDescent="0.15">
      <c r="A254" s="5" t="s">
        <v>882</v>
      </c>
      <c r="D254" t="str">
        <f ca="1">IFERROR(__xludf.DUMMYFUNCTION("split(A254,""("")"),"Bailey Kipper's P.O.V. ")</f>
        <v xml:space="preserve">Bailey Kipper's P.O.V. </v>
      </c>
      <c r="E254" t="str">
        <f ca="1">IFERROR(__xludf.DUMMYFUNCTION("""COMPUTED_VALUE"""),"TV Series 1996)")</f>
        <v>TV Series 1996)</v>
      </c>
    </row>
    <row r="255" spans="1:5" ht="13" x14ac:dyDescent="0.15">
      <c r="A255" s="5" t="s">
        <v>883</v>
      </c>
      <c r="D255" t="str">
        <f ca="1">IFERROR(__xludf.DUMMYFUNCTION("split(A255,""("")"),"Bakekang ")</f>
        <v xml:space="preserve">Bakekang </v>
      </c>
      <c r="E255" t="str">
        <f ca="1">IFERROR(__xludf.DUMMYFUNCTION("""COMPUTED_VALUE"""),"TV Series 2006– )")</f>
        <v>TV Series 2006– )</v>
      </c>
    </row>
    <row r="256" spans="1:5" ht="13" x14ac:dyDescent="0.15">
      <c r="A256" s="5" t="s">
        <v>884</v>
      </c>
      <c r="D256" t="str">
        <f ca="1">IFERROR(__xludf.DUMMYFUNCTION("split(A256,""("")"),"Baki the Grappler ")</f>
        <v xml:space="preserve">Baki the Grappler </v>
      </c>
      <c r="E256" t="str">
        <f ca="1">IFERROR(__xludf.DUMMYFUNCTION("""COMPUTED_VALUE"""),"TV Series 2001–2007)")</f>
        <v>TV Series 2001–2007)</v>
      </c>
    </row>
    <row r="257" spans="1:5" ht="13" x14ac:dyDescent="0.15">
      <c r="A257" s="5" t="s">
        <v>885</v>
      </c>
      <c r="D257" t="str">
        <f ca="1">IFERROR(__xludf.DUMMYFUNCTION("split(A257,""("")"),"Balika Vadhu ")</f>
        <v xml:space="preserve">Balika Vadhu </v>
      </c>
      <c r="E257" t="str">
        <f ca="1">IFERROR(__xludf.DUMMYFUNCTION("""COMPUTED_VALUE"""),"TV Series 2008–2016)")</f>
        <v>TV Series 2008–2016)</v>
      </c>
    </row>
    <row r="258" spans="1:5" ht="13" x14ac:dyDescent="0.15">
      <c r="A258" s="5" t="s">
        <v>886</v>
      </c>
      <c r="D258" t="str">
        <f ca="1">IFERROR(__xludf.DUMMYFUNCTION("split(A258,""("")"),"Balkan ekspres ")</f>
        <v xml:space="preserve">Balkan ekspres </v>
      </c>
      <c r="E258" t="str">
        <f ca="1">IFERROR(__xludf.DUMMYFUNCTION("""COMPUTED_VALUE"""),"TV Series 1984– )")</f>
        <v>TV Series 1984– )</v>
      </c>
    </row>
    <row r="259" spans="1:5" ht="13" x14ac:dyDescent="0.15">
      <c r="A259" s="5" t="s">
        <v>174</v>
      </c>
      <c r="D259" t="str">
        <f ca="1">IFERROR(__xludf.DUMMYFUNCTION("split(A259,""("")"),"Ballers ")</f>
        <v xml:space="preserve">Ballers </v>
      </c>
      <c r="E259" t="str">
        <f ca="1">IFERROR(__xludf.DUMMYFUNCTION("""COMPUTED_VALUE"""),"TV Series 2015– )")</f>
        <v>TV Series 2015– )</v>
      </c>
    </row>
    <row r="260" spans="1:5" ht="13" x14ac:dyDescent="0.15">
      <c r="A260" s="5" t="s">
        <v>887</v>
      </c>
      <c r="D260" t="str">
        <f ca="1">IFERROR(__xludf.DUMMYFUNCTION("split(A260,""("")"),"Ballmastrz 9009 ")</f>
        <v xml:space="preserve">Ballmastrz 9009 </v>
      </c>
      <c r="E260" t="str">
        <f ca="1">IFERROR(__xludf.DUMMYFUNCTION("""COMPUTED_VALUE"""),"TV Series 2018– )")</f>
        <v>TV Series 2018– )</v>
      </c>
    </row>
    <row r="261" spans="1:5" ht="13" x14ac:dyDescent="0.15">
      <c r="A261" s="5" t="s">
        <v>888</v>
      </c>
      <c r="D261" t="str">
        <f ca="1">IFERROR(__xludf.DUMMYFUNCTION("split(A261,""("")"),"Balls of Steel Australia ")</f>
        <v xml:space="preserve">Balls of Steel Australia </v>
      </c>
      <c r="E261" t="str">
        <f ca="1">IFERROR(__xludf.DUMMYFUNCTION("""COMPUTED_VALUE"""),"TV Series 2011–2012)")</f>
        <v>TV Series 2011–2012)</v>
      </c>
    </row>
    <row r="262" spans="1:5" ht="13" x14ac:dyDescent="0.15">
      <c r="A262" s="5" t="s">
        <v>889</v>
      </c>
      <c r="D262" t="str">
        <f ca="1">IFERROR(__xludf.DUMMYFUNCTION("split(A262,""("")"),"Bambinot ")</f>
        <v xml:space="preserve">Bambinot </v>
      </c>
      <c r="E262" t="str">
        <f ca="1">IFERROR(__xludf.DUMMYFUNCTION("""COMPUTED_VALUE"""),"TV Series 1984– )")</f>
        <v>TV Series 1984– )</v>
      </c>
    </row>
    <row r="263" spans="1:5" ht="13" x14ac:dyDescent="0.15">
      <c r="A263" s="5" t="s">
        <v>890</v>
      </c>
      <c r="D263" t="str">
        <f ca="1">IFERROR(__xludf.DUMMYFUNCTION("split(A263,""("")"),"Bananas in Pyjamas ")</f>
        <v xml:space="preserve">Bananas in Pyjamas </v>
      </c>
      <c r="E263" t="str">
        <f ca="1">IFERROR(__xludf.DUMMYFUNCTION("""COMPUTED_VALUE"""),"TV Series 2011– )")</f>
        <v>TV Series 2011– )</v>
      </c>
    </row>
    <row r="264" spans="1:5" ht="13" x14ac:dyDescent="0.15">
      <c r="A264" s="5" t="s">
        <v>891</v>
      </c>
      <c r="D264" t="str">
        <f ca="1">IFERROR(__xludf.DUMMYFUNCTION("split(A264,""("")"),"Bang ")</f>
        <v xml:space="preserve">Bang </v>
      </c>
      <c r="E264" t="str">
        <f ca="1">IFERROR(__xludf.DUMMYFUNCTION("""COMPUTED_VALUE"""),"TV Series 2017– )")</f>
        <v>TV Series 2017– )</v>
      </c>
    </row>
    <row r="265" spans="1:5" ht="13" x14ac:dyDescent="0.15">
      <c r="A265" s="5" t="s">
        <v>892</v>
      </c>
      <c r="D265" t="str">
        <f ca="1">IFERROR(__xludf.DUMMYFUNCTION("split(A265,""("")"),"Banned in the UK ")</f>
        <v xml:space="preserve">Banned in the UK </v>
      </c>
      <c r="E265" t="str">
        <f ca="1">IFERROR(__xludf.DUMMYFUNCTION("""COMPUTED_VALUE"""),"TV Series 2005– )")</f>
        <v>TV Series 2005– )</v>
      </c>
    </row>
    <row r="266" spans="1:5" ht="13" x14ac:dyDescent="0.15">
      <c r="A266" s="5" t="s">
        <v>893</v>
      </c>
      <c r="D266" t="str">
        <f ca="1">IFERROR(__xludf.DUMMYFUNCTION("split(A266,""("")"),"Banshee ")</f>
        <v xml:space="preserve">Banshee </v>
      </c>
      <c r="E266" t="str">
        <f ca="1">IFERROR(__xludf.DUMMYFUNCTION("""COMPUTED_VALUE"""),"TV Series 2013–2016)")</f>
        <v>TV Series 2013–2016)</v>
      </c>
    </row>
    <row r="267" spans="1:5" ht="13" x14ac:dyDescent="0.15">
      <c r="A267" s="5" t="s">
        <v>894</v>
      </c>
      <c r="D267" t="str">
        <f ca="1">IFERROR(__xludf.DUMMYFUNCTION("split(A267,""("")"),"Baptist Spanish Language Course ")</f>
        <v xml:space="preserve">Baptist Spanish Language Course </v>
      </c>
      <c r="E267" t="str">
        <f ca="1">IFERROR(__xludf.DUMMYFUNCTION("""COMPUTED_VALUE"""),"TV Series 2009– )")</f>
        <v>TV Series 2009– )</v>
      </c>
    </row>
    <row r="268" spans="1:5" ht="13" x14ac:dyDescent="0.15">
      <c r="A268" s="5" t="s">
        <v>895</v>
      </c>
      <c r="D268" t="str">
        <f ca="1">IFERROR(__xludf.DUMMYFUNCTION("split(A268,""("")"),"Bar Rescue ")</f>
        <v xml:space="preserve">Bar Rescue </v>
      </c>
      <c r="E268" t="str">
        <f ca="1">IFERROR(__xludf.DUMMYFUNCTION("""COMPUTED_VALUE"""),"TV Series 2011– )")</f>
        <v>TV Series 2011– )</v>
      </c>
    </row>
    <row r="269" spans="1:5" ht="13" x14ac:dyDescent="0.15">
      <c r="A269" s="5" t="s">
        <v>896</v>
      </c>
      <c r="D269" t="str">
        <f ca="1">IFERROR(__xludf.DUMMYFUNCTION("split(A269,""("")"),"Barbarians ")</f>
        <v xml:space="preserve">Barbarians </v>
      </c>
      <c r="E269" t="str">
        <f ca="1">IFERROR(__xludf.DUMMYFUNCTION("""COMPUTED_VALUE"""),"TV Series 2004– )")</f>
        <v>TV Series 2004– )</v>
      </c>
    </row>
    <row r="270" spans="1:5" ht="13" x14ac:dyDescent="0.15">
      <c r="A270" s="5" t="s">
        <v>897</v>
      </c>
      <c r="D270" t="str">
        <f ca="1">IFERROR(__xludf.DUMMYFUNCTION("split(A270,""("")"),"Barbarians Rising ")</f>
        <v xml:space="preserve">Barbarians Rising </v>
      </c>
      <c r="E270" t="str">
        <f ca="1">IFERROR(__xludf.DUMMYFUNCTION("""COMPUTED_VALUE"""),"TV Series 2016– )")</f>
        <v>TV Series 2016– )</v>
      </c>
    </row>
    <row r="271" spans="1:5" ht="13" x14ac:dyDescent="0.15">
      <c r="A271" s="5" t="s">
        <v>898</v>
      </c>
      <c r="D271" t="str">
        <f ca="1">IFERROR(__xludf.DUMMYFUNCTION("split(A271,""("")"),"Bare Knuckle Fight Club ")</f>
        <v xml:space="preserve">Bare Knuckle Fight Club </v>
      </c>
      <c r="E271" t="str">
        <f ca="1">IFERROR(__xludf.DUMMYFUNCTION("""COMPUTED_VALUE"""),"TV Series 2017– )")</f>
        <v>TV Series 2017– )</v>
      </c>
    </row>
    <row r="272" spans="1:5" ht="13" x14ac:dyDescent="0.15">
      <c r="A272" s="5" t="s">
        <v>899</v>
      </c>
      <c r="D272" t="str">
        <f ca="1">IFERROR(__xludf.DUMMYFUNCTION("split(A272,""("")"),"Barefoot Contessa ")</f>
        <v xml:space="preserve">Barefoot Contessa </v>
      </c>
      <c r="E272" t="str">
        <f ca="1">IFERROR(__xludf.DUMMYFUNCTION("""COMPUTED_VALUE"""),"TV Series 2002– )")</f>
        <v>TV Series 2002– )</v>
      </c>
    </row>
    <row r="273" spans="1:5" ht="13" x14ac:dyDescent="0.15">
      <c r="A273" s="5" t="s">
        <v>900</v>
      </c>
      <c r="D273" t="str">
        <f ca="1">IFERROR(__xludf.DUMMYFUNCTION("split(A273,""("")"),"Bargain Hunt ")</f>
        <v xml:space="preserve">Bargain Hunt </v>
      </c>
      <c r="E273" t="str">
        <f ca="1">IFERROR(__xludf.DUMMYFUNCTION("""COMPUTED_VALUE"""),"TV Series 2000– )")</f>
        <v>TV Series 2000– )</v>
      </c>
    </row>
    <row r="274" spans="1:5" ht="13" x14ac:dyDescent="0.15">
      <c r="A274" s="5" t="s">
        <v>901</v>
      </c>
      <c r="D274" t="str">
        <f ca="1">IFERROR(__xludf.DUMMYFUNCTION("split(A274,""("")"),"Baroness Von Sketch Show ")</f>
        <v xml:space="preserve">Baroness Von Sketch Show </v>
      </c>
      <c r="E274" t="str">
        <f ca="1">IFERROR(__xludf.DUMMYFUNCTION("""COMPUTED_VALUE"""),"TV Series 2016– )")</f>
        <v>TV Series 2016– )</v>
      </c>
    </row>
    <row r="275" spans="1:5" ht="13" x14ac:dyDescent="0.15">
      <c r="A275" s="5" t="s">
        <v>331</v>
      </c>
      <c r="D275" t="str">
        <f ca="1">IFERROR(__xludf.DUMMYFUNCTION("split(A275,""("")"),"Barry ")</f>
        <v xml:space="preserve">Barry </v>
      </c>
      <c r="E275" t="str">
        <f ca="1">IFERROR(__xludf.DUMMYFUNCTION("""COMPUTED_VALUE"""),"TV Series 2018– )")</f>
        <v>TV Series 2018– )</v>
      </c>
    </row>
    <row r="276" spans="1:5" ht="13" x14ac:dyDescent="0.15">
      <c r="A276" s="5" t="s">
        <v>902</v>
      </c>
      <c r="D276" t="str">
        <f ca="1">IFERROR(__xludf.DUMMYFUNCTION("split(A276,""("")"),"Basilisk: The Kouga Ninja Scrolls ")</f>
        <v xml:space="preserve">Basilisk: The Kouga Ninja Scrolls </v>
      </c>
      <c r="E276" t="str">
        <f ca="1">IFERROR(__xludf.DUMMYFUNCTION("""COMPUTED_VALUE"""),"TV Series 2005)")</f>
        <v>TV Series 2005)</v>
      </c>
    </row>
    <row r="277" spans="1:5" ht="13" x14ac:dyDescent="0.15">
      <c r="A277" s="5" t="s">
        <v>903</v>
      </c>
      <c r="D277" t="str">
        <f ca="1">IFERROR(__xludf.DUMMYFUNCTION("split(A277,""("")"),"Basketball Wives ")</f>
        <v xml:space="preserve">Basketball Wives </v>
      </c>
      <c r="E277" t="str">
        <f ca="1">IFERROR(__xludf.DUMMYFUNCTION("""COMPUTED_VALUE"""),"TV Series 2010– )")</f>
        <v>TV Series 2010– )</v>
      </c>
    </row>
    <row r="278" spans="1:5" ht="13" x14ac:dyDescent="0.15">
      <c r="A278" s="5" t="s">
        <v>422</v>
      </c>
      <c r="D278" t="str">
        <f ca="1">IFERROR(__xludf.DUMMYFUNCTION("split(A278,""("")"),"Bates Motel ")</f>
        <v xml:space="preserve">Bates Motel </v>
      </c>
      <c r="E278" t="str">
        <f ca="1">IFERROR(__xludf.DUMMYFUNCTION("""COMPUTED_VALUE"""),"TV Series 2013–2017)")</f>
        <v>TV Series 2013–2017)</v>
      </c>
    </row>
    <row r="279" spans="1:5" ht="13" x14ac:dyDescent="0.15">
      <c r="A279" s="5" t="s">
        <v>48</v>
      </c>
      <c r="D279" t="str">
        <f ca="1">IFERROR(__xludf.DUMMYFUNCTION("split(A279,""("")"),"Batman Beyond ")</f>
        <v xml:space="preserve">Batman Beyond </v>
      </c>
      <c r="E279" t="str">
        <f ca="1">IFERROR(__xludf.DUMMYFUNCTION("""COMPUTED_VALUE"""),"TV Series 1999–2001)")</f>
        <v>TV Series 1999–2001)</v>
      </c>
    </row>
    <row r="280" spans="1:5" ht="13" x14ac:dyDescent="0.15">
      <c r="A280" s="5" t="s">
        <v>49</v>
      </c>
      <c r="D280" t="str">
        <f ca="1">IFERROR(__xludf.DUMMYFUNCTION("split(A280,""("")"),"Batman: The Animated Series ")</f>
        <v xml:space="preserve">Batman: The Animated Series </v>
      </c>
      <c r="E280" t="str">
        <f ca="1">IFERROR(__xludf.DUMMYFUNCTION("""COMPUTED_VALUE"""),"TV Series 1992–1995)")</f>
        <v>TV Series 1992–1995)</v>
      </c>
    </row>
    <row r="281" spans="1:5" ht="13" x14ac:dyDescent="0.15">
      <c r="A281" s="5" t="s">
        <v>50</v>
      </c>
      <c r="D281" t="str">
        <f ca="1">IFERROR(__xludf.DUMMYFUNCTION("split(A281,""("")"),"Batman: The Brave and the Bold ")</f>
        <v xml:space="preserve">Batman: The Brave and the Bold </v>
      </c>
      <c r="E281" t="str">
        <f ca="1">IFERROR(__xludf.DUMMYFUNCTION("""COMPUTED_VALUE"""),"TV Series 2008–2011)")</f>
        <v>TV Series 2008–2011)</v>
      </c>
    </row>
    <row r="282" spans="1:5" ht="13" x14ac:dyDescent="0.15">
      <c r="A282" s="5" t="s">
        <v>202</v>
      </c>
      <c r="D282" t="str">
        <f ca="1">IFERROR(__xludf.DUMMYFUNCTION("split(A282,""("")"),"Battle Creek ")</f>
        <v xml:space="preserve">Battle Creek </v>
      </c>
      <c r="E282" t="str">
        <f ca="1">IFERROR(__xludf.DUMMYFUNCTION("""COMPUTED_VALUE"""),"TV Series 2015)")</f>
        <v>TV Series 2015)</v>
      </c>
    </row>
    <row r="283" spans="1:5" ht="13" x14ac:dyDescent="0.15">
      <c r="A283" s="5" t="s">
        <v>904</v>
      </c>
      <c r="D283" t="str">
        <f ca="1">IFERROR(__xludf.DUMMYFUNCTION("split(A283,""("")"),"Battle History of the Air Force ")</f>
        <v xml:space="preserve">Battle History of the Air Force </v>
      </c>
      <c r="E283" t="str">
        <f ca="1">IFERROR(__xludf.DUMMYFUNCTION("""COMPUTED_VALUE"""),"TV Series 2003– )")</f>
        <v>TV Series 2003– )</v>
      </c>
    </row>
    <row r="284" spans="1:5" ht="13" x14ac:dyDescent="0.15">
      <c r="A284" s="5" t="s">
        <v>905</v>
      </c>
      <c r="D284" t="str">
        <f ca="1">IFERROR(__xludf.DUMMYFUNCTION("split(A284,""("")"),"Battle History of the U. S. Coast Guard ")</f>
        <v xml:space="preserve">Battle History of the U. S. Coast Guard </v>
      </c>
      <c r="E284" t="str">
        <f ca="1">IFERROR(__xludf.DUMMYFUNCTION("""COMPUTED_VALUE"""),"TV Series 2004– )")</f>
        <v>TV Series 2004– )</v>
      </c>
    </row>
    <row r="285" spans="1:5" ht="13" x14ac:dyDescent="0.15">
      <c r="A285" s="5" t="s">
        <v>522</v>
      </c>
      <c r="D285" t="str">
        <f ca="1">IFERROR(__xludf.DUMMYFUNCTION("split(A285,""("")"),"Battlestar Galactica ")</f>
        <v xml:space="preserve">Battlestar Galactica </v>
      </c>
      <c r="E285" t="str">
        <f ca="1">IFERROR(__xludf.DUMMYFUNCTION("""COMPUTED_VALUE"""),"TV Series 2004–2009)")</f>
        <v>TV Series 2004–2009)</v>
      </c>
    </row>
    <row r="286" spans="1:5" ht="13" x14ac:dyDescent="0.15">
      <c r="A286" s="5" t="s">
        <v>302</v>
      </c>
      <c r="D286" t="str">
        <f ca="1">IFERROR(__xludf.DUMMYFUNCTION("split(A286,""("")"),"Batwoman ")</f>
        <v xml:space="preserve">Batwoman </v>
      </c>
      <c r="E286" t="str">
        <f ca="1">IFERROR(__xludf.DUMMYFUNCTION("""COMPUTED_VALUE"""),"TV Series 2019– )")</f>
        <v>TV Series 2019– )</v>
      </c>
    </row>
    <row r="287" spans="1:5" ht="13" x14ac:dyDescent="0.15">
      <c r="A287" s="5" t="s">
        <v>906</v>
      </c>
      <c r="D287" t="str">
        <f ca="1">IFERROR(__xludf.DUMMYFUNCTION("split(A287,""("")"),"Baywatch ")</f>
        <v xml:space="preserve">Baywatch </v>
      </c>
      <c r="E287" t="str">
        <f ca="1">IFERROR(__xludf.DUMMYFUNCTION("""COMPUTED_VALUE"""),"TV Series 1989–2001)")</f>
        <v>TV Series 1989–2001)</v>
      </c>
    </row>
    <row r="288" spans="1:5" ht="13" x14ac:dyDescent="0.15">
      <c r="A288" s="5" t="s">
        <v>536</v>
      </c>
      <c r="D288" t="str">
        <f ca="1">IFERROR(__xludf.DUMMYFUNCTION("split(A288,""("")"),"Baywatch Nights ")</f>
        <v xml:space="preserve">Baywatch Nights </v>
      </c>
      <c r="E288" t="str">
        <f ca="1">IFERROR(__xludf.DUMMYFUNCTION("""COMPUTED_VALUE"""),"TV Series 1995–1997)")</f>
        <v>TV Series 1995–1997)</v>
      </c>
    </row>
    <row r="289" spans="1:5" ht="13" x14ac:dyDescent="0.15">
      <c r="A289" s="5" t="s">
        <v>907</v>
      </c>
      <c r="D289" t="str">
        <f ca="1">IFERROR(__xludf.DUMMYFUNCTION("split(A289,""("")"),"BBQ Pitmasters ")</f>
        <v xml:space="preserve">BBQ Pitmasters </v>
      </c>
      <c r="E289" t="str">
        <f ca="1">IFERROR(__xludf.DUMMYFUNCTION("""COMPUTED_VALUE"""),"TV Series 2009–2015)")</f>
        <v>TV Series 2009–2015)</v>
      </c>
    </row>
    <row r="290" spans="1:5" ht="13" x14ac:dyDescent="0.15">
      <c r="A290" s="5" t="s">
        <v>537</v>
      </c>
      <c r="D290" t="str">
        <f ca="1">IFERROR(__xludf.DUMMYFUNCTION("split(A290,""("")"),"Be Cool, Scooby-Doo! ")</f>
        <v xml:space="preserve">Be Cool, Scooby-Doo! </v>
      </c>
      <c r="E290" t="str">
        <f ca="1">IFERROR(__xludf.DUMMYFUNCTION("""COMPUTED_VALUE"""),"TV Series 2015–2018)")</f>
        <v>TV Series 2015–2018)</v>
      </c>
    </row>
    <row r="291" spans="1:5" ht="13" x14ac:dyDescent="0.15">
      <c r="A291" s="5" t="s">
        <v>908</v>
      </c>
      <c r="D291" t="str">
        <f ca="1">IFERROR(__xludf.DUMMYFUNCTION("split(A291,""("")"),"Bear Behaving Badly ")</f>
        <v xml:space="preserve">Bear Behaving Badly </v>
      </c>
      <c r="E291" t="str">
        <f ca="1">IFERROR(__xludf.DUMMYFUNCTION("""COMPUTED_VALUE"""),"TV Series 2007– )")</f>
        <v>TV Series 2007– )</v>
      </c>
    </row>
    <row r="292" spans="1:5" ht="13" x14ac:dyDescent="0.15">
      <c r="A292" s="5" t="s">
        <v>909</v>
      </c>
      <c r="D292" t="str">
        <f ca="1">IFERROR(__xludf.DUMMYFUNCTION("split(A292,""("")"),"Bear Grylls: Mission Survive ")</f>
        <v xml:space="preserve">Bear Grylls: Mission Survive </v>
      </c>
      <c r="E292" t="str">
        <f ca="1">IFERROR(__xludf.DUMMYFUNCTION("""COMPUTED_VALUE"""),"TV Series 2015– )")</f>
        <v>TV Series 2015– )</v>
      </c>
    </row>
    <row r="293" spans="1:5" ht="13" x14ac:dyDescent="0.15">
      <c r="A293" s="5" t="s">
        <v>538</v>
      </c>
      <c r="D293" t="str">
        <f ca="1">IFERROR(__xludf.DUMMYFUNCTION("split(A293,""("")"),"Bear's Mission With... ")</f>
        <v xml:space="preserve">Bear's Mission With... </v>
      </c>
      <c r="E293" t="str">
        <f ca="1">IFERROR(__xludf.DUMMYFUNCTION("""COMPUTED_VALUE"""),"TV Series 2017– )")</f>
        <v>TV Series 2017– )</v>
      </c>
    </row>
    <row r="294" spans="1:5" ht="13" x14ac:dyDescent="0.15">
      <c r="A294" s="5" t="s">
        <v>493</v>
      </c>
      <c r="D294" t="str">
        <f ca="1">IFERROR(__xludf.DUMMYFUNCTION("split(A294,""("")"),"Beast Machines: Transformers ")</f>
        <v xml:space="preserve">Beast Machines: Transformers </v>
      </c>
      <c r="E294" t="str">
        <f ca="1">IFERROR(__xludf.DUMMYFUNCTION("""COMPUTED_VALUE"""),"TV Series 1999–2001)")</f>
        <v>TV Series 1999–2001)</v>
      </c>
    </row>
    <row r="295" spans="1:5" ht="13" x14ac:dyDescent="0.15">
      <c r="A295" s="5" t="s">
        <v>494</v>
      </c>
      <c r="D295" t="str">
        <f ca="1">IFERROR(__xludf.DUMMYFUNCTION("split(A295,""("")"),"Beast Wars: Transformers ")</f>
        <v xml:space="preserve">Beast Wars: Transformers </v>
      </c>
      <c r="E295" t="str">
        <f ca="1">IFERROR(__xludf.DUMMYFUNCTION("""COMPUTED_VALUE"""),"TV Series 1996–1999)")</f>
        <v>TV Series 1996–1999)</v>
      </c>
    </row>
    <row r="296" spans="1:5" ht="13" x14ac:dyDescent="0.15">
      <c r="A296" s="5" t="s">
        <v>423</v>
      </c>
      <c r="D296" t="str">
        <f ca="1">IFERROR(__xludf.DUMMYFUNCTION("split(A296,""("")"),"BeastMaster ")</f>
        <v xml:space="preserve">BeastMaster </v>
      </c>
      <c r="E296" t="str">
        <f ca="1">IFERROR(__xludf.DUMMYFUNCTION("""COMPUTED_VALUE"""),"TV Series 1999–2002)")</f>
        <v>TV Series 1999–2002)</v>
      </c>
    </row>
    <row r="297" spans="1:5" ht="13" x14ac:dyDescent="0.15">
      <c r="A297" s="5" t="s">
        <v>910</v>
      </c>
      <c r="D297" t="str">
        <f ca="1">IFERROR(__xludf.DUMMYFUNCTION("split(A297,""("")"),"Beat ")</f>
        <v xml:space="preserve">Beat </v>
      </c>
      <c r="E297" t="str">
        <f ca="1">IFERROR(__xludf.DUMMYFUNCTION("""COMPUTED_VALUE"""),"TV Series 2018)")</f>
        <v>TV Series 2018)</v>
      </c>
    </row>
    <row r="298" spans="1:5" ht="13" x14ac:dyDescent="0.15">
      <c r="A298" s="5" t="s">
        <v>911</v>
      </c>
      <c r="D298" t="str">
        <f ca="1">IFERROR(__xludf.DUMMYFUNCTION("split(A298,""("")"),"Beautiful People ")</f>
        <v xml:space="preserve">Beautiful People </v>
      </c>
      <c r="E298" t="str">
        <f ca="1">IFERROR(__xludf.DUMMYFUNCTION("""COMPUTED_VALUE"""),"TV Series 2008– )")</f>
        <v>TV Series 2008– )</v>
      </c>
    </row>
    <row r="299" spans="1:5" ht="13" x14ac:dyDescent="0.15">
      <c r="A299" s="5" t="s">
        <v>912</v>
      </c>
      <c r="D299" t="str">
        <f ca="1">IFERROR(__xludf.DUMMYFUNCTION("split(A299,""("")"),"Beauty and the Geek ")</f>
        <v xml:space="preserve">Beauty and the Geek </v>
      </c>
      <c r="E299" t="str">
        <f ca="1">IFERROR(__xludf.DUMMYFUNCTION("""COMPUTED_VALUE"""),"TV Series 2005– )")</f>
        <v>TV Series 2005– )</v>
      </c>
    </row>
    <row r="300" spans="1:5" ht="13" x14ac:dyDescent="0.15">
      <c r="A300" s="5" t="s">
        <v>913</v>
      </c>
      <c r="D300" t="str">
        <f ca="1">IFERROR(__xludf.DUMMYFUNCTION("split(A300,""("")"),"Beauty Queen Murders ")</f>
        <v xml:space="preserve">Beauty Queen Murders </v>
      </c>
      <c r="E300" t="str">
        <f ca="1">IFERROR(__xludf.DUMMYFUNCTION("""COMPUTED_VALUE"""),"TV Series 2013– )")</f>
        <v>TV Series 2013– )</v>
      </c>
    </row>
    <row r="301" spans="1:5" ht="13" x14ac:dyDescent="0.15">
      <c r="A301" s="5" t="s">
        <v>661</v>
      </c>
      <c r="D301" t="str">
        <f ca="1">IFERROR(__xludf.DUMMYFUNCTION("split(A301,""("")"),"Beavis and Butt-Head ")</f>
        <v xml:space="preserve">Beavis and Butt-Head </v>
      </c>
      <c r="E301" t="str">
        <f ca="1">IFERROR(__xludf.DUMMYFUNCTION("""COMPUTED_VALUE"""),"TV Series 1993–2011)")</f>
        <v>TV Series 1993–2011)</v>
      </c>
    </row>
    <row r="302" spans="1:5" ht="13" x14ac:dyDescent="0.15">
      <c r="A302" s="5" t="s">
        <v>914</v>
      </c>
      <c r="D302" t="str">
        <f ca="1">IFERROR(__xludf.DUMMYFUNCTION("split(A302,""("")"),"Becca's Bunch ")</f>
        <v xml:space="preserve">Becca's Bunch </v>
      </c>
      <c r="E302" t="str">
        <f ca="1">IFERROR(__xludf.DUMMYFUNCTION("""COMPUTED_VALUE"""),"TV Series 2018– )")</f>
        <v>TV Series 2018– )</v>
      </c>
    </row>
    <row r="303" spans="1:5" ht="13" x14ac:dyDescent="0.15">
      <c r="A303" s="5" t="s">
        <v>915</v>
      </c>
      <c r="D303" t="str">
        <f ca="1">IFERROR(__xludf.DUMMYFUNCTION("split(A303,""("")"),"Beck ")</f>
        <v xml:space="preserve">Beck </v>
      </c>
      <c r="E303" t="str">
        <f ca="1">IFERROR(__xludf.DUMMYFUNCTION("""COMPUTED_VALUE"""),"TV Series 1997– )")</f>
        <v>TV Series 1997– )</v>
      </c>
    </row>
    <row r="304" spans="1:5" ht="13" x14ac:dyDescent="0.15">
      <c r="A304" s="5" t="s">
        <v>916</v>
      </c>
      <c r="D304" t="str">
        <f ca="1">IFERROR(__xludf.DUMMYFUNCTION("split(A304,""("")"),"Beck: Mongolian Chop Squad ")</f>
        <v xml:space="preserve">Beck: Mongolian Chop Squad </v>
      </c>
      <c r="E304" t="str">
        <f ca="1">IFERROR(__xludf.DUMMYFUNCTION("""COMPUTED_VALUE"""),"TV Series 2004–2005)")</f>
        <v>TV Series 2004–2005)</v>
      </c>
    </row>
    <row r="305" spans="1:5" ht="13" x14ac:dyDescent="0.15">
      <c r="A305" s="5" t="s">
        <v>917</v>
      </c>
      <c r="D305" t="str">
        <f ca="1">IFERROR(__xludf.DUMMYFUNCTION("split(A305,""("")"),"Becker ")</f>
        <v xml:space="preserve">Becker </v>
      </c>
      <c r="E305" t="str">
        <f ca="1">IFERROR(__xludf.DUMMYFUNCTION("""COMPUTED_VALUE"""),"TV Series 1998–2004)")</f>
        <v>TV Series 1998–2004)</v>
      </c>
    </row>
    <row r="306" spans="1:5" ht="13" x14ac:dyDescent="0.15">
      <c r="A306" s="5" t="s">
        <v>918</v>
      </c>
      <c r="D306" t="str">
        <f ca="1">IFERROR(__xludf.DUMMYFUNCTION("split(A306,""("")"),"Bedtime ")</f>
        <v xml:space="preserve">Bedtime </v>
      </c>
      <c r="E306" t="str">
        <f ca="1">IFERROR(__xludf.DUMMYFUNCTION("""COMPUTED_VALUE"""),"TV Series 1996– )")</f>
        <v>TV Series 1996– )</v>
      </c>
    </row>
    <row r="307" spans="1:5" ht="13" x14ac:dyDescent="0.15">
      <c r="A307" s="5" t="s">
        <v>919</v>
      </c>
      <c r="D307" t="str">
        <f ca="1">IFERROR(__xludf.DUMMYFUNCTION("split(A307,""("")"),"Bedtime ")</f>
        <v xml:space="preserve">Bedtime </v>
      </c>
      <c r="E307" t="str">
        <f ca="1">IFERROR(__xludf.DUMMYFUNCTION("""COMPUTED_VALUE"""),"TV Series 2001–2003)")</f>
        <v>TV Series 2001–2003)</v>
      </c>
    </row>
    <row r="308" spans="1:5" ht="13" x14ac:dyDescent="0.15">
      <c r="A308" s="5" t="s">
        <v>920</v>
      </c>
      <c r="D308" t="str">
        <f ca="1">IFERROR(__xludf.DUMMYFUNCTION("split(A308,""("")"),"BeetleBorgs ")</f>
        <v xml:space="preserve">BeetleBorgs </v>
      </c>
      <c r="E308" t="str">
        <f ca="1">IFERROR(__xludf.DUMMYFUNCTION("""COMPUTED_VALUE"""),"TV Series 1996–1998)")</f>
        <v>TV Series 1996–1998)</v>
      </c>
    </row>
    <row r="309" spans="1:5" ht="13" x14ac:dyDescent="0.15">
      <c r="A309" s="5" t="s">
        <v>424</v>
      </c>
      <c r="D309" t="str">
        <f ca="1">IFERROR(__xludf.DUMMYFUNCTION("split(A309,""("")"),"Beetlejuice ")</f>
        <v xml:space="preserve">Beetlejuice </v>
      </c>
      <c r="E309" t="str">
        <f ca="1">IFERROR(__xludf.DUMMYFUNCTION("""COMPUTED_VALUE"""),"TV Series 1989–1991)")</f>
        <v>TV Series 1989–1991)</v>
      </c>
    </row>
    <row r="310" spans="1:5" ht="13" x14ac:dyDescent="0.15">
      <c r="A310" s="5" t="s">
        <v>921</v>
      </c>
      <c r="D310" t="str">
        <f ca="1">IFERROR(__xludf.DUMMYFUNCTION("split(A310,""("")"),"Before We Die ")</f>
        <v xml:space="preserve">Before We Die </v>
      </c>
      <c r="E310" t="str">
        <f ca="1">IFERROR(__xludf.DUMMYFUNCTION("""COMPUTED_VALUE"""),"TV Series 2017– )")</f>
        <v>TV Series 2017– )</v>
      </c>
    </row>
    <row r="311" spans="1:5" ht="13" x14ac:dyDescent="0.15">
      <c r="A311" s="5" t="s">
        <v>922</v>
      </c>
      <c r="D311" t="str">
        <f ca="1">IFERROR(__xludf.DUMMYFUNCTION("split(A311,""("")"),"Before We Ruled the Earth ")</f>
        <v xml:space="preserve">Before We Ruled the Earth </v>
      </c>
      <c r="E311" t="str">
        <f ca="1">IFERROR(__xludf.DUMMYFUNCTION("""COMPUTED_VALUE"""),"TV Series 2003– )")</f>
        <v>TV Series 2003– )</v>
      </c>
    </row>
    <row r="312" spans="1:5" ht="13" x14ac:dyDescent="0.15">
      <c r="A312" s="5" t="s">
        <v>923</v>
      </c>
      <c r="D312" t="str">
        <f ca="1">IFERROR(__xludf.DUMMYFUNCTION("split(A312,""("")"),"Behind Closed Doors ")</f>
        <v xml:space="preserve">Behind Closed Doors </v>
      </c>
      <c r="E312" t="str">
        <f ca="1">IFERROR(__xludf.DUMMYFUNCTION("""COMPUTED_VALUE"""),"TV Series 2011– )")</f>
        <v>TV Series 2011– )</v>
      </c>
    </row>
    <row r="313" spans="1:5" ht="13" x14ac:dyDescent="0.15">
      <c r="A313" s="5" t="s">
        <v>924</v>
      </c>
      <c r="D313" t="str">
        <f ca="1">IFERROR(__xludf.DUMMYFUNCTION("split(A313,""("")"),"Behind the Music ")</f>
        <v xml:space="preserve">Behind the Music </v>
      </c>
      <c r="E313" t="str">
        <f ca="1">IFERROR(__xludf.DUMMYFUNCTION("""COMPUTED_VALUE"""),"TV Series 1997–2014)")</f>
        <v>TV Series 1997–2014)</v>
      </c>
    </row>
    <row r="314" spans="1:5" ht="13" x14ac:dyDescent="0.15">
      <c r="A314" s="5" t="s">
        <v>925</v>
      </c>
      <c r="D314" t="str">
        <f ca="1">IFERROR(__xludf.DUMMYFUNCTION("split(A314,""("")"),"Being Human ")</f>
        <v xml:space="preserve">Being Human </v>
      </c>
      <c r="E314" t="str">
        <f ca="1">IFERROR(__xludf.DUMMYFUNCTION("""COMPUTED_VALUE"""),"TV Series 2011–2014)")</f>
        <v>TV Series 2011–2014)</v>
      </c>
    </row>
    <row r="315" spans="1:5" ht="13" x14ac:dyDescent="0.15">
      <c r="A315" s="5" t="s">
        <v>203</v>
      </c>
      <c r="D315" t="str">
        <f ca="1">IFERROR(__xludf.DUMMYFUNCTION("split(A315,""("")"),"Being Mary Jane ")</f>
        <v xml:space="preserve">Being Mary Jane </v>
      </c>
      <c r="E315" t="str">
        <f ca="1">IFERROR(__xludf.DUMMYFUNCTION("""COMPUTED_VALUE"""),"TV Series 2013– )")</f>
        <v>TV Series 2013– )</v>
      </c>
    </row>
    <row r="316" spans="1:5" ht="13" x14ac:dyDescent="0.15">
      <c r="A316" s="5" t="s">
        <v>332</v>
      </c>
      <c r="D316" t="str">
        <f ca="1">IFERROR(__xludf.DUMMYFUNCTION("split(A316,""("")"),"Believe ")</f>
        <v xml:space="preserve">Believe </v>
      </c>
      <c r="E316" t="str">
        <f ca="1">IFERROR(__xludf.DUMMYFUNCTION("""COMPUTED_VALUE"""),"TV Series 2014)")</f>
        <v>TV Series 2014)</v>
      </c>
    </row>
    <row r="317" spans="1:5" ht="13" x14ac:dyDescent="0.15">
      <c r="A317" s="5" t="s">
        <v>926</v>
      </c>
      <c r="D317" t="str">
        <f ca="1">IFERROR(__xludf.DUMMYFUNCTION("split(A317,""("")"),"Belíssima ")</f>
        <v xml:space="preserve">Belíssima </v>
      </c>
      <c r="E317" t="str">
        <f ca="1">IFERROR(__xludf.DUMMYFUNCTION("""COMPUTED_VALUE"""),"TV Series 2005–2006)")</f>
        <v>TV Series 2005–2006)</v>
      </c>
    </row>
    <row r="318" spans="1:5" ht="13" x14ac:dyDescent="0.15">
      <c r="A318" s="5" t="s">
        <v>927</v>
      </c>
      <c r="D318" t="str">
        <f ca="1">IFERROR(__xludf.DUMMYFUNCTION("split(A318,""("")"),"Belle and Sebastian ")</f>
        <v xml:space="preserve">Belle and Sebastian </v>
      </c>
      <c r="E318" t="str">
        <f ca="1">IFERROR(__xludf.DUMMYFUNCTION("""COMPUTED_VALUE"""),"TV Series 1981– )")</f>
        <v>TV Series 1981– )</v>
      </c>
    </row>
    <row r="319" spans="1:5" ht="13" x14ac:dyDescent="0.15">
      <c r="A319" s="5" t="s">
        <v>928</v>
      </c>
      <c r="D319" t="str">
        <f ca="1">IFERROR(__xludf.DUMMYFUNCTION("split(A319,""("")"),"Bellevue ")</f>
        <v xml:space="preserve">Bellevue </v>
      </c>
      <c r="E319" t="str">
        <f ca="1">IFERROR(__xludf.DUMMYFUNCTION("""COMPUTED_VALUE"""),"TV Series 2017– )")</f>
        <v>TV Series 2017– )</v>
      </c>
    </row>
    <row r="320" spans="1:5" ht="13" x14ac:dyDescent="0.15">
      <c r="A320" s="5" t="s">
        <v>929</v>
      </c>
      <c r="D320" t="str">
        <f ca="1">IFERROR(__xludf.DUMMYFUNCTION("split(A320,""("")"),"Below Deck ")</f>
        <v xml:space="preserve">Below Deck </v>
      </c>
      <c r="E320" t="str">
        <f ca="1">IFERROR(__xludf.DUMMYFUNCTION("""COMPUTED_VALUE"""),"TV Series 2013– )")</f>
        <v>TV Series 2013– )</v>
      </c>
    </row>
    <row r="321" spans="1:5" ht="13" x14ac:dyDescent="0.15">
      <c r="A321" s="5" t="s">
        <v>930</v>
      </c>
      <c r="D321" t="str">
        <f ca="1">IFERROR(__xludf.DUMMYFUNCTION("split(A321,""("")"),"Below the Surface ")</f>
        <v xml:space="preserve">Below the Surface </v>
      </c>
      <c r="E321" t="str">
        <f ca="1">IFERROR(__xludf.DUMMYFUNCTION("""COMPUTED_VALUE"""),"TV Series 2017– )")</f>
        <v>TV Series 2017– )</v>
      </c>
    </row>
    <row r="322" spans="1:5" ht="13" x14ac:dyDescent="0.15">
      <c r="A322" s="5" t="s">
        <v>931</v>
      </c>
      <c r="D322" t="str">
        <f ca="1">IFERROR(__xludf.DUMMYFUNCTION("split(A322,""("")"),"Ben &amp; Holly's Little Kingdom ")</f>
        <v xml:space="preserve">Ben &amp; Holly's Little Kingdom </v>
      </c>
      <c r="E322" t="str">
        <f ca="1">IFERROR(__xludf.DUMMYFUNCTION("""COMPUTED_VALUE"""),"TV Series 2009– )")</f>
        <v>TV Series 2009– )</v>
      </c>
    </row>
    <row r="323" spans="1:5" ht="13" x14ac:dyDescent="0.15">
      <c r="A323" s="5" t="s">
        <v>932</v>
      </c>
      <c r="D323" t="str">
        <f ca="1">IFERROR(__xludf.DUMMYFUNCTION("split(A323,""("")"),"Ben 10 ")</f>
        <v xml:space="preserve">Ben 10 </v>
      </c>
      <c r="E323" t="str">
        <f ca="1">IFERROR(__xludf.DUMMYFUNCTION("""COMPUTED_VALUE"""),"TV Series 2005–2008)")</f>
        <v>TV Series 2005–2008)</v>
      </c>
    </row>
    <row r="324" spans="1:5" ht="13" x14ac:dyDescent="0.15">
      <c r="A324" s="5" t="s">
        <v>467</v>
      </c>
      <c r="D324" t="str">
        <f ca="1">IFERROR(__xludf.DUMMYFUNCTION("split(A324,""("")"),"Ben 10 ")</f>
        <v xml:space="preserve">Ben 10 </v>
      </c>
      <c r="E324" t="str">
        <f ca="1">IFERROR(__xludf.DUMMYFUNCTION("""COMPUTED_VALUE"""),"TV Series 2016– )")</f>
        <v>TV Series 2016– )</v>
      </c>
    </row>
    <row r="325" spans="1:5" ht="13" x14ac:dyDescent="0.15">
      <c r="A325" s="5" t="s">
        <v>468</v>
      </c>
      <c r="D325" t="str">
        <f ca="1">IFERROR(__xludf.DUMMYFUNCTION("split(A325,""("")"),"Ben 10: Alien Force ")</f>
        <v xml:space="preserve">Ben 10: Alien Force </v>
      </c>
      <c r="E325" t="str">
        <f ca="1">IFERROR(__xludf.DUMMYFUNCTION("""COMPUTED_VALUE"""),"TV Series 2008–2010)")</f>
        <v>TV Series 2008–2010)</v>
      </c>
    </row>
    <row r="326" spans="1:5" ht="13" x14ac:dyDescent="0.15">
      <c r="A326" s="5" t="s">
        <v>933</v>
      </c>
      <c r="D326" t="str">
        <f ca="1">IFERROR(__xludf.DUMMYFUNCTION("split(A326,""("")"),"Ben and Kate ")</f>
        <v xml:space="preserve">Ben and Kate </v>
      </c>
      <c r="E326" t="str">
        <f ca="1">IFERROR(__xludf.DUMMYFUNCTION("""COMPUTED_VALUE"""),"TV Series 2012–2013)")</f>
        <v>TV Series 2012–2013)</v>
      </c>
    </row>
    <row r="327" spans="1:5" ht="13" x14ac:dyDescent="0.15">
      <c r="A327" s="5" t="s">
        <v>934</v>
      </c>
      <c r="D327" t="str">
        <f ca="1">IFERROR(__xludf.DUMMYFUNCTION("split(A327,""("")"),"Ben Slamka ")</f>
        <v xml:space="preserve">Ben Slamka </v>
      </c>
      <c r="E327" t="str">
        <f ca="1">IFERROR(__xludf.DUMMYFUNCTION("""COMPUTED_VALUE"""),"TV Series 2015– )")</f>
        <v>TV Series 2015– )</v>
      </c>
    </row>
    <row r="328" spans="1:5" ht="13" x14ac:dyDescent="0.15">
      <c r="A328" s="5" t="s">
        <v>935</v>
      </c>
      <c r="D328" t="str">
        <f ca="1">IFERROR(__xludf.DUMMYFUNCTION("split(A328,""("")"),"Beneath the Lies ")</f>
        <v xml:space="preserve">Beneath the Lies </v>
      </c>
      <c r="E328" t="str">
        <f ca="1">IFERROR(__xludf.DUMMYFUNCTION("""COMPUTED_VALUE"""),"TV Series 2014–2016)")</f>
        <v>TV Series 2014–2016)</v>
      </c>
    </row>
    <row r="329" spans="1:5" ht="13" x14ac:dyDescent="0.15">
      <c r="A329" s="5" t="s">
        <v>936</v>
      </c>
      <c r="D329" t="str">
        <f ca="1">IFERROR(__xludf.DUMMYFUNCTION("split(A329,""("")"),"Berlin Station ")</f>
        <v xml:space="preserve">Berlin Station </v>
      </c>
      <c r="E329" t="str">
        <f ca="1">IFERROR(__xludf.DUMMYFUNCTION("""COMPUTED_VALUE"""),"TV Series 2016–2019)")</f>
        <v>TV Series 2016–2019)</v>
      </c>
    </row>
    <row r="330" spans="1:5" ht="13" x14ac:dyDescent="0.15">
      <c r="A330" s="5" t="s">
        <v>937</v>
      </c>
      <c r="D330" t="str">
        <f ca="1">IFERROR(__xludf.DUMMYFUNCTION("split(A330,""("")"),"Berserk ")</f>
        <v xml:space="preserve">Berserk </v>
      </c>
      <c r="E330" t="str">
        <f ca="1">IFERROR(__xludf.DUMMYFUNCTION("""COMPUTED_VALUE"""),"TV Series 1997–1998)")</f>
        <v>TV Series 1997–1998)</v>
      </c>
    </row>
    <row r="331" spans="1:5" ht="13" x14ac:dyDescent="0.15">
      <c r="A331" s="5" t="s">
        <v>938</v>
      </c>
      <c r="D331" t="str">
        <f ca="1">IFERROR(__xludf.DUMMYFUNCTION("split(A331,""("")"),"Bert ")</f>
        <v xml:space="preserve">Bert </v>
      </c>
      <c r="E331" t="str">
        <f ca="1">IFERROR(__xludf.DUMMYFUNCTION("""COMPUTED_VALUE"""),"TV Series 1994)")</f>
        <v>TV Series 1994)</v>
      </c>
    </row>
    <row r="332" spans="1:5" ht="13" x14ac:dyDescent="0.15">
      <c r="A332" s="5" t="s">
        <v>939</v>
      </c>
      <c r="D332" t="str">
        <f ca="1">IFERROR(__xludf.DUMMYFUNCTION("split(A332,""("")"),"Best Walks with a View with Julia Bradbury ")</f>
        <v xml:space="preserve">Best Walks with a View with Julia Bradbury </v>
      </c>
      <c r="E332" t="str">
        <f ca="1">IFERROR(__xludf.DUMMYFUNCTION("""COMPUTED_VALUE"""),"TV Series 2016– )")</f>
        <v>TV Series 2016– )</v>
      </c>
    </row>
    <row r="333" spans="1:5" ht="13" x14ac:dyDescent="0.15">
      <c r="A333" s="5" t="s">
        <v>940</v>
      </c>
      <c r="D333" t="str">
        <f ca="1">IFERROR(__xludf.DUMMYFUNCTION("split(A333,""("")"),"Bethel Church Live Webcast ")</f>
        <v xml:space="preserve">Bethel Church Live Webcast </v>
      </c>
      <c r="E333" t="str">
        <f ca="1">IFERROR(__xludf.DUMMYFUNCTION("""COMPUTED_VALUE"""),"TV Series 2009– )")</f>
        <v>TV Series 2009– )</v>
      </c>
    </row>
    <row r="334" spans="1:5" ht="13" x14ac:dyDescent="0.15">
      <c r="A334" s="5" t="s">
        <v>941</v>
      </c>
      <c r="D334" t="str">
        <f ca="1">IFERROR(__xludf.DUMMYFUNCTION("split(A334,""("")"),"Betrayal ")</f>
        <v xml:space="preserve">Betrayal </v>
      </c>
      <c r="E334" t="str">
        <f ca="1">IFERROR(__xludf.DUMMYFUNCTION("""COMPUTED_VALUE"""),"TV Series 2013–2014)")</f>
        <v>TV Series 2013–2014)</v>
      </c>
    </row>
    <row r="335" spans="1:5" ht="13" x14ac:dyDescent="0.15">
      <c r="A335" s="5" t="s">
        <v>317</v>
      </c>
      <c r="D335" t="str">
        <f ca="1">IFERROR(__xludf.DUMMYFUNCTION("split(A335,""("")"),"Better Call Saul ")</f>
        <v xml:space="preserve">Better Call Saul </v>
      </c>
      <c r="E335" t="str">
        <f ca="1">IFERROR(__xludf.DUMMYFUNCTION("""COMPUTED_VALUE"""),"TV Series 2015– )")</f>
        <v>TV Series 2015– )</v>
      </c>
    </row>
    <row r="336" spans="1:5" ht="13" x14ac:dyDescent="0.15">
      <c r="A336" s="5" t="s">
        <v>942</v>
      </c>
      <c r="D336" t="str">
        <f ca="1">IFERROR(__xludf.DUMMYFUNCTION("split(A336,""("")"),"Better Things ")</f>
        <v xml:space="preserve">Better Things </v>
      </c>
      <c r="E336" t="str">
        <f ca="1">IFERROR(__xludf.DUMMYFUNCTION("""COMPUTED_VALUE"""),"TV Series 2016– )")</f>
        <v>TV Series 2016– )</v>
      </c>
    </row>
    <row r="337" spans="1:5" ht="13" x14ac:dyDescent="0.15">
      <c r="A337" s="5" t="s">
        <v>943</v>
      </c>
      <c r="D337" t="str">
        <f ca="1">IFERROR(__xludf.DUMMYFUNCTION("split(A337,""("")"),"Bettkantengeschichten ")</f>
        <v xml:space="preserve">Bettkantengeschichten </v>
      </c>
      <c r="E337" t="str">
        <f ca="1">IFERROR(__xludf.DUMMYFUNCTION("""COMPUTED_VALUE"""),"TV Series 1983–1990)")</f>
        <v>TV Series 1983–1990)</v>
      </c>
    </row>
    <row r="338" spans="1:5" ht="13" x14ac:dyDescent="0.15">
      <c r="A338" s="5" t="s">
        <v>944</v>
      </c>
      <c r="D338" t="str">
        <f ca="1">IFERROR(__xludf.DUMMYFUNCTION("split(A338,""("")"),"Betty White's Off Their Rockers ")</f>
        <v xml:space="preserve">Betty White's Off Their Rockers </v>
      </c>
      <c r="E338" t="str">
        <f ca="1">IFERROR(__xludf.DUMMYFUNCTION("""COMPUTED_VALUE"""),"TV Series 2012– )")</f>
        <v>TV Series 2012– )</v>
      </c>
    </row>
    <row r="339" spans="1:5" ht="13" x14ac:dyDescent="0.15">
      <c r="A339" s="5" t="s">
        <v>945</v>
      </c>
      <c r="D339" t="str">
        <f ca="1">IFERROR(__xludf.DUMMYFUNCTION("split(A339,""("")"),"Between the Lines ")</f>
        <v xml:space="preserve">Between the Lines </v>
      </c>
      <c r="E339" t="str">
        <f ca="1">IFERROR(__xludf.DUMMYFUNCTION("""COMPUTED_VALUE"""),"TV Series 1992–1994)")</f>
        <v>TV Series 1992–1994)</v>
      </c>
    </row>
    <row r="340" spans="1:5" ht="13" x14ac:dyDescent="0.15">
      <c r="A340" s="5" t="s">
        <v>946</v>
      </c>
      <c r="D340" t="str">
        <f ca="1">IFERROR(__xludf.DUMMYFUNCTION("split(A340,""("")"),"Beverly Hills Nannies ")</f>
        <v xml:space="preserve">Beverly Hills Nannies </v>
      </c>
      <c r="E340" t="str">
        <f ca="1">IFERROR(__xludf.DUMMYFUNCTION("""COMPUTED_VALUE"""),"TV Series 2012)")</f>
        <v>TV Series 2012)</v>
      </c>
    </row>
    <row r="341" spans="1:5" ht="13" x14ac:dyDescent="0.15">
      <c r="A341" s="5" t="s">
        <v>947</v>
      </c>
      <c r="D341" t="str">
        <f ca="1">IFERROR(__xludf.DUMMYFUNCTION("split(A341,""("")"),"Beverly Hills, 90210 ")</f>
        <v xml:space="preserve">Beverly Hills, 90210 </v>
      </c>
      <c r="E341" t="str">
        <f ca="1">IFERROR(__xludf.DUMMYFUNCTION("""COMPUTED_VALUE"""),"TV Series 1990–2000)")</f>
        <v>TV Series 1990–2000)</v>
      </c>
    </row>
    <row r="342" spans="1:5" ht="13" x14ac:dyDescent="0.15">
      <c r="A342" s="5" t="s">
        <v>51</v>
      </c>
      <c r="D342" t="str">
        <f ca="1">IFERROR(__xludf.DUMMYFUNCTION("split(A342,""("")"),"Beware the Batman ")</f>
        <v xml:space="preserve">Beware the Batman </v>
      </c>
      <c r="E342" t="str">
        <f ca="1">IFERROR(__xludf.DUMMYFUNCTION("""COMPUTED_VALUE"""),"TV Series 2013–2014)")</f>
        <v>TV Series 2013–2014)</v>
      </c>
    </row>
    <row r="343" spans="1:5" ht="13" x14ac:dyDescent="0.15">
      <c r="A343" s="5" t="s">
        <v>495</v>
      </c>
      <c r="D343" t="str">
        <f ca="1">IFERROR(__xludf.DUMMYFUNCTION("split(A343,""("")"),"Beyblade Burst ")</f>
        <v xml:space="preserve">Beyblade Burst </v>
      </c>
      <c r="E343" t="str">
        <f ca="1">IFERROR(__xludf.DUMMYFUNCTION("""COMPUTED_VALUE"""),"TV Series 2016– )")</f>
        <v>TV Series 2016– )</v>
      </c>
    </row>
    <row r="344" spans="1:5" ht="13" x14ac:dyDescent="0.15">
      <c r="A344" s="5" t="s">
        <v>948</v>
      </c>
      <c r="D344" t="str">
        <f ca="1">IFERROR(__xludf.DUMMYFUNCTION("split(A344,""("")"),"Beyond Reality ")</f>
        <v xml:space="preserve">Beyond Reality </v>
      </c>
      <c r="E344" t="str">
        <f ca="1">IFERROR(__xludf.DUMMYFUNCTION("""COMPUTED_VALUE"""),"TV Series 1991–1993)")</f>
        <v>TV Series 1991–1993)</v>
      </c>
    </row>
    <row r="345" spans="1:5" ht="13" x14ac:dyDescent="0.15">
      <c r="A345" s="5" t="s">
        <v>539</v>
      </c>
      <c r="D345" t="str">
        <f ca="1">IFERROR(__xludf.DUMMYFUNCTION("split(A345,""("")"),"Beyond the Tank ")</f>
        <v xml:space="preserve">Beyond the Tank </v>
      </c>
      <c r="E345" t="str">
        <f ca="1">IFERROR(__xludf.DUMMYFUNCTION("""COMPUTED_VALUE"""),"TV Series 2015– )")</f>
        <v>TV Series 2015– )</v>
      </c>
    </row>
    <row r="346" spans="1:5" ht="13" x14ac:dyDescent="0.15">
      <c r="A346" s="7" t="s">
        <v>949</v>
      </c>
      <c r="D346" t="str">
        <f ca="1">IFERROR(__xludf.DUMMYFUNCTION("split(A346,""("")"),"Beyond Wrestling Beyond Uncharted Territory ")</f>
        <v xml:space="preserve">Beyond Wrestling Beyond Uncharted Territory </v>
      </c>
      <c r="E346" t="str">
        <f ca="1">IFERROR(__xludf.DUMMYFUNCTION("""COMPUTED_VALUE"""),"TV Series 2019– )")</f>
        <v>TV Series 2019– )</v>
      </c>
    </row>
    <row r="347" spans="1:5" ht="13" x14ac:dyDescent="0.15">
      <c r="A347" s="5" t="s">
        <v>950</v>
      </c>
      <c r="D347" t="str">
        <f ca="1">IFERROR(__xludf.DUMMYFUNCTION("split(A347,""("")"),"Bharosa Pyar Tera ")</f>
        <v xml:space="preserve">Bharosa Pyar Tera </v>
      </c>
      <c r="E347" t="str">
        <f ca="1">IFERROR(__xludf.DUMMYFUNCTION("""COMPUTED_VALUE"""),"TV Series 2019)")</f>
        <v>TV Series 2019)</v>
      </c>
    </row>
    <row r="348" spans="1:5" ht="13" x14ac:dyDescent="0.15">
      <c r="A348" s="5" t="s">
        <v>951</v>
      </c>
      <c r="D348" t="str">
        <f ca="1">IFERROR(__xludf.DUMMYFUNCTION("split(A348,""("")"),"Bible Black ")</f>
        <v xml:space="preserve">Bible Black </v>
      </c>
      <c r="E348" t="str">
        <f ca="1">IFERROR(__xludf.DUMMYFUNCTION("""COMPUTED_VALUE"""),"TV Series 2001– )")</f>
        <v>TV Series 2001– )</v>
      </c>
    </row>
    <row r="349" spans="1:5" ht="13" x14ac:dyDescent="0.15">
      <c r="A349" s="5" t="s">
        <v>953</v>
      </c>
      <c r="D349" t="str">
        <f ca="1">IFERROR(__xludf.DUMMYFUNCTION("split(A349,""("")"),"Bible Truth Church ")</f>
        <v xml:space="preserve">Bible Truth Church </v>
      </c>
      <c r="E349" t="str">
        <f ca="1">IFERROR(__xludf.DUMMYFUNCTION("""COMPUTED_VALUE"""),"TV Series 2013– )")</f>
        <v>TV Series 2013– )</v>
      </c>
    </row>
    <row r="350" spans="1:5" ht="13" x14ac:dyDescent="0.15">
      <c r="A350" s="5" t="s">
        <v>954</v>
      </c>
      <c r="D350" t="str">
        <f ca="1">IFERROR(__xludf.DUMMYFUNCTION("split(A350,""("")"),"Big Barn Farm ")</f>
        <v xml:space="preserve">Big Barn Farm </v>
      </c>
      <c r="E350" t="str">
        <f ca="1">IFERROR(__xludf.DUMMYFUNCTION("""COMPUTED_VALUE"""),"TV Series 2008– )")</f>
        <v>TV Series 2008– )</v>
      </c>
    </row>
    <row r="351" spans="1:5" ht="13" x14ac:dyDescent="0.15">
      <c r="A351" s="5" t="s">
        <v>540</v>
      </c>
      <c r="D351" t="str">
        <f ca="1">IFERROR(__xludf.DUMMYFUNCTION("split(A351,""("")"),"Big Brother ")</f>
        <v xml:space="preserve">Big Brother </v>
      </c>
      <c r="E351" t="str">
        <f ca="1">IFERROR(__xludf.DUMMYFUNCTION("""COMPUTED_VALUE"""),"TV Series 2000– )")</f>
        <v>TV Series 2000– )</v>
      </c>
    </row>
    <row r="352" spans="1:5" ht="13" x14ac:dyDescent="0.15">
      <c r="A352" s="5" t="s">
        <v>540</v>
      </c>
      <c r="D352" t="str">
        <f ca="1">IFERROR(__xludf.DUMMYFUNCTION("split(A352,""("")"),"Big Brother ")</f>
        <v xml:space="preserve">Big Brother </v>
      </c>
      <c r="E352" t="str">
        <f ca="1">IFERROR(__xludf.DUMMYFUNCTION("""COMPUTED_VALUE"""),"TV Series 2000– )")</f>
        <v>TV Series 2000– )</v>
      </c>
    </row>
    <row r="353" spans="1:5" ht="13" x14ac:dyDescent="0.15">
      <c r="A353" s="5" t="s">
        <v>540</v>
      </c>
      <c r="D353" t="str">
        <f ca="1">IFERROR(__xludf.DUMMYFUNCTION("split(A353,""("")"),"Big Brother ")</f>
        <v xml:space="preserve">Big Brother </v>
      </c>
      <c r="E353" t="str">
        <f ca="1">IFERROR(__xludf.DUMMYFUNCTION("""COMPUTED_VALUE"""),"TV Series 2000– )")</f>
        <v>TV Series 2000– )</v>
      </c>
    </row>
    <row r="354" spans="1:5" ht="13" x14ac:dyDescent="0.15">
      <c r="A354" s="5" t="s">
        <v>955</v>
      </c>
      <c r="D354" t="str">
        <f ca="1">IFERROR(__xludf.DUMMYFUNCTION("split(A354,""("")"),"Big City Comedy ")</f>
        <v xml:space="preserve">Big City Comedy </v>
      </c>
      <c r="E354" t="str">
        <f ca="1">IFERROR(__xludf.DUMMYFUNCTION("""COMPUTED_VALUE"""),"TV Series 1980– )")</f>
        <v>TV Series 1980– )</v>
      </c>
    </row>
    <row r="355" spans="1:5" ht="13" x14ac:dyDescent="0.15">
      <c r="A355" s="5" t="s">
        <v>956</v>
      </c>
      <c r="D355" t="str">
        <f ca="1">IFERROR(__xludf.DUMMYFUNCTION("split(A355,""("")"),"Big City Greens ")</f>
        <v xml:space="preserve">Big City Greens </v>
      </c>
      <c r="E355" t="str">
        <f ca="1">IFERROR(__xludf.DUMMYFUNCTION("""COMPUTED_VALUE"""),"TV Series 2018– )")</f>
        <v>TV Series 2018– )</v>
      </c>
    </row>
    <row r="356" spans="1:5" ht="13" x14ac:dyDescent="0.15">
      <c r="A356" s="5" t="s">
        <v>425</v>
      </c>
      <c r="D356" t="str">
        <f ca="1">IFERROR(__xludf.DUMMYFUNCTION("split(A356,""("")"),"Big Fish ")</f>
        <v xml:space="preserve">Big Fish </v>
      </c>
      <c r="E356" t="str">
        <f ca="1">IFERROR(__xludf.DUMMYFUNCTION("""COMPUTED_VALUE"""),"TV Series 2007)")</f>
        <v>TV Series 2007)</v>
      </c>
    </row>
    <row r="357" spans="1:5" ht="13" x14ac:dyDescent="0.15">
      <c r="A357" s="5" t="s">
        <v>399</v>
      </c>
      <c r="D357" t="str">
        <f ca="1">IFERROR(__xludf.DUMMYFUNCTION("split(A357,""("")"),"Big Hero 6: The Series ")</f>
        <v xml:space="preserve">Big Hero 6: The Series </v>
      </c>
      <c r="E357" t="str">
        <f ca="1">IFERROR(__xludf.DUMMYFUNCTION("""COMPUTED_VALUE"""),"TV Series 2017– )")</f>
        <v>TV Series 2017– )</v>
      </c>
    </row>
    <row r="358" spans="1:5" ht="13" x14ac:dyDescent="0.15">
      <c r="A358" s="5" t="s">
        <v>9</v>
      </c>
      <c r="D358" t="str">
        <f ca="1">IFERROR(__xludf.DUMMYFUNCTION("split(A358,""("")"),"Big Little Lies ")</f>
        <v xml:space="preserve">Big Little Lies </v>
      </c>
      <c r="E358" t="str">
        <f ca="1">IFERROR(__xludf.DUMMYFUNCTION("""COMPUTED_VALUE"""),"TV Series 2017– )")</f>
        <v>TV Series 2017– )</v>
      </c>
    </row>
    <row r="359" spans="1:5" ht="13" x14ac:dyDescent="0.15">
      <c r="A359" s="5" t="s">
        <v>957</v>
      </c>
      <c r="D359" t="str">
        <f ca="1">IFERROR(__xludf.DUMMYFUNCTION("split(A359,""("")"),"Big Love ")</f>
        <v xml:space="preserve">Big Love </v>
      </c>
      <c r="E359" t="str">
        <f ca="1">IFERROR(__xludf.DUMMYFUNCTION("""COMPUTED_VALUE"""),"TV Series 2006–2011)")</f>
        <v>TV Series 2006–2011)</v>
      </c>
    </row>
    <row r="360" spans="1:5" ht="13" x14ac:dyDescent="0.15">
      <c r="A360" s="5" t="s">
        <v>662</v>
      </c>
      <c r="D360" t="str">
        <f ca="1">IFERROR(__xludf.DUMMYFUNCTION("split(A360,""("")"),"Big Mouth ")</f>
        <v xml:space="preserve">Big Mouth </v>
      </c>
      <c r="E360" t="str">
        <f ca="1">IFERROR(__xludf.DUMMYFUNCTION("""COMPUTED_VALUE"""),"TV Series 2017– )")</f>
        <v>TV Series 2017– )</v>
      </c>
    </row>
    <row r="361" spans="1:5" ht="13" x14ac:dyDescent="0.15">
      <c r="A361" s="5" t="s">
        <v>958</v>
      </c>
      <c r="D361" t="str">
        <f ca="1">IFERROR(__xludf.DUMMYFUNCTION("split(A361,""("")"),"Big Star's Bigger Star ")</f>
        <v xml:space="preserve">Big Star's Bigger Star </v>
      </c>
      <c r="E361" t="str">
        <f ca="1">IFERROR(__xludf.DUMMYFUNCTION("""COMPUTED_VALUE"""),"TV Series 2018– )")</f>
        <v>TV Series 2018– )</v>
      </c>
    </row>
    <row r="362" spans="1:5" ht="13" x14ac:dyDescent="0.15">
      <c r="A362" s="5" t="s">
        <v>959</v>
      </c>
      <c r="D362" t="str">
        <f ca="1">IFERROR(__xludf.DUMMYFUNCTION("split(A362,""("")"),"Big Train ")</f>
        <v xml:space="preserve">Big Train </v>
      </c>
      <c r="E362" t="str">
        <f ca="1">IFERROR(__xludf.DUMMYFUNCTION("""COMPUTED_VALUE"""),"TV Mini-Series 1998–2002)")</f>
        <v>TV Mini-Series 1998–2002)</v>
      </c>
    </row>
    <row r="363" spans="1:5" ht="13" x14ac:dyDescent="0.15">
      <c r="A363" s="5" t="s">
        <v>426</v>
      </c>
      <c r="D363" t="str">
        <f ca="1">IFERROR(__xludf.DUMMYFUNCTION("split(A363,""("")"),"Bill &amp; Ted's Excellent Adventures ")</f>
        <v xml:space="preserve">Bill &amp; Ted's Excellent Adventures </v>
      </c>
      <c r="E363" t="str">
        <f ca="1">IFERROR(__xludf.DUMMYFUNCTION("""COMPUTED_VALUE"""),"TV Series 1990–1991)")</f>
        <v>TV Series 1990–1991)</v>
      </c>
    </row>
    <row r="364" spans="1:5" ht="13" x14ac:dyDescent="0.15">
      <c r="A364" s="5" t="s">
        <v>960</v>
      </c>
      <c r="D364" t="str">
        <f ca="1">IFERROR(__xludf.DUMMYFUNCTION("split(A364,""("")"),"Bill Nye, the Science Guy ")</f>
        <v xml:space="preserve">Bill Nye, the Science Guy </v>
      </c>
      <c r="E364" t="str">
        <f ca="1">IFERROR(__xludf.DUMMYFUNCTION("""COMPUTED_VALUE"""),"TV Series 1993–1998)")</f>
        <v>TV Series 1993–1998)</v>
      </c>
    </row>
    <row r="365" spans="1:5" ht="13" x14ac:dyDescent="0.15">
      <c r="A365" s="5" t="s">
        <v>273</v>
      </c>
      <c r="D365" t="str">
        <f ca="1">IFERROR(__xludf.DUMMYFUNCTION("split(A365,""("")"),"Billions ")</f>
        <v xml:space="preserve">Billions </v>
      </c>
      <c r="E365" t="str">
        <f ca="1">IFERROR(__xludf.DUMMYFUNCTION("""COMPUTED_VALUE"""),"TV Series 2016– )")</f>
        <v>TV Series 2016– )</v>
      </c>
    </row>
    <row r="366" spans="1:5" ht="13" x14ac:dyDescent="0.15">
      <c r="A366" s="5" t="s">
        <v>961</v>
      </c>
      <c r="D366" t="str">
        <f ca="1">IFERROR(__xludf.DUMMYFUNCTION("split(A366,""("")"),"Billy Dilley's Super-Duper Subterranean Summer ")</f>
        <v xml:space="preserve">Billy Dilley's Super-Duper Subterranean Summer </v>
      </c>
      <c r="E366" t="str">
        <f ca="1">IFERROR(__xludf.DUMMYFUNCTION("""COMPUTED_VALUE"""),"TV Series 2017)")</f>
        <v>TV Series 2017)</v>
      </c>
    </row>
    <row r="367" spans="1:5" ht="13" x14ac:dyDescent="0.15">
      <c r="A367" s="5" t="s">
        <v>962</v>
      </c>
      <c r="D367" t="str">
        <f ca="1">IFERROR(__xludf.DUMMYFUNCTION("split(A367,""("")"),"Bionic Six ")</f>
        <v xml:space="preserve">Bionic Six </v>
      </c>
      <c r="E367" t="str">
        <f ca="1">IFERROR(__xludf.DUMMYFUNCTION("""COMPUTED_VALUE"""),"TV Series 1987– )")</f>
        <v>TV Series 1987– )</v>
      </c>
    </row>
    <row r="368" spans="1:5" ht="13" x14ac:dyDescent="0.15">
      <c r="A368" s="5" t="s">
        <v>52</v>
      </c>
      <c r="D368" t="str">
        <f ca="1">IFERROR(__xludf.DUMMYFUNCTION("split(A368,""("")"),"Birds of Prey ")</f>
        <v xml:space="preserve">Birds of Prey </v>
      </c>
      <c r="E368" t="str">
        <f ca="1">IFERROR(__xludf.DUMMYFUNCTION("""COMPUTED_VALUE"""),"TV Series 2002–2003)")</f>
        <v>TV Series 2002–2003)</v>
      </c>
    </row>
    <row r="369" spans="1:5" ht="13" x14ac:dyDescent="0.15">
      <c r="A369" s="5" t="s">
        <v>963</v>
      </c>
      <c r="D369" t="str">
        <f ca="1">IFERROR(__xludf.DUMMYFUNCTION("split(A369,""("")"),"Bitten ")</f>
        <v xml:space="preserve">Bitten </v>
      </c>
      <c r="E369" t="str">
        <f ca="1">IFERROR(__xludf.DUMMYFUNCTION("""COMPUTED_VALUE"""),"TV Series 2014–2016)")</f>
        <v>TV Series 2014–2016)</v>
      </c>
    </row>
    <row r="370" spans="1:5" ht="13" x14ac:dyDescent="0.15">
      <c r="A370" s="5" t="s">
        <v>964</v>
      </c>
      <c r="D370" t="str">
        <f ca="1">IFERROR(__xludf.DUMMYFUNCTION("split(A370,""("")"),"Bizaardvark ")</f>
        <v xml:space="preserve">Bizaardvark </v>
      </c>
      <c r="E370" t="str">
        <f ca="1">IFERROR(__xludf.DUMMYFUNCTION("""COMPUTED_VALUE"""),"TV Series 2016–2019)")</f>
        <v>TV Series 2016–2019)</v>
      </c>
    </row>
    <row r="371" spans="1:5" ht="13" x14ac:dyDescent="0.15">
      <c r="A371" s="5" t="s">
        <v>965</v>
      </c>
      <c r="D371" t="str">
        <f ca="1">IFERROR(__xludf.DUMMYFUNCTION("split(A371,""("")"),"Bizarre ")</f>
        <v xml:space="preserve">Bizarre </v>
      </c>
      <c r="E371" t="str">
        <f ca="1">IFERROR(__xludf.DUMMYFUNCTION("""COMPUTED_VALUE"""),"TV Series 1980–1985)")</f>
        <v>TV Series 1980–1985)</v>
      </c>
    </row>
    <row r="372" spans="1:5" ht="13" x14ac:dyDescent="0.15">
      <c r="A372" s="5" t="s">
        <v>966</v>
      </c>
      <c r="D372" t="str">
        <f ca="1">IFERROR(__xludf.DUMMYFUNCTION("split(A372,""("")"),"Bizarre Foods with Andrew Zimmern ")</f>
        <v xml:space="preserve">Bizarre Foods with Andrew Zimmern </v>
      </c>
      <c r="E372" t="str">
        <f ca="1">IFERROR(__xludf.DUMMYFUNCTION("""COMPUTED_VALUE"""),"TV Series 2006– )")</f>
        <v>TV Series 2006– )</v>
      </c>
    </row>
    <row r="373" spans="1:5" ht="13" x14ac:dyDescent="0.15">
      <c r="A373" s="5" t="s">
        <v>967</v>
      </c>
      <c r="D373" t="str">
        <f ca="1">IFERROR(__xludf.DUMMYFUNCTION("split(A373,""("")"),"Black ")</f>
        <v xml:space="preserve">Black </v>
      </c>
      <c r="E373" t="str">
        <f ca="1">IFERROR(__xludf.DUMMYFUNCTION("""COMPUTED_VALUE"""),"TV Series 2017)")</f>
        <v>TV Series 2017)</v>
      </c>
    </row>
    <row r="374" spans="1:5" ht="13" x14ac:dyDescent="0.15">
      <c r="A374" s="5" t="s">
        <v>968</v>
      </c>
      <c r="D374" t="str">
        <f ca="1">IFERROR(__xludf.DUMMYFUNCTION("split(A374,""("")"),"Black Adder the Third ")</f>
        <v xml:space="preserve">Black Adder the Third </v>
      </c>
      <c r="E374" t="str">
        <f ca="1">IFERROR(__xludf.DUMMYFUNCTION("""COMPUTED_VALUE"""),"TV Series 1987)")</f>
        <v>TV Series 1987)</v>
      </c>
    </row>
    <row r="375" spans="1:5" ht="13" x14ac:dyDescent="0.15">
      <c r="A375" s="5" t="s">
        <v>969</v>
      </c>
      <c r="D375" t="str">
        <f ca="1">IFERROR(__xludf.DUMMYFUNCTION("split(A375,""("")"),"Black and White Love ")</f>
        <v xml:space="preserve">Black and White Love </v>
      </c>
      <c r="E375" t="str">
        <f ca="1">IFERROR(__xludf.DUMMYFUNCTION("""COMPUTED_VALUE"""),"TV Series 2017– )")</f>
        <v>TV Series 2017– )</v>
      </c>
    </row>
    <row r="376" spans="1:5" ht="13" x14ac:dyDescent="0.15">
      <c r="A376" s="5" t="s">
        <v>970</v>
      </c>
      <c r="D376" t="str">
        <f ca="1">IFERROR(__xludf.DUMMYFUNCTION("split(A376,""("")"),"Black Books ")</f>
        <v xml:space="preserve">Black Books </v>
      </c>
      <c r="E376" t="str">
        <f ca="1">IFERROR(__xludf.DUMMYFUNCTION("""COMPUTED_VALUE"""),"TV Series 2000–2004)")</f>
        <v>TV Series 2000–2004)</v>
      </c>
    </row>
    <row r="377" spans="1:5" ht="13" x14ac:dyDescent="0.15">
      <c r="A377" s="5" t="s">
        <v>971</v>
      </c>
      <c r="D377" t="str">
        <f ca="1">IFERROR(__xludf.DUMMYFUNCTION("split(A377,""("")"),"Black Butler ")</f>
        <v xml:space="preserve">Black Butler </v>
      </c>
      <c r="E377" t="str">
        <f ca="1">IFERROR(__xludf.DUMMYFUNCTION("""COMPUTED_VALUE"""),"TV Series 2008–2010)")</f>
        <v>TV Series 2008–2010)</v>
      </c>
    </row>
    <row r="378" spans="1:5" ht="13" x14ac:dyDescent="0.15">
      <c r="A378" s="5" t="s">
        <v>972</v>
      </c>
      <c r="D378" t="str">
        <f ca="1">IFERROR(__xludf.DUMMYFUNCTION("split(A378,""("")"),"Black Ink Crew ")</f>
        <v xml:space="preserve">Black Ink Crew </v>
      </c>
      <c r="E378" t="str">
        <f ca="1">IFERROR(__xludf.DUMMYFUNCTION("""COMPUTED_VALUE"""),"TV Series 2012– )")</f>
        <v>TV Series 2012– )</v>
      </c>
    </row>
    <row r="379" spans="1:5" ht="13" x14ac:dyDescent="0.15">
      <c r="A379" s="5" t="s">
        <v>204</v>
      </c>
      <c r="D379" t="str">
        <f ca="1">IFERROR(__xludf.DUMMYFUNCTION("split(A379,""("")"),"Black Jesus ")</f>
        <v xml:space="preserve">Black Jesus </v>
      </c>
      <c r="E379" t="str">
        <f ca="1">IFERROR(__xludf.DUMMYFUNCTION("""COMPUTED_VALUE"""),"TV Series 2014– )")</f>
        <v>TV Series 2014– )</v>
      </c>
    </row>
    <row r="380" spans="1:5" ht="13" x14ac:dyDescent="0.15">
      <c r="A380" s="5" t="s">
        <v>973</v>
      </c>
      <c r="D380" t="str">
        <f ca="1">IFERROR(__xludf.DUMMYFUNCTION("split(A380,""("")"),"Black Lagoon ")</f>
        <v xml:space="preserve">Black Lagoon </v>
      </c>
      <c r="E380" t="str">
        <f ca="1">IFERROR(__xludf.DUMMYFUNCTION("""COMPUTED_VALUE"""),"TV Series 2006)")</f>
        <v>TV Series 2006)</v>
      </c>
    </row>
    <row r="381" spans="1:5" ht="13" x14ac:dyDescent="0.15">
      <c r="A381" s="5" t="s">
        <v>496</v>
      </c>
      <c r="D381" t="str">
        <f ca="1">IFERROR(__xludf.DUMMYFUNCTION("split(A381,""("")"),"Black Lightning ")</f>
        <v xml:space="preserve">Black Lightning </v>
      </c>
      <c r="E381" t="str">
        <f ca="1">IFERROR(__xludf.DUMMYFUNCTION("""COMPUTED_VALUE"""),"TV Series 2018– )")</f>
        <v>TV Series 2018– )</v>
      </c>
    </row>
    <row r="382" spans="1:5" ht="13" x14ac:dyDescent="0.15">
      <c r="A382" s="5" t="s">
        <v>974</v>
      </c>
      <c r="D382" t="str">
        <f ca="1">IFERROR(__xludf.DUMMYFUNCTION("split(A382,""("")"),"Black Mirror ")</f>
        <v xml:space="preserve">Black Mirror </v>
      </c>
      <c r="E382" t="str">
        <f ca="1">IFERROR(__xludf.DUMMYFUNCTION("""COMPUTED_VALUE"""),"TV Series 2011– )")</f>
        <v>TV Series 2011– )</v>
      </c>
    </row>
    <row r="383" spans="1:5" ht="13" x14ac:dyDescent="0.15">
      <c r="A383" s="5" t="s">
        <v>175</v>
      </c>
      <c r="D383" t="str">
        <f ca="1">IFERROR(__xludf.DUMMYFUNCTION("split(A383,""("")"),"Black Monday ")</f>
        <v xml:space="preserve">Black Monday </v>
      </c>
      <c r="E383" t="str">
        <f ca="1">IFERROR(__xludf.DUMMYFUNCTION("""COMPUTED_VALUE"""),"TV Series 2018– )")</f>
        <v>TV Series 2018– )</v>
      </c>
    </row>
    <row r="384" spans="1:5" ht="13" x14ac:dyDescent="0.15">
      <c r="A384" s="5" t="s">
        <v>105</v>
      </c>
      <c r="D384" t="str">
        <f ca="1">IFERROR(__xludf.DUMMYFUNCTION("split(A384,""("")"),"Black Sails ")</f>
        <v xml:space="preserve">Black Sails </v>
      </c>
      <c r="E384" t="str">
        <f ca="1">IFERROR(__xludf.DUMMYFUNCTION("""COMPUTED_VALUE"""),"TV Series 2014–2017)")</f>
        <v>TV Series 2014–2017)</v>
      </c>
    </row>
    <row r="385" spans="1:5" ht="13" x14ac:dyDescent="0.15">
      <c r="A385" s="5" t="s">
        <v>427</v>
      </c>
      <c r="D385" t="str">
        <f ca="1">IFERROR(__xludf.DUMMYFUNCTION("split(A385,""("")"),"Black Scorpion ")</f>
        <v xml:space="preserve">Black Scorpion </v>
      </c>
      <c r="E385" t="str">
        <f ca="1">IFERROR(__xludf.DUMMYFUNCTION("""COMPUTED_VALUE"""),"TV Series 2001)")</f>
        <v>TV Series 2001)</v>
      </c>
    </row>
    <row r="386" spans="1:5" ht="13" x14ac:dyDescent="0.15">
      <c r="A386" s="5" t="s">
        <v>975</v>
      </c>
      <c r="D386" t="str">
        <f ca="1">IFERROR(__xludf.DUMMYFUNCTION("split(A386,""("")"),"Black Spot ")</f>
        <v xml:space="preserve">Black Spot </v>
      </c>
      <c r="E386" t="str">
        <f ca="1">IFERROR(__xludf.DUMMYFUNCTION("""COMPUTED_VALUE"""),"TV Series 2017– )")</f>
        <v>TV Series 2017– )</v>
      </c>
    </row>
    <row r="387" spans="1:5" ht="13" x14ac:dyDescent="0.15">
      <c r="A387" s="5" t="s">
        <v>976</v>
      </c>
      <c r="D387" t="str">
        <f ca="1">IFERROR(__xludf.DUMMYFUNCTION("split(A387,""("")"),"Black Tie Nights ")</f>
        <v xml:space="preserve">Black Tie Nights </v>
      </c>
      <c r="E387" t="str">
        <f ca="1">IFERROR(__xludf.DUMMYFUNCTION("""COMPUTED_VALUE"""),"TV Series 2004–2005)")</f>
        <v>TV Series 2004–2005)</v>
      </c>
    </row>
    <row r="388" spans="1:5" ht="13" x14ac:dyDescent="0.15">
      <c r="A388" s="5" t="s">
        <v>977</v>
      </c>
      <c r="D388" t="str">
        <f ca="1">IFERROR(__xludf.DUMMYFUNCTION("split(A388,""("")"),"Black-Adder II ")</f>
        <v xml:space="preserve">Black-Adder II </v>
      </c>
      <c r="E388" t="str">
        <f ca="1">IFERROR(__xludf.DUMMYFUNCTION("""COMPUTED_VALUE"""),"TV Series 1986)")</f>
        <v>TV Series 1986)</v>
      </c>
    </row>
    <row r="389" spans="1:5" ht="13" x14ac:dyDescent="0.15">
      <c r="A389" s="5" t="s">
        <v>205</v>
      </c>
      <c r="D389" t="str">
        <f ca="1">IFERROR(__xludf.DUMMYFUNCTION("split(A389,""("")"),"Black-ish ")</f>
        <v xml:space="preserve">Black-ish </v>
      </c>
      <c r="E389" t="str">
        <f ca="1">IFERROR(__xludf.DUMMYFUNCTION("""COMPUTED_VALUE"""),"TV Series 2014– )")</f>
        <v>TV Series 2014– )</v>
      </c>
    </row>
    <row r="390" spans="1:5" ht="13" x14ac:dyDescent="0.15">
      <c r="A390" s="5" t="s">
        <v>978</v>
      </c>
      <c r="D390" t="str">
        <f ca="1">IFERROR(__xludf.DUMMYFUNCTION("split(A390,""("")"),"Blackadder Goes Forth ")</f>
        <v xml:space="preserve">Blackadder Goes Forth </v>
      </c>
      <c r="E390" t="str">
        <f ca="1">IFERROR(__xludf.DUMMYFUNCTION("""COMPUTED_VALUE"""),"TV Series 1989)")</f>
        <v>TV Series 1989)</v>
      </c>
    </row>
    <row r="391" spans="1:5" ht="13" x14ac:dyDescent="0.15">
      <c r="A391" s="5" t="s">
        <v>979</v>
      </c>
      <c r="D391" t="str">
        <f ca="1">IFERROR(__xludf.DUMMYFUNCTION("split(A391,""("")"),"Blacked ")</f>
        <v xml:space="preserve">Blacked </v>
      </c>
      <c r="E391" t="str">
        <f ca="1">IFERROR(__xludf.DUMMYFUNCTION("""COMPUTED_VALUE"""),"TV Series 2014– )")</f>
        <v>TV Series 2014– )</v>
      </c>
    </row>
    <row r="392" spans="1:5" ht="13" x14ac:dyDescent="0.15">
      <c r="A392" s="5" t="s">
        <v>980</v>
      </c>
      <c r="D392" t="str">
        <f ca="1">IFERROR(__xludf.DUMMYFUNCTION("split(A392,""("")"),"Blackstar ")</f>
        <v xml:space="preserve">Blackstar </v>
      </c>
      <c r="E392" t="str">
        <f ca="1">IFERROR(__xludf.DUMMYFUNCTION("""COMPUTED_VALUE"""),"TV Series 1981–1982)")</f>
        <v>TV Series 1981–1982)</v>
      </c>
    </row>
    <row r="393" spans="1:5" ht="13" x14ac:dyDescent="0.15">
      <c r="A393" s="5" t="s">
        <v>185</v>
      </c>
      <c r="D393" t="str">
        <f ca="1">IFERROR(__xludf.DUMMYFUNCTION("split(A393,""("")"),"Blade: The Series ")</f>
        <v xml:space="preserve">Blade: The Series </v>
      </c>
      <c r="E393" t="str">
        <f ca="1">IFERROR(__xludf.DUMMYFUNCTION("""COMPUTED_VALUE"""),"TV Series 2006)")</f>
        <v>TV Series 2006)</v>
      </c>
    </row>
    <row r="394" spans="1:5" ht="13" x14ac:dyDescent="0.15">
      <c r="A394" s="5" t="s">
        <v>981</v>
      </c>
      <c r="D394" t="str">
        <f ca="1">IFERROR(__xludf.DUMMYFUNCTION("split(A394,""("")"),"Blaster's Universe ")</f>
        <v xml:space="preserve">Blaster's Universe </v>
      </c>
      <c r="E394" t="str">
        <f ca="1">IFERROR(__xludf.DUMMYFUNCTION("""COMPUTED_VALUE"""),"TV Series 1999– )")</f>
        <v>TV Series 1999– )</v>
      </c>
    </row>
    <row r="395" spans="1:5" ht="13" x14ac:dyDescent="0.15">
      <c r="A395" s="5" t="s">
        <v>982</v>
      </c>
      <c r="D395" t="str">
        <f ca="1">IFERROR(__xludf.DUMMYFUNCTION("split(A395,""("")"),"Blaze and the Monster Machines ")</f>
        <v xml:space="preserve">Blaze and the Monster Machines </v>
      </c>
      <c r="E395" t="str">
        <f ca="1">IFERROR(__xludf.DUMMYFUNCTION("""COMPUTED_VALUE"""),"TV Series 2014– )")</f>
        <v>TV Series 2014– )</v>
      </c>
    </row>
    <row r="396" spans="1:5" ht="13" x14ac:dyDescent="0.15">
      <c r="A396" s="5" t="s">
        <v>983</v>
      </c>
      <c r="D396" t="str">
        <f ca="1">IFERROR(__xludf.DUMMYFUNCTION("split(A396,""("")"),"Blind Date ")</f>
        <v xml:space="preserve">Blind Date </v>
      </c>
      <c r="E396" t="str">
        <f ca="1">IFERROR(__xludf.DUMMYFUNCTION("""COMPUTED_VALUE"""),"TV Series 1985–2018)")</f>
        <v>TV Series 1985–2018)</v>
      </c>
    </row>
    <row r="397" spans="1:5" ht="13" x14ac:dyDescent="0.15">
      <c r="A397" s="5" t="s">
        <v>333</v>
      </c>
      <c r="D397" t="str">
        <f ca="1">IFERROR(__xludf.DUMMYFUNCTION("split(A397,""("")"),"Blindspot ")</f>
        <v xml:space="preserve">Blindspot </v>
      </c>
      <c r="E397" t="str">
        <f ca="1">IFERROR(__xludf.DUMMYFUNCTION("""COMPUTED_VALUE"""),"TV Series 2015– )")</f>
        <v>TV Series 2015– )</v>
      </c>
    </row>
    <row r="398" spans="1:5" ht="13" x14ac:dyDescent="0.15">
      <c r="A398" s="5" t="s">
        <v>984</v>
      </c>
      <c r="D398" t="str">
        <f ca="1">IFERROR(__xludf.DUMMYFUNCTION("split(A398,""("")"),"Bliss ")</f>
        <v xml:space="preserve">Bliss </v>
      </c>
      <c r="E398" t="str">
        <f ca="1">IFERROR(__xludf.DUMMYFUNCTION("""COMPUTED_VALUE"""),"TV Series 2002–2004)")</f>
        <v>TV Series 2002–2004)</v>
      </c>
    </row>
    <row r="399" spans="1:5" ht="13" x14ac:dyDescent="0.15">
      <c r="A399" s="5" t="s">
        <v>985</v>
      </c>
      <c r="D399" t="str">
        <f ca="1">IFERROR(__xludf.DUMMYFUNCTION("split(A399,""("")"),"Blood &amp; Oil ")</f>
        <v xml:space="preserve">Blood &amp; Oil </v>
      </c>
      <c r="E399" t="str">
        <f ca="1">IFERROR(__xludf.DUMMYFUNCTION("""COMPUTED_VALUE"""),"TV Series 2015)")</f>
        <v>TV Series 2015)</v>
      </c>
    </row>
    <row r="400" spans="1:5" ht="13" x14ac:dyDescent="0.15">
      <c r="A400" s="5" t="s">
        <v>986</v>
      </c>
      <c r="D400" t="str">
        <f ca="1">IFERROR(__xludf.DUMMYFUNCTION("split(A400,""("")"),"Blood &amp; Treasure ")</f>
        <v xml:space="preserve">Blood &amp; Treasure </v>
      </c>
      <c r="E400" t="str">
        <f ca="1">IFERROR(__xludf.DUMMYFUNCTION("""COMPUTED_VALUE"""),"TV Series 2019– )")</f>
        <v>TV Series 2019– )</v>
      </c>
    </row>
    <row r="401" spans="1:5" ht="13" x14ac:dyDescent="0.15">
      <c r="A401" s="5" t="s">
        <v>987</v>
      </c>
      <c r="D401" t="str">
        <f ca="1">IFERROR(__xludf.DUMMYFUNCTION("split(A401,""("")"),"Blood and Honor: Youth Under Hitler ")</f>
        <v xml:space="preserve">Blood and Honor: Youth Under Hitler </v>
      </c>
      <c r="E401" t="str">
        <f ca="1">IFERROR(__xludf.DUMMYFUNCTION("""COMPUTED_VALUE"""),"TV Series 1982– )")</f>
        <v>TV Series 1982– )</v>
      </c>
    </row>
    <row r="402" spans="1:5" ht="13" x14ac:dyDescent="0.15">
      <c r="A402" s="5" t="s">
        <v>988</v>
      </c>
      <c r="D402" t="str">
        <f ca="1">IFERROR(__xludf.DUMMYFUNCTION("split(A402,""("")"),"Blood Drive ")</f>
        <v xml:space="preserve">Blood Drive </v>
      </c>
      <c r="E402" t="str">
        <f ca="1">IFERROR(__xludf.DUMMYFUNCTION("""COMPUTED_VALUE"""),"TV Series 2017)")</f>
        <v>TV Series 2017)</v>
      </c>
    </row>
    <row r="403" spans="1:5" ht="13" x14ac:dyDescent="0.15">
      <c r="A403" s="5" t="s">
        <v>989</v>
      </c>
      <c r="D403" t="str">
        <f ca="1">IFERROR(__xludf.DUMMYFUNCTION("split(A403,""("")"),"Blood-C ")</f>
        <v xml:space="preserve">Blood-C </v>
      </c>
      <c r="E403" t="str">
        <f ca="1">IFERROR(__xludf.DUMMYFUNCTION("""COMPUTED_VALUE"""),"TV Series 2011– )")</f>
        <v>TV Series 2011– )</v>
      </c>
    </row>
    <row r="404" spans="1:5" ht="13" x14ac:dyDescent="0.15">
      <c r="A404" s="5" t="s">
        <v>990</v>
      </c>
      <c r="D404" t="str">
        <f ca="1">IFERROR(__xludf.DUMMYFUNCTION("split(A404,""("")"),"Blood+ ")</f>
        <v xml:space="preserve">Blood+ </v>
      </c>
      <c r="E404" t="str">
        <f ca="1">IFERROR(__xludf.DUMMYFUNCTION("""COMPUTED_VALUE"""),"TV Series 2005–2006)")</f>
        <v>TV Series 2005–2006)</v>
      </c>
    </row>
    <row r="405" spans="1:5" ht="13" x14ac:dyDescent="0.15">
      <c r="A405" s="5" t="s">
        <v>991</v>
      </c>
      <c r="D405" t="str">
        <f ca="1">IFERROR(__xludf.DUMMYFUNCTION("split(A405,""("")"),"Bloodivores ")</f>
        <v xml:space="preserve">Bloodivores </v>
      </c>
      <c r="E405" t="str">
        <f ca="1">IFERROR(__xludf.DUMMYFUNCTION("""COMPUTED_VALUE"""),"TV Series 2016)")</f>
        <v>TV Series 2016)</v>
      </c>
    </row>
    <row r="406" spans="1:5" ht="13" x14ac:dyDescent="0.15">
      <c r="A406" s="5" t="s">
        <v>992</v>
      </c>
      <c r="D406" t="str">
        <f ca="1">IFERROR(__xludf.DUMMYFUNCTION("split(A406,""("")"),"Bloodline ")</f>
        <v xml:space="preserve">Bloodline </v>
      </c>
      <c r="E406" t="str">
        <f ca="1">IFERROR(__xludf.DUMMYFUNCTION("""COMPUTED_VALUE"""),"TV Series 2015–2017)")</f>
        <v>TV Series 2015–2017)</v>
      </c>
    </row>
    <row r="407" spans="1:5" ht="13" x14ac:dyDescent="0.15">
      <c r="A407" s="5" t="s">
        <v>993</v>
      </c>
      <c r="D407" t="str">
        <f ca="1">IFERROR(__xludf.DUMMYFUNCTION("split(A407,""("")"),"Bloomers ")</f>
        <v xml:space="preserve">Bloomers </v>
      </c>
      <c r="E407" t="str">
        <f ca="1">IFERROR(__xludf.DUMMYFUNCTION("""COMPUTED_VALUE"""),"TV Series 2011– )")</f>
        <v>TV Series 2011– )</v>
      </c>
    </row>
    <row r="408" spans="1:5" ht="13" x14ac:dyDescent="0.15">
      <c r="A408" s="5" t="s">
        <v>994</v>
      </c>
      <c r="D408" t="str">
        <f ca="1">IFERROR(__xludf.DUMMYFUNCTION("split(A408,""("")"),"Blossom ")</f>
        <v xml:space="preserve">Blossom </v>
      </c>
      <c r="E408" t="str">
        <f ca="1">IFERROR(__xludf.DUMMYFUNCTION("""COMPUTED_VALUE"""),"TV Series 1990–1995)")</f>
        <v>TV Series 1990–1995)</v>
      </c>
    </row>
    <row r="409" spans="1:5" ht="13" x14ac:dyDescent="0.15">
      <c r="A409" s="5" t="s">
        <v>995</v>
      </c>
      <c r="D409" t="str">
        <f ca="1">IFERROR(__xludf.DUMMYFUNCTION("split(A409,""("")"),"Bludgeoning Angel Dokuro-chan ")</f>
        <v xml:space="preserve">Bludgeoning Angel Dokuro-chan </v>
      </c>
      <c r="E409" t="str">
        <f ca="1">IFERROR(__xludf.DUMMYFUNCTION("""COMPUTED_VALUE"""),"TV Series 2005– )")</f>
        <v>TV Series 2005– )</v>
      </c>
    </row>
    <row r="410" spans="1:5" ht="13" x14ac:dyDescent="0.15">
      <c r="A410" s="5" t="s">
        <v>996</v>
      </c>
      <c r="D410" t="str">
        <f ca="1">IFERROR(__xludf.DUMMYFUNCTION("split(A410,""("")"),"Blue Bloods ")</f>
        <v xml:space="preserve">Blue Bloods </v>
      </c>
      <c r="E410" t="str">
        <f ca="1">IFERROR(__xludf.DUMMYFUNCTION("""COMPUTED_VALUE"""),"TV Series 2010– )")</f>
        <v>TV Series 2010– )</v>
      </c>
    </row>
    <row r="411" spans="1:5" ht="13" x14ac:dyDescent="0.15">
      <c r="A411" s="5" t="s">
        <v>997</v>
      </c>
      <c r="D411" t="str">
        <f ca="1">IFERROR(__xludf.DUMMYFUNCTION("split(A411,""("")"),"Blue Drop: Tenshi tachi no gikyoku ")</f>
        <v xml:space="preserve">Blue Drop: Tenshi tachi no gikyoku </v>
      </c>
      <c r="E411" t="str">
        <f ca="1">IFERROR(__xludf.DUMMYFUNCTION("""COMPUTED_VALUE"""),"TV Series 2007– )")</f>
        <v>TV Series 2007– )</v>
      </c>
    </row>
    <row r="412" spans="1:5" ht="13" x14ac:dyDescent="0.15">
      <c r="A412" s="5" t="s">
        <v>998</v>
      </c>
      <c r="D412" t="str">
        <f ca="1">IFERROR(__xludf.DUMMYFUNCTION("split(A412,""("")"),"Blue Gender ")</f>
        <v xml:space="preserve">Blue Gender </v>
      </c>
      <c r="E412" t="str">
        <f ca="1">IFERROR(__xludf.DUMMYFUNCTION("""COMPUTED_VALUE"""),"TV Series 1999–2000)")</f>
        <v>TV Series 1999–2000)</v>
      </c>
    </row>
    <row r="413" spans="1:5" ht="13" x14ac:dyDescent="0.15">
      <c r="A413" s="5" t="s">
        <v>999</v>
      </c>
      <c r="D413" t="str">
        <f ca="1">IFERROR(__xludf.DUMMYFUNCTION("split(A413,""("")"),"Blue Wilderness ")</f>
        <v xml:space="preserve">Blue Wilderness </v>
      </c>
      <c r="E413" t="str">
        <f ca="1">IFERROR(__xludf.DUMMYFUNCTION("""COMPUTED_VALUE"""),"TV Series 1991–1992)")</f>
        <v>TV Series 1991–1992)</v>
      </c>
    </row>
    <row r="414" spans="1:5" ht="13" x14ac:dyDescent="0.15">
      <c r="A414" s="5" t="s">
        <v>1000</v>
      </c>
      <c r="D414" t="str">
        <f ca="1">IFERROR(__xludf.DUMMYFUNCTION("split(A414,""("")"),"Blue's Clues ")</f>
        <v xml:space="preserve">Blue's Clues </v>
      </c>
      <c r="E414" t="str">
        <f ca="1">IFERROR(__xludf.DUMMYFUNCTION("""COMPUTED_VALUE"""),"TV Series 1996–2007)")</f>
        <v>TV Series 1996–2007)</v>
      </c>
    </row>
    <row r="415" spans="1:5" ht="13" x14ac:dyDescent="0.15">
      <c r="A415" s="5" t="s">
        <v>1001</v>
      </c>
      <c r="D415" t="str">
        <f ca="1">IFERROR(__xludf.DUMMYFUNCTION("split(A415,""("")"),"Bluestone 42 ")</f>
        <v xml:space="preserve">Bluestone 42 </v>
      </c>
      <c r="E415" t="str">
        <f ca="1">IFERROR(__xludf.DUMMYFUNCTION("""COMPUTED_VALUE"""),"TV Series 2013– )")</f>
        <v>TV Series 2013– )</v>
      </c>
    </row>
    <row r="416" spans="1:5" ht="13" x14ac:dyDescent="0.15">
      <c r="A416" s="5" t="s">
        <v>1002</v>
      </c>
      <c r="D416" t="str">
        <f ca="1">IFERROR(__xludf.DUMMYFUNCTION("split(A416,""("")"),"Bluewhisper ")</f>
        <v xml:space="preserve">Bluewhisper </v>
      </c>
      <c r="E416" t="str">
        <f ca="1">IFERROR(__xludf.DUMMYFUNCTION("""COMPUTED_VALUE"""),"TV Series 2015– )")</f>
        <v>TV Series 2015– )</v>
      </c>
    </row>
    <row r="417" spans="1:5" ht="13" x14ac:dyDescent="0.15">
      <c r="A417" s="5" t="s">
        <v>320</v>
      </c>
      <c r="D417" t="str">
        <f ca="1">IFERROR(__xludf.DUMMYFUNCTION("split(A417,""("")"),"Boardwalk Empire ")</f>
        <v xml:space="preserve">Boardwalk Empire </v>
      </c>
      <c r="E417" t="str">
        <f ca="1">IFERROR(__xludf.DUMMYFUNCTION("""COMPUTED_VALUE"""),"TV Series 2010–2014)")</f>
        <v>TV Series 2010–2014)</v>
      </c>
    </row>
    <row r="418" spans="1:5" ht="13" x14ac:dyDescent="0.15">
      <c r="A418" s="5" t="s">
        <v>1003</v>
      </c>
      <c r="D418" t="str">
        <f ca="1">IFERROR(__xludf.DUMMYFUNCTION("split(A418,""("")"),"Bob &amp; Doug ")</f>
        <v xml:space="preserve">Bob &amp; Doug </v>
      </c>
      <c r="E418" t="str">
        <f ca="1">IFERROR(__xludf.DUMMYFUNCTION("""COMPUTED_VALUE"""),"TV Series 2009– )")</f>
        <v>TV Series 2009– )</v>
      </c>
    </row>
    <row r="419" spans="1:5" ht="13" x14ac:dyDescent="0.15">
      <c r="A419" s="5" t="s">
        <v>1004</v>
      </c>
      <c r="D419" t="str">
        <f ca="1">IFERROR(__xludf.DUMMYFUNCTION("split(A419,""("")"),"Bob &amp; Rose ")</f>
        <v xml:space="preserve">Bob &amp; Rose </v>
      </c>
      <c r="E419" t="str">
        <f ca="1">IFERROR(__xludf.DUMMYFUNCTION("""COMPUTED_VALUE"""),"TV Series 2001– )")</f>
        <v>TV Series 2001– )</v>
      </c>
    </row>
    <row r="420" spans="1:5" ht="13" x14ac:dyDescent="0.15">
      <c r="A420" s="5" t="s">
        <v>497</v>
      </c>
      <c r="D420" t="str">
        <f ca="1">IFERROR(__xludf.DUMMYFUNCTION("split(A420,""("")"),"Bob the Builder ")</f>
        <v xml:space="preserve">Bob the Builder </v>
      </c>
      <c r="E420" t="str">
        <f ca="1">IFERROR(__xludf.DUMMYFUNCTION("""COMPUTED_VALUE"""),"TV Series 1998–2004)")</f>
        <v>TV Series 1998–2004)</v>
      </c>
    </row>
    <row r="421" spans="1:5" ht="13" x14ac:dyDescent="0.15">
      <c r="A421" s="5" t="s">
        <v>1005</v>
      </c>
      <c r="D421" t="str">
        <f ca="1">IFERROR(__xludf.DUMMYFUNCTION("split(A421,""("")"),"Bob's Burgers ")</f>
        <v xml:space="preserve">Bob's Burgers </v>
      </c>
      <c r="E421" t="str">
        <f ca="1">IFERROR(__xludf.DUMMYFUNCTION("""COMPUTED_VALUE"""),"TV Series 2011– )")</f>
        <v>TV Series 2011– )</v>
      </c>
    </row>
    <row r="422" spans="1:5" ht="13" x14ac:dyDescent="0.15">
      <c r="A422" s="5" t="s">
        <v>1006</v>
      </c>
      <c r="D422" t="str">
        <f ca="1">IFERROR(__xludf.DUMMYFUNCTION("split(A422,""("")"),"Body Cam ")</f>
        <v xml:space="preserve">Body Cam </v>
      </c>
      <c r="E422" t="str">
        <f ca="1">IFERROR(__xludf.DUMMYFUNCTION("""COMPUTED_VALUE"""),"TV Series 2018– )")</f>
        <v>TV Series 2018– )</v>
      </c>
    </row>
    <row r="423" spans="1:5" ht="13" x14ac:dyDescent="0.15">
      <c r="A423" s="5" t="s">
        <v>1007</v>
      </c>
      <c r="D423" t="str">
        <f ca="1">IFERROR(__xludf.DUMMYFUNCTION("split(A423,""("")"),"Body of Evidence ")</f>
        <v xml:space="preserve">Body of Evidence </v>
      </c>
      <c r="E423" t="str">
        <f ca="1">IFERROR(__xludf.DUMMYFUNCTION("""COMPUTED_VALUE"""),"TV Series 2001– )")</f>
        <v>TV Series 2001– )</v>
      </c>
    </row>
    <row r="424" spans="1:5" ht="13" x14ac:dyDescent="0.15">
      <c r="A424" s="5" t="s">
        <v>1008</v>
      </c>
      <c r="D424" t="str">
        <f ca="1">IFERROR(__xludf.DUMMYFUNCTION("split(A424,""("")"),"Body of Proof ")</f>
        <v xml:space="preserve">Body of Proof </v>
      </c>
      <c r="E424" t="str">
        <f ca="1">IFERROR(__xludf.DUMMYFUNCTION("""COMPUTED_VALUE"""),"TV Series 2011–2013)")</f>
        <v>TV Series 2011–2013)</v>
      </c>
    </row>
    <row r="425" spans="1:5" ht="13" x14ac:dyDescent="0.15">
      <c r="A425" s="5" t="s">
        <v>1009</v>
      </c>
      <c r="D425" t="str">
        <f ca="1">IFERROR(__xludf.DUMMYFUNCTION("split(A425,""("")"),"Bodyguard ")</f>
        <v xml:space="preserve">Bodyguard </v>
      </c>
      <c r="E425" t="str">
        <f ca="1">IFERROR(__xludf.DUMMYFUNCTION("""COMPUTED_VALUE"""),"TV Series 2018– )")</f>
        <v>TV Series 2018– )</v>
      </c>
    </row>
    <row r="426" spans="1:5" ht="13" x14ac:dyDescent="0.15">
      <c r="A426" s="5" t="s">
        <v>1010</v>
      </c>
      <c r="D426" s="9" t="str">
        <f ca="1">IFERROR(__xludf.DUMMYFUNCTION("split(A426,""("")"),"Bodyshock.tv ")</f>
        <v xml:space="preserve">Bodyshock.tv </v>
      </c>
      <c r="E426" t="str">
        <f ca="1">IFERROR(__xludf.DUMMYFUNCTION("""COMPUTED_VALUE"""),"TV Series 2013– )")</f>
        <v>TV Series 2013– )</v>
      </c>
    </row>
    <row r="427" spans="1:5" ht="13" x14ac:dyDescent="0.15">
      <c r="A427" s="5" t="s">
        <v>663</v>
      </c>
      <c r="D427" t="str">
        <f ca="1">IFERROR(__xludf.DUMMYFUNCTION("split(A427,""("")"),"BoJack Horseman ")</f>
        <v xml:space="preserve">BoJack Horseman </v>
      </c>
      <c r="E427" t="str">
        <f ca="1">IFERROR(__xludf.DUMMYFUNCTION("""COMPUTED_VALUE"""),"TV Series 2014– )")</f>
        <v>TV Series 2014– )</v>
      </c>
    </row>
    <row r="428" spans="1:5" ht="13" x14ac:dyDescent="0.15">
      <c r="A428" s="5" t="s">
        <v>1011</v>
      </c>
      <c r="D428" t="str">
        <f ca="1">IFERROR(__xludf.DUMMYFUNCTION("split(A428,""("")"),"Boku wa Mari no naka ")</f>
        <v xml:space="preserve">Boku wa Mari no naka </v>
      </c>
      <c r="E428" t="str">
        <f ca="1">IFERROR(__xludf.DUMMYFUNCTION("""COMPUTED_VALUE"""),"TV Series 2017– )")</f>
        <v>TV Series 2017– )</v>
      </c>
    </row>
    <row r="429" spans="1:5" ht="13" x14ac:dyDescent="0.15">
      <c r="A429" s="5" t="s">
        <v>1012</v>
      </c>
      <c r="D429" t="str">
        <f ca="1">IFERROR(__xludf.DUMMYFUNCTION("split(A429,""("")"),"Bomb Girls ")</f>
        <v xml:space="preserve">Bomb Girls </v>
      </c>
      <c r="E429" t="str">
        <f ca="1">IFERROR(__xludf.DUMMYFUNCTION("""COMPUTED_VALUE"""),"TV Series 2012– )")</f>
        <v>TV Series 2012– )</v>
      </c>
    </row>
    <row r="430" spans="1:5" ht="13" x14ac:dyDescent="0.15">
      <c r="A430" s="5" t="s">
        <v>1013</v>
      </c>
      <c r="D430" t="str">
        <f ca="1">IFERROR(__xludf.DUMMYFUNCTION("split(A430,""("")"),"Bondi Vet ")</f>
        <v xml:space="preserve">Bondi Vet </v>
      </c>
      <c r="E430" t="str">
        <f ca="1">IFERROR(__xludf.DUMMYFUNCTION("""COMPUTED_VALUE"""),"TV Series 2009– )")</f>
        <v>TV Series 2009– )</v>
      </c>
    </row>
    <row r="431" spans="1:5" ht="13" x14ac:dyDescent="0.15">
      <c r="A431" s="5" t="s">
        <v>1014</v>
      </c>
      <c r="D431" t="str">
        <f ca="1">IFERROR(__xludf.DUMMYFUNCTION("split(A431,""("")"),"Bonding ")</f>
        <v xml:space="preserve">Bonding </v>
      </c>
      <c r="E431" t="str">
        <f ca="1">IFERROR(__xludf.DUMMYFUNCTION("""COMPUTED_VALUE"""),"TV Series 2019– )")</f>
        <v>TV Series 2019– )</v>
      </c>
    </row>
    <row r="432" spans="1:5" ht="13" x14ac:dyDescent="0.15">
      <c r="A432" s="5" t="s">
        <v>334</v>
      </c>
      <c r="D432" t="str">
        <f ca="1">IFERROR(__xludf.DUMMYFUNCTION("split(A432,""("")"),"Bones ")</f>
        <v xml:space="preserve">Bones </v>
      </c>
      <c r="E432" t="str">
        <f ca="1">IFERROR(__xludf.DUMMYFUNCTION("""COMPUTED_VALUE"""),"TV Series 2005–2017)")</f>
        <v>TV Series 2005–2017)</v>
      </c>
    </row>
    <row r="433" spans="1:5" ht="13" x14ac:dyDescent="0.15">
      <c r="A433" s="5" t="s">
        <v>1015</v>
      </c>
      <c r="D433" t="str">
        <f ca="1">IFERROR(__xludf.DUMMYFUNCTION("split(A433,""("")"),"Boomtown ")</f>
        <v xml:space="preserve">Boomtown </v>
      </c>
      <c r="E433" t="str">
        <f ca="1">IFERROR(__xludf.DUMMYFUNCTION("""COMPUTED_VALUE"""),"TV Series 2002–2003)")</f>
        <v>TV Series 2002–2003)</v>
      </c>
    </row>
    <row r="434" spans="1:5" ht="13" x14ac:dyDescent="0.15">
      <c r="A434" s="5" t="s">
        <v>1016</v>
      </c>
      <c r="D434" t="str">
        <f ca="1">IFERROR(__xludf.DUMMYFUNCTION("split(A434,""("")"),"Boon ")</f>
        <v xml:space="preserve">Boon </v>
      </c>
      <c r="E434" t="str">
        <f ca="1">IFERROR(__xludf.DUMMYFUNCTION("""COMPUTED_VALUE"""),"TV Series 1986–1992)")</f>
        <v>TV Series 1986–1992)</v>
      </c>
    </row>
    <row r="435" spans="1:5" ht="13" x14ac:dyDescent="0.15">
      <c r="A435" s="5" t="s">
        <v>1017</v>
      </c>
      <c r="D435" t="str">
        <f ca="1">IFERROR(__xludf.DUMMYFUNCTION("split(A435,""("")"),"Borderline ")</f>
        <v xml:space="preserve">Borderline </v>
      </c>
      <c r="E435" t="str">
        <f ca="1">IFERROR(__xludf.DUMMYFUNCTION("""COMPUTED_VALUE"""),"TV Series 2016– )")</f>
        <v>TV Series 2016– )</v>
      </c>
    </row>
    <row r="436" spans="1:5" ht="13" x14ac:dyDescent="0.15">
      <c r="A436" s="5" t="s">
        <v>1018</v>
      </c>
      <c r="D436" t="str">
        <f ca="1">IFERROR(__xludf.DUMMYFUNCTION("split(A436,""("")"),"Bordertown ")</f>
        <v xml:space="preserve">Bordertown </v>
      </c>
      <c r="E436" t="str">
        <f ca="1">IFERROR(__xludf.DUMMYFUNCTION("""COMPUTED_VALUE"""),"TV Series 2016– )")</f>
        <v>TV Series 2016– )</v>
      </c>
    </row>
    <row r="437" spans="1:5" ht="13" x14ac:dyDescent="0.15">
      <c r="A437" s="5" t="s">
        <v>664</v>
      </c>
      <c r="D437" t="str">
        <f ca="1">IFERROR(__xludf.DUMMYFUNCTION("split(A437,""("")"),"Bordertown ")</f>
        <v xml:space="preserve">Bordertown </v>
      </c>
      <c r="E437" t="str">
        <f ca="1">IFERROR(__xludf.DUMMYFUNCTION("""COMPUTED_VALUE"""),"TV Series 2016)")</f>
        <v>TV Series 2016)</v>
      </c>
    </row>
    <row r="438" spans="1:5" ht="13" x14ac:dyDescent="0.15">
      <c r="A438" s="5" t="s">
        <v>1019</v>
      </c>
      <c r="D438" t="str">
        <f ca="1">IFERROR(__xludf.DUMMYFUNCTION("split(A438,""("")"),"Bored to Death ")</f>
        <v xml:space="preserve">Bored to Death </v>
      </c>
      <c r="E438" t="str">
        <f ca="1">IFERROR(__xludf.DUMMYFUNCTION("""COMPUTED_VALUE"""),"TV Series 2009–2011)")</f>
        <v>TV Series 2009–2011)</v>
      </c>
    </row>
    <row r="439" spans="1:5" ht="13" x14ac:dyDescent="0.15">
      <c r="A439" s="5" t="s">
        <v>1020</v>
      </c>
      <c r="D439" t="str">
        <f ca="1">IFERROR(__xludf.DUMMYFUNCTION("split(A439,""("")"),"Borgia ")</f>
        <v xml:space="preserve">Borgia </v>
      </c>
      <c r="E439" t="str">
        <f ca="1">IFERROR(__xludf.DUMMYFUNCTION("""COMPUTED_VALUE"""),"TV Series 2011–2014)")</f>
        <v>TV Series 2011–2014)</v>
      </c>
    </row>
    <row r="440" spans="1:5" ht="13" x14ac:dyDescent="0.15">
      <c r="A440" s="5" t="s">
        <v>117</v>
      </c>
      <c r="D440" t="str">
        <f ca="1">IFERROR(__xludf.DUMMYFUNCTION("split(A440,""("")"),"Bosch ")</f>
        <v xml:space="preserve">Bosch </v>
      </c>
      <c r="E440" t="str">
        <f ca="1">IFERROR(__xludf.DUMMYFUNCTION("""COMPUTED_VALUE"""),"TV Series 2014– )")</f>
        <v>TV Series 2014– )</v>
      </c>
    </row>
    <row r="441" spans="1:5" ht="13" x14ac:dyDescent="0.15">
      <c r="A441" s="5" t="s">
        <v>1021</v>
      </c>
      <c r="D441" t="str">
        <f ca="1">IFERROR(__xludf.DUMMYFUNCTION("split(A441,""("")"),"Boss ")</f>
        <v xml:space="preserve">Boss </v>
      </c>
      <c r="E441" t="str">
        <f ca="1">IFERROR(__xludf.DUMMYFUNCTION("""COMPUTED_VALUE"""),"TV Series 2011–2012)")</f>
        <v>TV Series 2011–2012)</v>
      </c>
    </row>
    <row r="442" spans="1:5" ht="13" x14ac:dyDescent="0.15">
      <c r="A442" s="5" t="s">
        <v>335</v>
      </c>
      <c r="D442" t="str">
        <f ca="1">IFERROR(__xludf.DUMMYFUNCTION("split(A442,""("")"),"Boston Legal ")</f>
        <v xml:space="preserve">Boston Legal </v>
      </c>
      <c r="E442" t="str">
        <f ca="1">IFERROR(__xludf.DUMMYFUNCTION("""COMPUTED_VALUE"""),"TV Series 2004–2008)")</f>
        <v>TV Series 2004–2008)</v>
      </c>
    </row>
    <row r="443" spans="1:5" ht="13" x14ac:dyDescent="0.15">
      <c r="A443" s="5" t="s">
        <v>1022</v>
      </c>
      <c r="D443" t="str">
        <f ca="1">IFERROR(__xludf.DUMMYFUNCTION("split(A443,""("")"),"Boston Med ")</f>
        <v xml:space="preserve">Boston Med </v>
      </c>
      <c r="E443" t="str">
        <f ca="1">IFERROR(__xludf.DUMMYFUNCTION("""COMPUTED_VALUE"""),"TV Series 2010– )")</f>
        <v>TV Series 2010– )</v>
      </c>
    </row>
    <row r="444" spans="1:5" ht="13" x14ac:dyDescent="0.15">
      <c r="A444" s="5" t="s">
        <v>336</v>
      </c>
      <c r="D444" t="str">
        <f ca="1">IFERROR(__xludf.DUMMYFUNCTION("split(A444,""("")"),"Boston Public ")</f>
        <v xml:space="preserve">Boston Public </v>
      </c>
      <c r="E444" t="str">
        <f ca="1">IFERROR(__xludf.DUMMYFUNCTION("""COMPUTED_VALUE"""),"TV Series 2000–2004)")</f>
        <v>TV Series 2000–2004)</v>
      </c>
    </row>
    <row r="445" spans="1:5" ht="13" x14ac:dyDescent="0.15">
      <c r="A445" s="5" t="s">
        <v>1023</v>
      </c>
      <c r="D445" t="str">
        <f ca="1">IFERROR(__xludf.DUMMYFUNCTION("split(A445,""("")"),"Botched ")</f>
        <v xml:space="preserve">Botched </v>
      </c>
      <c r="E445" t="str">
        <f ca="1">IFERROR(__xludf.DUMMYFUNCTION("""COMPUTED_VALUE"""),"TV Series 2014– )")</f>
        <v>TV Series 2014– )</v>
      </c>
    </row>
    <row r="446" spans="1:5" ht="13" x14ac:dyDescent="0.15">
      <c r="A446" s="5" t="s">
        <v>1024</v>
      </c>
      <c r="D446" t="str">
        <f ca="1">IFERROR(__xludf.DUMMYFUNCTION("split(A446,""("")"),"Bottom ")</f>
        <v xml:space="preserve">Bottom </v>
      </c>
      <c r="E446" t="str">
        <f ca="1">IFERROR(__xludf.DUMMYFUNCTION("""COMPUTED_VALUE"""),"TV Series 1991–1995)")</f>
        <v>TV Series 1991–1995)</v>
      </c>
    </row>
    <row r="447" spans="1:5" ht="13" x14ac:dyDescent="0.15">
      <c r="A447" s="5" t="s">
        <v>1025</v>
      </c>
      <c r="D447" t="str">
        <f ca="1">IFERROR(__xludf.DUMMYFUNCTION("split(A447,""("")"),"Bounty Hunters ")</f>
        <v xml:space="preserve">Bounty Hunters </v>
      </c>
      <c r="E447" t="str">
        <f ca="1">IFERROR(__xludf.DUMMYFUNCTION("""COMPUTED_VALUE"""),"TV Series 2017– )")</f>
        <v>TV Series 2017– )</v>
      </c>
    </row>
    <row r="448" spans="1:5" ht="13" x14ac:dyDescent="0.15">
      <c r="A448" s="5" t="s">
        <v>1026</v>
      </c>
      <c r="D448" t="str">
        <f ca="1">IFERROR(__xludf.DUMMYFUNCTION("split(A448,""("")"),"Boy Meets Girl ")</f>
        <v xml:space="preserve">Boy Meets Girl </v>
      </c>
      <c r="E448" t="str">
        <f ca="1">IFERROR(__xludf.DUMMYFUNCTION("""COMPUTED_VALUE"""),"TV Mini-Series 2015–2016)")</f>
        <v>TV Mini-Series 2015–2016)</v>
      </c>
    </row>
    <row r="449" spans="1:5" ht="13" x14ac:dyDescent="0.15">
      <c r="A449" s="5" t="s">
        <v>1027</v>
      </c>
      <c r="D449" t="str">
        <f ca="1">IFERROR(__xludf.DUMMYFUNCTION("split(A449,""("")"),"Boy Meets World ")</f>
        <v xml:space="preserve">Boy Meets World </v>
      </c>
      <c r="E449" t="str">
        <f ca="1">IFERROR(__xludf.DUMMYFUNCTION("""COMPUTED_VALUE"""),"TV Series 1993–2000)")</f>
        <v>TV Series 1993–2000)</v>
      </c>
    </row>
    <row r="450" spans="1:5" ht="13" x14ac:dyDescent="0.15">
      <c r="A450" s="5" t="s">
        <v>1028</v>
      </c>
      <c r="D450" t="str">
        <f ca="1">IFERROR(__xludf.DUMMYFUNCTION("split(A450,""("")"),"Brain Games ")</f>
        <v xml:space="preserve">Brain Games </v>
      </c>
      <c r="E450" t="str">
        <f ca="1">IFERROR(__xludf.DUMMYFUNCTION("""COMPUTED_VALUE"""),"TV Series 2011– )")</f>
        <v>TV Series 2011– )</v>
      </c>
    </row>
    <row r="451" spans="1:5" ht="13" x14ac:dyDescent="0.15">
      <c r="A451" s="5" t="s">
        <v>1029</v>
      </c>
      <c r="D451" t="str">
        <f ca="1">IFERROR(__xludf.DUMMYFUNCTION("split(A451,""("")"),"BrainDead ")</f>
        <v xml:space="preserve">BrainDead </v>
      </c>
      <c r="E451" t="str">
        <f ca="1">IFERROR(__xludf.DUMMYFUNCTION("""COMPUTED_VALUE"""),"TV Series 2016)")</f>
        <v>TV Series 2016)</v>
      </c>
    </row>
    <row r="452" spans="1:5" ht="13" x14ac:dyDescent="0.15">
      <c r="A452" s="5" t="s">
        <v>1030</v>
      </c>
      <c r="D452" t="str">
        <f ca="1">IFERROR(__xludf.DUMMYFUNCTION("split(A452,""("")"),"Brainiac: Science Abuse ")</f>
        <v xml:space="preserve">Brainiac: Science Abuse </v>
      </c>
      <c r="E452" t="str">
        <f ca="1">IFERROR(__xludf.DUMMYFUNCTION("""COMPUTED_VALUE"""),"TV Series 2003–2008)")</f>
        <v>TV Series 2003–2008)</v>
      </c>
    </row>
    <row r="453" spans="1:5" ht="13" x14ac:dyDescent="0.15">
      <c r="A453" s="5" t="s">
        <v>1031</v>
      </c>
      <c r="D453" t="str">
        <f ca="1">IFERROR(__xludf.DUMMYFUNCTION("split(A453,""("")"),"Bramwell ")</f>
        <v xml:space="preserve">Bramwell </v>
      </c>
      <c r="E453" t="str">
        <f ca="1">IFERROR(__xludf.DUMMYFUNCTION("""COMPUTED_VALUE"""),"TV Series 1995–1998)")</f>
        <v>TV Series 1995–1998)</v>
      </c>
    </row>
    <row r="454" spans="1:5" ht="13" x14ac:dyDescent="0.15">
      <c r="A454" s="5" t="s">
        <v>1032</v>
      </c>
      <c r="D454" t="str">
        <f ca="1">IFERROR(__xludf.DUMMYFUNCTION("split(A454,""("")"),"BraveStarr ")</f>
        <v xml:space="preserve">BraveStarr </v>
      </c>
      <c r="E454" t="str">
        <f ca="1">IFERROR(__xludf.DUMMYFUNCTION("""COMPUTED_VALUE"""),"TV Series 1987–1989)")</f>
        <v>TV Series 1987–1989)</v>
      </c>
    </row>
    <row r="455" spans="1:5" ht="13" x14ac:dyDescent="0.15">
      <c r="A455" s="5" t="s">
        <v>1033</v>
      </c>
      <c r="D455" t="str">
        <f ca="1">IFERROR(__xludf.DUMMYFUNCTION("split(A455,""("")"),"Brazil Avenue ")</f>
        <v xml:space="preserve">Brazil Avenue </v>
      </c>
      <c r="E455" t="str">
        <f ca="1">IFERROR(__xludf.DUMMYFUNCTION("""COMPUTED_VALUE"""),"TV Series 2012)")</f>
        <v>TV Series 2012)</v>
      </c>
    </row>
    <row r="456" spans="1:5" ht="13" x14ac:dyDescent="0.15">
      <c r="A456" s="5" t="s">
        <v>1034</v>
      </c>
      <c r="D456" t="str">
        <f ca="1">IFERROR(__xludf.DUMMYFUNCTION("split(A456,""("")"),"Bread ")</f>
        <v xml:space="preserve">Bread </v>
      </c>
      <c r="E456" t="str">
        <f ca="1">IFERROR(__xludf.DUMMYFUNCTION("""COMPUTED_VALUE"""),"TV Series 1986–1991)")</f>
        <v>TV Series 1986–1991)</v>
      </c>
    </row>
    <row r="457" spans="1:5" ht="13" x14ac:dyDescent="0.15">
      <c r="A457" s="5" t="s">
        <v>1035</v>
      </c>
      <c r="D457" t="str">
        <f ca="1">IFERROR(__xludf.DUMMYFUNCTION("split(A457,""("")"),"Break'n Reality ")</f>
        <v xml:space="preserve">Break'n Reality </v>
      </c>
      <c r="E457" t="str">
        <f ca="1">IFERROR(__xludf.DUMMYFUNCTION("""COMPUTED_VALUE"""),"TV Series 2012–2014)")</f>
        <v>TV Series 2012–2014)</v>
      </c>
    </row>
    <row r="458" spans="1:5" ht="13" x14ac:dyDescent="0.15">
      <c r="A458" s="5" t="s">
        <v>1036</v>
      </c>
      <c r="D458" t="str">
        <f ca="1">IFERROR(__xludf.DUMMYFUNCTION("split(A458,""("")"),"Breaking Amish ")</f>
        <v xml:space="preserve">Breaking Amish </v>
      </c>
      <c r="E458" t="str">
        <f ca="1">IFERROR(__xludf.DUMMYFUNCTION("""COMPUTED_VALUE"""),"TV Series 2012– )")</f>
        <v>TV Series 2012– )</v>
      </c>
    </row>
    <row r="459" spans="1:5" ht="13" x14ac:dyDescent="0.15">
      <c r="A459" s="5" t="s">
        <v>541</v>
      </c>
      <c r="D459" t="str">
        <f ca="1">IFERROR(__xludf.DUMMYFUNCTION("split(A459,""("")"),"Breaking Amish: LA ")</f>
        <v xml:space="preserve">Breaking Amish: LA </v>
      </c>
      <c r="E459" t="str">
        <f ca="1">IFERROR(__xludf.DUMMYFUNCTION("""COMPUTED_VALUE"""),"TV Series 2013– )")</f>
        <v>TV Series 2013– )</v>
      </c>
    </row>
    <row r="460" spans="1:5" ht="13" x14ac:dyDescent="0.15">
      <c r="A460" s="5" t="s">
        <v>337</v>
      </c>
      <c r="D460" t="str">
        <f ca="1">IFERROR(__xludf.DUMMYFUNCTION("split(A460,""("")"),"Breaking Bad ")</f>
        <v xml:space="preserve">Breaking Bad </v>
      </c>
      <c r="E460" t="str">
        <f ca="1">IFERROR(__xludf.DUMMYFUNCTION("""COMPUTED_VALUE"""),"TV Series 2008–2013)")</f>
        <v>TV Series 2008–2013)</v>
      </c>
    </row>
    <row r="461" spans="1:5" ht="13" x14ac:dyDescent="0.15">
      <c r="A461" s="5" t="s">
        <v>1037</v>
      </c>
      <c r="D461" t="str">
        <f ca="1">IFERROR(__xludf.DUMMYFUNCTION("split(A461,""("")"),"Breaking Homicide ")</f>
        <v xml:space="preserve">Breaking Homicide </v>
      </c>
      <c r="E461" t="str">
        <f ca="1">IFERROR(__xludf.DUMMYFUNCTION("""COMPUTED_VALUE"""),"TV Series 2018– )")</f>
        <v>TV Series 2018– )</v>
      </c>
    </row>
    <row r="462" spans="1:5" ht="13" x14ac:dyDescent="0.15">
      <c r="A462" s="5" t="s">
        <v>1038</v>
      </c>
      <c r="D462" t="str">
        <f ca="1">IFERROR(__xludf.DUMMYFUNCTION("split(A462,""("")"),"Breaking Pointe ")</f>
        <v xml:space="preserve">Breaking Pointe </v>
      </c>
      <c r="E462" t="str">
        <f ca="1">IFERROR(__xludf.DUMMYFUNCTION("""COMPUTED_VALUE"""),"TV Series 2012– )")</f>
        <v>TV Series 2012– )</v>
      </c>
    </row>
    <row r="463" spans="1:5" ht="13" x14ac:dyDescent="0.15">
      <c r="A463" s="5" t="s">
        <v>1039</v>
      </c>
      <c r="D463" t="str">
        <f ca="1">IFERROR(__xludf.DUMMYFUNCTION("split(A463,""("")"),"Breakout Kings ")</f>
        <v xml:space="preserve">Breakout Kings </v>
      </c>
      <c r="E463" t="str">
        <f ca="1">IFERROR(__xludf.DUMMYFUNCTION("""COMPUTED_VALUE"""),"TV Series 2011–2012)")</f>
        <v>TV Series 2011–2012)</v>
      </c>
    </row>
    <row r="464" spans="1:5" ht="13" x14ac:dyDescent="0.15">
      <c r="A464" s="5" t="s">
        <v>1040</v>
      </c>
      <c r="D464" t="str">
        <f ca="1">IFERROR(__xludf.DUMMYFUNCTION("split(A464,""("")"),"Breakthrough: With Rod Parsley ")</f>
        <v xml:space="preserve">Breakthrough: With Rod Parsley </v>
      </c>
      <c r="E464" t="str">
        <f ca="1">IFERROR(__xludf.DUMMYFUNCTION("""COMPUTED_VALUE"""),"TV Series 1996– )")</f>
        <v>TV Series 1996– )</v>
      </c>
    </row>
    <row r="465" spans="1:5" ht="13" x14ac:dyDescent="0.15">
      <c r="A465" s="5" t="s">
        <v>1041</v>
      </c>
      <c r="D465" t="str">
        <f ca="1">IFERROR(__xludf.DUMMYFUNCTION("split(A465,""("")"),"Brickleberry ")</f>
        <v xml:space="preserve">Brickleberry </v>
      </c>
      <c r="E465" t="str">
        <f ca="1">IFERROR(__xludf.DUMMYFUNCTION("""COMPUTED_VALUE"""),"TV Series 2012–2015)")</f>
        <v>TV Series 2012–2015)</v>
      </c>
    </row>
    <row r="466" spans="1:5" ht="13" x14ac:dyDescent="0.15">
      <c r="A466" s="5" t="s">
        <v>1042</v>
      </c>
      <c r="D466" t="str">
        <f ca="1">IFERROR(__xludf.DUMMYFUNCTION("split(A466,""("")"),"Bridal Mask ")</f>
        <v xml:space="preserve">Bridal Mask </v>
      </c>
      <c r="E466" t="str">
        <f ca="1">IFERROR(__xludf.DUMMYFUNCTION("""COMPUTED_VALUE"""),"TV Series 2012– )")</f>
        <v>TV Series 2012– )</v>
      </c>
    </row>
    <row r="467" spans="1:5" ht="13" x14ac:dyDescent="0.15">
      <c r="A467" s="5" t="s">
        <v>1043</v>
      </c>
      <c r="D467" t="str">
        <f ca="1">IFERROR(__xludf.DUMMYFUNCTION("split(A467,""("")"),"Brides Gone Styled ")</f>
        <v xml:space="preserve">Brides Gone Styled </v>
      </c>
      <c r="E467" t="str">
        <f ca="1">IFERROR(__xludf.DUMMYFUNCTION("""COMPUTED_VALUE"""),"TV Series 2015– )")</f>
        <v>TV Series 2015– )</v>
      </c>
    </row>
    <row r="468" spans="1:5" ht="13" x14ac:dyDescent="0.15">
      <c r="A468" s="5" t="s">
        <v>1044</v>
      </c>
      <c r="D468" t="str">
        <f ca="1">IFERROR(__xludf.DUMMYFUNCTION("split(A468,""("")"),"Bridezillas ")</f>
        <v xml:space="preserve">Bridezillas </v>
      </c>
      <c r="E468" t="str">
        <f ca="1">IFERROR(__xludf.DUMMYFUNCTION("""COMPUTED_VALUE"""),"TV Series 2004– )")</f>
        <v>TV Series 2004– )</v>
      </c>
    </row>
    <row r="469" spans="1:5" ht="13" x14ac:dyDescent="0.15">
      <c r="A469" s="5" t="s">
        <v>1045</v>
      </c>
      <c r="D469" t="str">
        <f ca="1">IFERROR(__xludf.DUMMYFUNCTION("split(A469,""("")"),"Brimstone ")</f>
        <v xml:space="preserve">Brimstone </v>
      </c>
      <c r="E469" t="str">
        <f ca="1">IFERROR(__xludf.DUMMYFUNCTION("""COMPUTED_VALUE"""),"TV Series 1998–1999)")</f>
        <v>TV Series 1998–1999)</v>
      </c>
    </row>
    <row r="470" spans="1:5" ht="13" x14ac:dyDescent="0.15">
      <c r="A470" s="5" t="s">
        <v>1046</v>
      </c>
      <c r="D470" t="str">
        <f ca="1">IFERROR(__xludf.DUMMYFUNCTION("split(A470,""("")"),"Bring 'Em Back Alive ")</f>
        <v xml:space="preserve">Bring 'Em Back Alive </v>
      </c>
      <c r="E470" t="str">
        <f ca="1">IFERROR(__xludf.DUMMYFUNCTION("""COMPUTED_VALUE"""),"TV Series 1982–1983)")</f>
        <v>TV Series 1982–1983)</v>
      </c>
    </row>
    <row r="471" spans="1:5" ht="13" x14ac:dyDescent="0.15">
      <c r="A471" s="5" t="s">
        <v>428</v>
      </c>
      <c r="D471" t="str">
        <f ca="1">IFERROR(__xludf.DUMMYFUNCTION("split(A471,""("")"),"Bring It! ")</f>
        <v xml:space="preserve">Bring It! </v>
      </c>
      <c r="E471" t="str">
        <f ca="1">IFERROR(__xludf.DUMMYFUNCTION("""COMPUTED_VALUE"""),"TV Series 2014– )")</f>
        <v>TV Series 2014– )</v>
      </c>
    </row>
    <row r="472" spans="1:5" ht="13" x14ac:dyDescent="0.15">
      <c r="A472" s="5" t="s">
        <v>1047</v>
      </c>
      <c r="D472" t="str">
        <f ca="1">IFERROR(__xludf.DUMMYFUNCTION("split(A472,""("")"),"Brisani prostor ")</f>
        <v xml:space="preserve">Brisani prostor </v>
      </c>
      <c r="E472" t="str">
        <f ca="1">IFERROR(__xludf.DUMMYFUNCTION("""COMPUTED_VALUE"""),"TV Series 1985– )")</f>
        <v>TV Series 1985– )</v>
      </c>
    </row>
    <row r="473" spans="1:5" ht="13" x14ac:dyDescent="0.15">
      <c r="A473" s="5" t="s">
        <v>542</v>
      </c>
      <c r="D473" t="str">
        <f ca="1">IFERROR(__xludf.DUMMYFUNCTION("split(A473,""("")"),"Britain and Ireland's Next Top Model ")</f>
        <v xml:space="preserve">Britain and Ireland's Next Top Model </v>
      </c>
      <c r="E473" t="str">
        <f ca="1">IFERROR(__xludf.DUMMYFUNCTION("""COMPUTED_VALUE"""),"TV Series 2005– )")</f>
        <v>TV Series 2005– )</v>
      </c>
    </row>
    <row r="474" spans="1:5" ht="13" x14ac:dyDescent="0.15">
      <c r="A474" s="5" t="s">
        <v>1048</v>
      </c>
      <c r="D474" t="str">
        <f ca="1">IFERROR(__xludf.DUMMYFUNCTION("split(A474,""("")"),"Britain's Best Bakery ")</f>
        <v xml:space="preserve">Britain's Best Bakery </v>
      </c>
      <c r="E474" t="str">
        <f ca="1">IFERROR(__xludf.DUMMYFUNCTION("""COMPUTED_VALUE"""),"TV Series 2012– )")</f>
        <v>TV Series 2012– )</v>
      </c>
    </row>
    <row r="475" spans="1:5" ht="13" x14ac:dyDescent="0.15">
      <c r="A475" s="5" t="s">
        <v>1049</v>
      </c>
      <c r="D475" t="str">
        <f ca="1">IFERROR(__xludf.DUMMYFUNCTION("split(A475,""("")"),"Britain's Brightest Family ")</f>
        <v xml:space="preserve">Britain's Brightest Family </v>
      </c>
      <c r="E475" t="str">
        <f ca="1">IFERROR(__xludf.DUMMYFUNCTION("""COMPUTED_VALUE"""),"TV Series 2018– )")</f>
        <v>TV Series 2018– )</v>
      </c>
    </row>
    <row r="476" spans="1:5" ht="13" x14ac:dyDescent="0.15">
      <c r="A476" s="5" t="s">
        <v>543</v>
      </c>
      <c r="D476" t="str">
        <f ca="1">IFERROR(__xludf.DUMMYFUNCTION("split(A476,""("")"),"Britain's Got More Talent ")</f>
        <v xml:space="preserve">Britain's Got More Talent </v>
      </c>
      <c r="E476" t="str">
        <f ca="1">IFERROR(__xludf.DUMMYFUNCTION("""COMPUTED_VALUE"""),"TV Series 2007– )")</f>
        <v>TV Series 2007– )</v>
      </c>
    </row>
    <row r="477" spans="1:5" ht="13" x14ac:dyDescent="0.15">
      <c r="A477" s="5" t="s">
        <v>544</v>
      </c>
      <c r="D477" t="str">
        <f ca="1">IFERROR(__xludf.DUMMYFUNCTION("split(A477,""("")"),"Britain's Got Talent ")</f>
        <v xml:space="preserve">Britain's Got Talent </v>
      </c>
      <c r="E477" t="str">
        <f ca="1">IFERROR(__xludf.DUMMYFUNCTION("""COMPUTED_VALUE"""),"TV Series 2007– )")</f>
        <v>TV Series 2007– )</v>
      </c>
    </row>
    <row r="478" spans="1:5" ht="13" x14ac:dyDescent="0.15">
      <c r="A478" s="5" t="s">
        <v>1050</v>
      </c>
      <c r="D478" t="str">
        <f ca="1">IFERROR(__xludf.DUMMYFUNCTION("split(A478,""("")"),"Britain's Horror Homes ")</f>
        <v xml:space="preserve">Britain's Horror Homes </v>
      </c>
      <c r="E478" t="str">
        <f ca="1">IFERROR(__xludf.DUMMYFUNCTION("""COMPUTED_VALUE"""),"TV Series 2015– )")</f>
        <v>TV Series 2015– )</v>
      </c>
    </row>
    <row r="479" spans="1:5" ht="13" x14ac:dyDescent="0.15">
      <c r="A479" s="5" t="s">
        <v>673</v>
      </c>
      <c r="D479" t="str">
        <f ca="1">IFERROR(__xludf.DUMMYFUNCTION("split(A479,""("")"),"Britannia ")</f>
        <v xml:space="preserve">Britannia </v>
      </c>
      <c r="E479" t="str">
        <f ca="1">IFERROR(__xludf.DUMMYFUNCTION("""COMPUTED_VALUE"""),"TV Series 2017– )")</f>
        <v>TV Series 2017– )</v>
      </c>
    </row>
    <row r="480" spans="1:5" ht="13" x14ac:dyDescent="0.15">
      <c r="A480" s="5" t="s">
        <v>1051</v>
      </c>
      <c r="D480" t="str">
        <f ca="1">IFERROR(__xludf.DUMMYFUNCTION("split(A480,""("")"),"British Masters ")</f>
        <v xml:space="preserve">British Masters </v>
      </c>
      <c r="E480" t="str">
        <f ca="1">IFERROR(__xludf.DUMMYFUNCTION("""COMPUTED_VALUE"""),"TV Mini-Series 2011–2012)")</f>
        <v>TV Mini-Series 2011–2012)</v>
      </c>
    </row>
    <row r="481" spans="1:5" ht="13" x14ac:dyDescent="0.15">
      <c r="A481" s="5" t="s">
        <v>1052</v>
      </c>
      <c r="D481" t="str">
        <f ca="1">IFERROR(__xludf.DUMMYFUNCTION("split(A481,""("")"),"British Men Behaving Badly ")</f>
        <v xml:space="preserve">British Men Behaving Badly </v>
      </c>
      <c r="E481" t="str">
        <f ca="1">IFERROR(__xludf.DUMMYFUNCTION("""COMPUTED_VALUE"""),"TV Series 1992–2014)")</f>
        <v>TV Series 1992–2014)</v>
      </c>
    </row>
    <row r="482" spans="1:5" ht="13" x14ac:dyDescent="0.15">
      <c r="A482" s="5" t="s">
        <v>1053</v>
      </c>
      <c r="D482" t="str">
        <f ca="1">IFERROR(__xludf.DUMMYFUNCTION("split(A482,""("")"),"British Primrose ASMR ")</f>
        <v xml:space="preserve">British Primrose ASMR </v>
      </c>
      <c r="E482" t="str">
        <f ca="1">IFERROR(__xludf.DUMMYFUNCTION("""COMPUTED_VALUE"""),"TV Series 2013– )")</f>
        <v>TV Series 2013– )</v>
      </c>
    </row>
    <row r="483" spans="1:5" ht="13" x14ac:dyDescent="0.15">
      <c r="A483" s="5" t="s">
        <v>1054</v>
      </c>
      <c r="D483" t="str">
        <f ca="1">IFERROR(__xludf.DUMMYFUNCTION("split(A483,""("")"),"Broad City ")</f>
        <v xml:space="preserve">Broad City </v>
      </c>
      <c r="E483" t="str">
        <f ca="1">IFERROR(__xludf.DUMMYFUNCTION("""COMPUTED_VALUE"""),"TV Series 2014–2019)")</f>
        <v>TV Series 2014–2019)</v>
      </c>
    </row>
    <row r="484" spans="1:5" ht="13" x14ac:dyDescent="0.15">
      <c r="A484" s="5" t="s">
        <v>1055</v>
      </c>
      <c r="D484" t="str">
        <f ca="1">IFERROR(__xludf.DUMMYFUNCTION("split(A484,""("")"),"Broadchurch ")</f>
        <v xml:space="preserve">Broadchurch </v>
      </c>
      <c r="E484" t="str">
        <f ca="1">IFERROR(__xludf.DUMMYFUNCTION("""COMPUTED_VALUE"""),"TV Series 2013–2017)")</f>
        <v>TV Series 2013–2017)</v>
      </c>
    </row>
    <row r="485" spans="1:5" ht="13" x14ac:dyDescent="0.15">
      <c r="A485" s="5" t="s">
        <v>1056</v>
      </c>
      <c r="D485" t="str">
        <f ca="1">IFERROR(__xludf.DUMMYFUNCTION("split(A485,""("")"),"Brockmire ")</f>
        <v xml:space="preserve">Brockmire </v>
      </c>
      <c r="E485" t="str">
        <f ca="1">IFERROR(__xludf.DUMMYFUNCTION("""COMPUTED_VALUE"""),"TV Series 2017– )")</f>
        <v>TV Series 2017– )</v>
      </c>
    </row>
    <row r="486" spans="1:5" ht="13" x14ac:dyDescent="0.15">
      <c r="A486" s="5" t="s">
        <v>1057</v>
      </c>
      <c r="D486" t="str">
        <f ca="1">IFERROR(__xludf.DUMMYFUNCTION("split(A486,""("")"),"Brojects ")</f>
        <v xml:space="preserve">Brojects </v>
      </c>
      <c r="E486" t="str">
        <f ca="1">IFERROR(__xludf.DUMMYFUNCTION("""COMPUTED_VALUE"""),"TV Series 2014– )")</f>
        <v>TV Series 2014– )</v>
      </c>
    </row>
    <row r="487" spans="1:5" ht="13" x14ac:dyDescent="0.15">
      <c r="A487" s="5" t="s">
        <v>1058</v>
      </c>
      <c r="D487" t="str">
        <f ca="1">IFERROR(__xludf.DUMMYFUNCTION("split(A487,""("")"),"Broken ")</f>
        <v xml:space="preserve">Broken </v>
      </c>
      <c r="E487" t="str">
        <f ca="1">IFERROR(__xludf.DUMMYFUNCTION("""COMPUTED_VALUE"""),"TV Series 2019– )")</f>
        <v>TV Series 2019– )</v>
      </c>
    </row>
    <row r="488" spans="1:5" ht="13" x14ac:dyDescent="0.15">
      <c r="A488" s="5" t="s">
        <v>1059</v>
      </c>
      <c r="D488" t="str">
        <f ca="1">IFERROR(__xludf.DUMMYFUNCTION("split(A488,""("")"),"Broken Saints ")</f>
        <v xml:space="preserve">Broken Saints </v>
      </c>
      <c r="E488" t="str">
        <f ca="1">IFERROR(__xludf.DUMMYFUNCTION("""COMPUTED_VALUE"""),"TV Series 2001–2003)")</f>
        <v>TV Series 2001–2003)</v>
      </c>
    </row>
    <row r="489" spans="1:5" ht="13" x14ac:dyDescent="0.15">
      <c r="A489" s="5" t="s">
        <v>1060</v>
      </c>
      <c r="D489" t="str">
        <f ca="1">IFERROR(__xludf.DUMMYFUNCTION("split(A489,""("")"),"Bromans ")</f>
        <v xml:space="preserve">Bromans </v>
      </c>
      <c r="E489" t="str">
        <f ca="1">IFERROR(__xludf.DUMMYFUNCTION("""COMPUTED_VALUE"""),"TV Series 2017– )")</f>
        <v>TV Series 2017– )</v>
      </c>
    </row>
    <row r="490" spans="1:5" ht="13" x14ac:dyDescent="0.15">
      <c r="A490" s="5" t="s">
        <v>665</v>
      </c>
      <c r="D490" t="str">
        <f ca="1">IFERROR(__xludf.DUMMYFUNCTION("split(A490,""("")"),"Bromwell High ")</f>
        <v xml:space="preserve">Bromwell High </v>
      </c>
      <c r="E490" t="str">
        <f ca="1">IFERROR(__xludf.DUMMYFUNCTION("""COMPUTED_VALUE"""),"TV Series 2005– )")</f>
        <v>TV Series 2005– )</v>
      </c>
    </row>
    <row r="491" spans="1:5" ht="13" x14ac:dyDescent="0.15">
      <c r="A491" s="5" t="s">
        <v>1061</v>
      </c>
      <c r="D491" t="str">
        <f ca="1">IFERROR(__xludf.DUMMYFUNCTION("split(A491,""("")"),"Brooklyn Bridge ")</f>
        <v xml:space="preserve">Brooklyn Bridge </v>
      </c>
      <c r="E491" t="str">
        <f ca="1">IFERROR(__xludf.DUMMYFUNCTION("""COMPUTED_VALUE"""),"TV Series 1991–1993)")</f>
        <v>TV Series 1991–1993)</v>
      </c>
    </row>
    <row r="492" spans="1:5" ht="13" x14ac:dyDescent="0.15">
      <c r="A492" s="5" t="s">
        <v>1062</v>
      </c>
      <c r="D492" t="str">
        <f ca="1">IFERROR(__xludf.DUMMYFUNCTION("split(A492,""("")"),"Brooklyn DA ")</f>
        <v xml:space="preserve">Brooklyn DA </v>
      </c>
      <c r="E492" t="str">
        <f ca="1">IFERROR(__xludf.DUMMYFUNCTION("""COMPUTED_VALUE"""),"TV Series 2013– )")</f>
        <v>TV Series 2013– )</v>
      </c>
    </row>
    <row r="493" spans="1:5" ht="13" x14ac:dyDescent="0.15">
      <c r="A493" s="5" t="s">
        <v>338</v>
      </c>
      <c r="D493" t="str">
        <f ca="1">IFERROR(__xludf.DUMMYFUNCTION("split(A493,""("")"),"Brooklyn Nine-Nine ")</f>
        <v xml:space="preserve">Brooklyn Nine-Nine </v>
      </c>
      <c r="E493" t="str">
        <f ca="1">IFERROR(__xludf.DUMMYFUNCTION("""COMPUTED_VALUE"""),"TV Series 2013– )")</f>
        <v>TV Series 2013– )</v>
      </c>
    </row>
    <row r="494" spans="1:5" ht="13" x14ac:dyDescent="0.15">
      <c r="A494" s="5" t="s">
        <v>1063</v>
      </c>
      <c r="D494" t="str">
        <f ca="1">IFERROR(__xludf.DUMMYFUNCTION("split(A494,""("")"),"Brother vs. Brother ")</f>
        <v xml:space="preserve">Brother vs. Brother </v>
      </c>
      <c r="E494" t="str">
        <f ca="1">IFERROR(__xludf.DUMMYFUNCTION("""COMPUTED_VALUE"""),"TV Series 2013– )")</f>
        <v>TV Series 2013– )</v>
      </c>
    </row>
    <row r="495" spans="1:5" ht="13" x14ac:dyDescent="0.15">
      <c r="A495" s="5" t="s">
        <v>1064</v>
      </c>
      <c r="D495" t="str">
        <f ca="1">IFERROR(__xludf.DUMMYFUNCTION("split(A495,""("")"),"Brotherhood ")</f>
        <v xml:space="preserve">Brotherhood </v>
      </c>
      <c r="E495" t="str">
        <f ca="1">IFERROR(__xludf.DUMMYFUNCTION("""COMPUTED_VALUE"""),"TV Series 2006–2008)")</f>
        <v>TV Series 2006–2008)</v>
      </c>
    </row>
    <row r="496" spans="1:5" ht="13" x14ac:dyDescent="0.15">
      <c r="A496" s="5" t="s">
        <v>1065</v>
      </c>
      <c r="D496" t="str">
        <f ca="1">IFERROR(__xludf.DUMMYFUNCTION("split(A496,""("")"),"Brotherly Love ")</f>
        <v xml:space="preserve">Brotherly Love </v>
      </c>
      <c r="E496" t="str">
        <f ca="1">IFERROR(__xludf.DUMMYFUNCTION("""COMPUTED_VALUE"""),"TV Series 1995–1997)")</f>
        <v>TV Series 1995–1997)</v>
      </c>
    </row>
    <row r="497" spans="1:5" ht="13" x14ac:dyDescent="0.15">
      <c r="A497" s="5" t="s">
        <v>1066</v>
      </c>
      <c r="D497" t="str">
        <f ca="1">IFERROR(__xludf.DUMMYFUNCTION("split(A497,""("")"),"Brothers &amp; Sisters ")</f>
        <v xml:space="preserve">Brothers &amp; Sisters </v>
      </c>
      <c r="E497" t="str">
        <f ca="1">IFERROR(__xludf.DUMMYFUNCTION("""COMPUTED_VALUE"""),"TV Series 2006–2011)")</f>
        <v>TV Series 2006–2011)</v>
      </c>
    </row>
    <row r="498" spans="1:5" ht="13" x14ac:dyDescent="0.15">
      <c r="A498" s="5" t="s">
        <v>1067</v>
      </c>
      <c r="D498" t="str">
        <f ca="1">IFERROR(__xludf.DUMMYFUNCTION("split(A498,""("")"),"Brynhildr in the Darkness ")</f>
        <v xml:space="preserve">Brynhildr in the Darkness </v>
      </c>
      <c r="E498" t="str">
        <f ca="1">IFERROR(__xludf.DUMMYFUNCTION("""COMPUTED_VALUE"""),"TV Series 2014– )")</f>
        <v>TV Series 2014– )</v>
      </c>
    </row>
    <row r="499" spans="1:5" ht="13" x14ac:dyDescent="0.15">
      <c r="A499" s="5" t="s">
        <v>1068</v>
      </c>
      <c r="D499" t="str">
        <f ca="1">IFERROR(__xludf.DUMMYFUNCTION("split(A499,""("")"),"Btooom! ")</f>
        <v xml:space="preserve">Btooom! </v>
      </c>
      <c r="E499" t="str">
        <f ca="1">IFERROR(__xludf.DUMMYFUNCTION("""COMPUTED_VALUE"""),"TV Series 2012– )")</f>
        <v>TV Series 2012– )</v>
      </c>
    </row>
    <row r="500" spans="1:5" ht="13" x14ac:dyDescent="0.15">
      <c r="A500" s="5" t="s">
        <v>1069</v>
      </c>
      <c r="D500" t="str">
        <f ca="1">IFERROR(__xludf.DUMMYFUNCTION("split(A500,""("")"),"BTS: Burn the Stage ")</f>
        <v xml:space="preserve">BTS: Burn the Stage </v>
      </c>
      <c r="E500" t="str">
        <f ca="1">IFERROR(__xludf.DUMMYFUNCTION("""COMPUTED_VALUE"""),"TV Series 2018– )")</f>
        <v>TV Series 2018– )</v>
      </c>
    </row>
    <row r="501" spans="1:5" ht="13" x14ac:dyDescent="0.15">
      <c r="A501" s="5" t="s">
        <v>1070</v>
      </c>
      <c r="D501" t="str">
        <f ca="1">IFERROR(__xludf.DUMMYFUNCTION("split(A501,""("")"),"Bucket and Skinner's Epic Adventures ")</f>
        <v xml:space="preserve">Bucket and Skinner's Epic Adventures </v>
      </c>
      <c r="E501" t="str">
        <f ca="1">IFERROR(__xludf.DUMMYFUNCTION("""COMPUTED_VALUE"""),"TV Series 2011–2013)")</f>
        <v>TV Series 2011–2013)</v>
      </c>
    </row>
    <row r="502" spans="1:5" ht="13" x14ac:dyDescent="0.15">
      <c r="A502" s="5" t="s">
        <v>1071</v>
      </c>
      <c r="D502" t="str">
        <f ca="1">IFERROR(__xludf.DUMMYFUNCTION("split(A502,""("")"),"Buckwild ")</f>
        <v xml:space="preserve">Buckwild </v>
      </c>
      <c r="E502" t="str">
        <f ca="1">IFERROR(__xludf.DUMMYFUNCTION("""COMPUTED_VALUE"""),"TV Series 2013– )")</f>
        <v>TV Series 2013– )</v>
      </c>
    </row>
    <row r="503" spans="1:5" ht="13" x14ac:dyDescent="0.15">
      <c r="A503" s="5" t="s">
        <v>1072</v>
      </c>
      <c r="D503" t="str">
        <f ca="1">IFERROR(__xludf.DUMMYFUNCTION("split(A503,""("")"),"Budapest to Bamako ")</f>
        <v xml:space="preserve">Budapest to Bamako </v>
      </c>
      <c r="E503" t="str">
        <f ca="1">IFERROR(__xludf.DUMMYFUNCTION("""COMPUTED_VALUE"""),"TV Series 2007– )")</f>
        <v>TV Series 2007– )</v>
      </c>
    </row>
    <row r="504" spans="1:5" ht="13" x14ac:dyDescent="0.15">
      <c r="A504" s="5" t="s">
        <v>429</v>
      </c>
      <c r="D504" t="str">
        <f ca="1">IFERROR(__xludf.DUMMYFUNCTION("split(A504,""("")"),"Buffy the Vampire Slayer ")</f>
        <v xml:space="preserve">Buffy the Vampire Slayer </v>
      </c>
      <c r="E504" t="str">
        <f ca="1">IFERROR(__xludf.DUMMYFUNCTION("""COMPUTED_VALUE"""),"TV Series 1997–2003)")</f>
        <v>TV Series 1997–2003)</v>
      </c>
    </row>
    <row r="505" spans="1:5" ht="13" x14ac:dyDescent="0.15">
      <c r="A505" s="5" t="s">
        <v>1073</v>
      </c>
      <c r="D505" t="str">
        <f ca="1">IFERROR(__xludf.DUMMYFUNCTION("split(A505,""("")"),"Bug Juice ")</f>
        <v xml:space="preserve">Bug Juice </v>
      </c>
      <c r="E505" t="str">
        <f ca="1">IFERROR(__xludf.DUMMYFUNCTION("""COMPUTED_VALUE"""),"TV Series 1998–2002)")</f>
        <v>TV Series 1998–2002)</v>
      </c>
    </row>
    <row r="506" spans="1:5" ht="13" x14ac:dyDescent="0.15">
      <c r="A506" s="5" t="s">
        <v>1074</v>
      </c>
      <c r="D506" t="str">
        <f ca="1">IFERROR(__xludf.DUMMYFUNCTION("split(A506,""("")"),"Bull ")</f>
        <v xml:space="preserve">Bull </v>
      </c>
      <c r="E506" t="str">
        <f ca="1">IFERROR(__xludf.DUMMYFUNCTION("""COMPUTED_VALUE"""),"TV Series 2016– )")</f>
        <v>TV Series 2016– )</v>
      </c>
    </row>
    <row r="507" spans="1:5" ht="13" x14ac:dyDescent="0.15">
      <c r="A507" s="5" t="s">
        <v>1075</v>
      </c>
      <c r="D507" t="str">
        <f ca="1">IFERROR(__xludf.DUMMYFUNCTION("split(A507,""("")"),"Bulletproof ")</f>
        <v xml:space="preserve">Bulletproof </v>
      </c>
      <c r="E507" t="str">
        <f ca="1">IFERROR(__xludf.DUMMYFUNCTION("""COMPUTED_VALUE"""),"TV Series 2018– )")</f>
        <v>TV Series 2018– )</v>
      </c>
    </row>
    <row r="508" spans="1:5" ht="13" x14ac:dyDescent="0.15">
      <c r="A508" s="5" t="s">
        <v>1076</v>
      </c>
      <c r="D508" t="str">
        <f ca="1">IFERROR(__xludf.DUMMYFUNCTION("split(A508,""("")"),"Bullseye ")</f>
        <v xml:space="preserve">Bullseye </v>
      </c>
      <c r="E508" t="str">
        <f ca="1">IFERROR(__xludf.DUMMYFUNCTION("""COMPUTED_VALUE"""),"TV Series 1981– )")</f>
        <v>TV Series 1981– )</v>
      </c>
    </row>
    <row r="509" spans="1:5" ht="13" x14ac:dyDescent="0.15">
      <c r="A509" s="5" t="s">
        <v>1077</v>
      </c>
      <c r="D509" t="str">
        <f ca="1">IFERROR(__xludf.DUMMYFUNCTION("split(A509,""("")"),"Bullshit Quest ")</f>
        <v xml:space="preserve">Bullshit Quest </v>
      </c>
      <c r="E509" t="str">
        <f ca="1">IFERROR(__xludf.DUMMYFUNCTION("""COMPUTED_VALUE"""),"TV Series 2014– )")</f>
        <v>TV Series 2014– )</v>
      </c>
    </row>
    <row r="510" spans="1:5" ht="13" x14ac:dyDescent="0.15">
      <c r="A510" s="5" t="s">
        <v>118</v>
      </c>
      <c r="D510" t="str">
        <f ca="1">IFERROR(__xludf.DUMMYFUNCTION("split(A510,""("")"),"Bunnicula ")</f>
        <v xml:space="preserve">Bunnicula </v>
      </c>
      <c r="E510" t="str">
        <f ca="1">IFERROR(__xludf.DUMMYFUNCTION("""COMPUTED_VALUE"""),"TV Series 2016– )")</f>
        <v>TV Series 2016– )</v>
      </c>
    </row>
    <row r="511" spans="1:5" ht="13" x14ac:dyDescent="0.15">
      <c r="A511" s="5" t="s">
        <v>1078</v>
      </c>
      <c r="D511" t="str">
        <f ca="1">IFERROR(__xludf.DUMMYFUNCTION("split(A511,""("")"),"Burden of Truth ")</f>
        <v xml:space="preserve">Burden of Truth </v>
      </c>
      <c r="E511" t="str">
        <f ca="1">IFERROR(__xludf.DUMMYFUNCTION("""COMPUTED_VALUE"""),"TV Series 2018– )")</f>
        <v>TV Series 2018– )</v>
      </c>
    </row>
    <row r="512" spans="1:5" ht="13" x14ac:dyDescent="0.15">
      <c r="A512" s="5" t="s">
        <v>1079</v>
      </c>
      <c r="D512" t="str">
        <f ca="1">IFERROR(__xludf.DUMMYFUNCTION("split(A512,""("")"),"Burger Bar to Gourmet Star ")</f>
        <v xml:space="preserve">Burger Bar to Gourmet Star </v>
      </c>
      <c r="E512" t="str">
        <f ca="1">IFERROR(__xludf.DUMMYFUNCTION("""COMPUTED_VALUE"""),"TV Series 2015– )")</f>
        <v>TV Series 2015– )</v>
      </c>
    </row>
    <row r="513" spans="1:5" ht="13" x14ac:dyDescent="0.15">
      <c r="A513" s="5" t="s">
        <v>1080</v>
      </c>
      <c r="D513" t="str">
        <f ca="1">IFERROR(__xludf.DUMMYFUNCTION("split(A513,""("")"),"Burn Notice ")</f>
        <v xml:space="preserve">Burn Notice </v>
      </c>
      <c r="E513" t="str">
        <f ca="1">IFERROR(__xludf.DUMMYFUNCTION("""COMPUTED_VALUE"""),"TV Series 2007–2013)")</f>
        <v>TV Series 2007–2013)</v>
      </c>
    </row>
    <row r="514" spans="1:5" ht="13" x14ac:dyDescent="0.15">
      <c r="A514" s="5" t="s">
        <v>1081</v>
      </c>
      <c r="D514" t="str">
        <f ca="1">IFERROR(__xludf.DUMMYFUNCTION("split(A514,""("")"),"Burnistoun ")</f>
        <v xml:space="preserve">Burnistoun </v>
      </c>
      <c r="E514" t="str">
        <f ca="1">IFERROR(__xludf.DUMMYFUNCTION("""COMPUTED_VALUE"""),"TV Series 2009– )")</f>
        <v>TV Series 2009– )</v>
      </c>
    </row>
    <row r="515" spans="1:5" ht="13" x14ac:dyDescent="0.15">
      <c r="A515" s="5" t="s">
        <v>1082</v>
      </c>
      <c r="D515" t="str">
        <f ca="1">IFERROR(__xludf.DUMMYFUNCTION("split(A515,""("")"),"Buying the Beach ")</f>
        <v xml:space="preserve">Buying the Beach </v>
      </c>
      <c r="E515" t="str">
        <f ca="1">IFERROR(__xludf.DUMMYFUNCTION("""COMPUTED_VALUE"""),"TV Series 2014– )")</f>
        <v>TV Series 2014– )</v>
      </c>
    </row>
    <row r="516" spans="1:5" ht="13" x14ac:dyDescent="0.15">
      <c r="A516" s="5" t="s">
        <v>400</v>
      </c>
      <c r="D516" t="str">
        <f ca="1">IFERROR(__xludf.DUMMYFUNCTION("split(A516,""("")"),"Buzz Lightyear of Star Command ")</f>
        <v xml:space="preserve">Buzz Lightyear of Star Command </v>
      </c>
      <c r="E516" t="str">
        <f ca="1">IFERROR(__xludf.DUMMYFUNCTION("""COMPUTED_VALUE"""),"TV Series 2000–2001)")</f>
        <v>TV Series 2000–2001)</v>
      </c>
    </row>
    <row r="517" spans="1:5" ht="13" x14ac:dyDescent="0.15">
      <c r="A517" s="5" t="s">
        <v>1083</v>
      </c>
      <c r="D517" t="str">
        <f ca="1">IFERROR(__xludf.DUMMYFUNCTION("split(A517,""("")"),"BuzzFeed Unsolved: Supernatural ")</f>
        <v xml:space="preserve">BuzzFeed Unsolved: Supernatural </v>
      </c>
      <c r="E517" t="str">
        <f ca="1">IFERROR(__xludf.DUMMYFUNCTION("""COMPUTED_VALUE"""),"TV Series 2016– )")</f>
        <v>TV Series 2016– )</v>
      </c>
    </row>
    <row r="518" spans="1:5" ht="13" x14ac:dyDescent="0.15">
      <c r="A518" s="5" t="s">
        <v>1084</v>
      </c>
      <c r="D518" t="str">
        <f ca="1">IFERROR(__xludf.DUMMYFUNCTION("split(A518,""("")"),"Byker Grove ")</f>
        <v xml:space="preserve">Byker Grove </v>
      </c>
      <c r="E518" t="str">
        <f ca="1">IFERROR(__xludf.DUMMYFUNCTION("""COMPUTED_VALUE"""),"TV Series 1989–2006)")</f>
        <v>TV Series 1989–2006)</v>
      </c>
    </row>
    <row r="519" spans="1:5" ht="13" x14ac:dyDescent="0.15">
      <c r="A519" s="5" t="s">
        <v>1085</v>
      </c>
      <c r="D519" t="str">
        <f ca="1">IFERROR(__xludf.DUMMYFUNCTION("split(A519,""("")"),"Byzantium: The Lost Empire ")</f>
        <v xml:space="preserve">Byzantium: The Lost Empire </v>
      </c>
      <c r="E519" t="str">
        <f ca="1">IFERROR(__xludf.DUMMYFUNCTION("""COMPUTED_VALUE"""),"TV Series 1997– )")</f>
        <v>TV Series 1997– )</v>
      </c>
    </row>
    <row r="520" spans="1:5" ht="13" x14ac:dyDescent="0.15">
      <c r="A520" s="5" t="s">
        <v>1086</v>
      </c>
      <c r="D520" t="str">
        <f ca="1">IFERROR(__xludf.DUMMYFUNCTION("split(A520,""("")"),"C.B. Strike ")</f>
        <v xml:space="preserve">C.B. Strike </v>
      </c>
      <c r="E520" t="str">
        <f ca="1">IFERROR(__xludf.DUMMYFUNCTION("""COMPUTED_VALUE"""),"TV Series 2017– )")</f>
        <v>TV Series 2017– )</v>
      </c>
    </row>
    <row r="521" spans="1:5" ht="13" x14ac:dyDescent="0.15">
      <c r="A521" s="5" t="s">
        <v>1087</v>
      </c>
      <c r="D521" t="str">
        <f ca="1">IFERROR(__xludf.DUMMYFUNCTION("split(A521,""("")"),"Cagney &amp; Lacey ")</f>
        <v xml:space="preserve">Cagney &amp; Lacey </v>
      </c>
      <c r="E521" t="str">
        <f ca="1">IFERROR(__xludf.DUMMYFUNCTION("""COMPUTED_VALUE"""),"TV Series 1981–1988)")</f>
        <v>TV Series 1981–1988)</v>
      </c>
    </row>
    <row r="522" spans="1:5" ht="13" x14ac:dyDescent="0.15">
      <c r="A522" s="5" t="s">
        <v>1088</v>
      </c>
      <c r="D522" t="str">
        <f ca="1">IFERROR(__xludf.DUMMYFUNCTION("split(A522,""("")"),"Cake Boss ")</f>
        <v xml:space="preserve">Cake Boss </v>
      </c>
      <c r="E522" t="str">
        <f ca="1">IFERROR(__xludf.DUMMYFUNCTION("""COMPUTED_VALUE"""),"TV Series 2009– )")</f>
        <v>TV Series 2009– )</v>
      </c>
    </row>
    <row r="523" spans="1:5" ht="13" x14ac:dyDescent="0.15">
      <c r="A523" s="5" t="s">
        <v>545</v>
      </c>
      <c r="D523" t="str">
        <f ca="1">IFERROR(__xludf.DUMMYFUNCTION("split(A523,""("")"),"Cake Boss: Next Great Baker ")</f>
        <v xml:space="preserve">Cake Boss: Next Great Baker </v>
      </c>
      <c r="E523" t="str">
        <f ca="1">IFERROR(__xludf.DUMMYFUNCTION("""COMPUTED_VALUE"""),"TV Series 2010– )")</f>
        <v>TV Series 2010– )</v>
      </c>
    </row>
    <row r="524" spans="1:5" ht="13" x14ac:dyDescent="0.15">
      <c r="A524" s="5" t="s">
        <v>1089</v>
      </c>
      <c r="D524" t="str">
        <f ca="1">IFERROR(__xludf.DUMMYFUNCTION("split(A524,""("")"),"Cake Wars ")</f>
        <v xml:space="preserve">Cake Wars </v>
      </c>
      <c r="E524" t="str">
        <f ca="1">IFERROR(__xludf.DUMMYFUNCTION("""COMPUTED_VALUE"""),"TV Series 2015– )")</f>
        <v>TV Series 2015– )</v>
      </c>
    </row>
    <row r="525" spans="1:5" ht="13" x14ac:dyDescent="0.15">
      <c r="A525" s="5" t="s">
        <v>1090</v>
      </c>
      <c r="D525" t="str">
        <f ca="1">IFERROR(__xludf.DUMMYFUNCTION("split(A525,""("")"),"California Dreams ")</f>
        <v xml:space="preserve">California Dreams </v>
      </c>
      <c r="E525" t="str">
        <f ca="1">IFERROR(__xludf.DUMMYFUNCTION("""COMPUTED_VALUE"""),"TV Series 1992–1997)")</f>
        <v>TV Series 1992–1997)</v>
      </c>
    </row>
    <row r="526" spans="1:5" ht="13" x14ac:dyDescent="0.15">
      <c r="A526" s="5" t="s">
        <v>1091</v>
      </c>
      <c r="D526" t="str">
        <f ca="1">IFERROR(__xludf.DUMMYFUNCTION("split(A526,""("")"),"Californication ")</f>
        <v xml:space="preserve">Californication </v>
      </c>
      <c r="E526" t="str">
        <f ca="1">IFERROR(__xludf.DUMMYFUNCTION("""COMPUTED_VALUE"""),"TV Series 2007–2014)")</f>
        <v>TV Series 2007–2014)</v>
      </c>
    </row>
    <row r="527" spans="1:5" ht="13" x14ac:dyDescent="0.15">
      <c r="A527" s="5" t="s">
        <v>1092</v>
      </c>
      <c r="D527" t="str">
        <f ca="1">IFERROR(__xludf.DUMMYFUNCTION("split(A527,""("")"),"Call of the Wildman ")</f>
        <v xml:space="preserve">Call of the Wildman </v>
      </c>
      <c r="E527" t="str">
        <f ca="1">IFERROR(__xludf.DUMMYFUNCTION("""COMPUTED_VALUE"""),"TV Series 2011–2014)")</f>
        <v>TV Series 2011–2014)</v>
      </c>
    </row>
    <row r="528" spans="1:5" ht="13" x14ac:dyDescent="0.15">
      <c r="A528" s="5" t="s">
        <v>1093</v>
      </c>
      <c r="D528" t="str">
        <f ca="1">IFERROR(__xludf.DUMMYFUNCTION("split(A528,""("")"),"Call the Cleaners ")</f>
        <v xml:space="preserve">Call the Cleaners </v>
      </c>
      <c r="E528" t="str">
        <f ca="1">IFERROR(__xludf.DUMMYFUNCTION("""COMPUTED_VALUE"""),"TV Series 2017– )")</f>
        <v>TV Series 2017– )</v>
      </c>
    </row>
    <row r="529" spans="1:5" ht="13" x14ac:dyDescent="0.15">
      <c r="A529" s="5" t="s">
        <v>1094</v>
      </c>
      <c r="D529" t="str">
        <f ca="1">IFERROR(__xludf.DUMMYFUNCTION("split(A529,""("")"),"Call the Midwife ")</f>
        <v xml:space="preserve">Call the Midwife </v>
      </c>
      <c r="E529" t="str">
        <f ca="1">IFERROR(__xludf.DUMMYFUNCTION("""COMPUTED_VALUE"""),"TV Series 2012– )")</f>
        <v>TV Series 2012– )</v>
      </c>
    </row>
    <row r="530" spans="1:5" ht="13" x14ac:dyDescent="0.15">
      <c r="A530" s="5" t="s">
        <v>674</v>
      </c>
      <c r="D530" t="str">
        <f ca="1">IFERROR(__xludf.DUMMYFUNCTION("split(A530,""("")"),"Camelot ")</f>
        <v xml:space="preserve">Camelot </v>
      </c>
      <c r="E530" t="str">
        <f ca="1">IFERROR(__xludf.DUMMYFUNCTION("""COMPUTED_VALUE"""),"TV Series 2011)")</f>
        <v>TV Series 2011)</v>
      </c>
    </row>
    <row r="531" spans="1:5" ht="13" x14ac:dyDescent="0.15">
      <c r="A531" s="5" t="s">
        <v>1095</v>
      </c>
      <c r="D531" t="str">
        <f ca="1">IFERROR(__xludf.DUMMYFUNCTION("split(A531,""("")"),"Camp ")</f>
        <v xml:space="preserve">Camp </v>
      </c>
      <c r="E531" t="str">
        <f ca="1">IFERROR(__xludf.DUMMYFUNCTION("""COMPUTED_VALUE"""),"TV Series 2013)")</f>
        <v>TV Series 2013)</v>
      </c>
    </row>
    <row r="532" spans="1:5" ht="13" x14ac:dyDescent="0.15">
      <c r="A532" s="5" t="s">
        <v>1096</v>
      </c>
      <c r="D532" t="str">
        <f ca="1">IFERROR(__xludf.DUMMYFUNCTION("split(A532,""("")"),"Camp Lakebottom ")</f>
        <v xml:space="preserve">Camp Lakebottom </v>
      </c>
      <c r="E532" t="str">
        <f ca="1">IFERROR(__xludf.DUMMYFUNCTION("""COMPUTED_VALUE"""),"TV Series 2013– )")</f>
        <v>TV Series 2013– )</v>
      </c>
    </row>
    <row r="533" spans="1:5" ht="13" x14ac:dyDescent="0.15">
      <c r="A533" s="5" t="s">
        <v>1097</v>
      </c>
      <c r="D533" t="str">
        <f ca="1">IFERROR(__xludf.DUMMYFUNCTION("split(A533,""("")"),"Camp Woodward ")</f>
        <v xml:space="preserve">Camp Woodward </v>
      </c>
      <c r="E533" t="str">
        <f ca="1">IFERROR(__xludf.DUMMYFUNCTION("""COMPUTED_VALUE"""),"TV Series 2008– )")</f>
        <v>TV Series 2008– )</v>
      </c>
    </row>
    <row r="534" spans="1:5" ht="13" x14ac:dyDescent="0.15">
      <c r="A534" s="5" t="s">
        <v>1098</v>
      </c>
      <c r="D534" t="str">
        <f ca="1">IFERROR(__xludf.DUMMYFUNCTION("split(A534,""("")"),"Can't Touch This ")</f>
        <v xml:space="preserve">Can't Touch This </v>
      </c>
      <c r="E534" t="str">
        <f ca="1">IFERROR(__xludf.DUMMYFUNCTION("""COMPUTED_VALUE"""),"TV Series 2016– )")</f>
        <v>TV Series 2016– )</v>
      </c>
    </row>
    <row r="535" spans="1:5" ht="13" x14ac:dyDescent="0.15">
      <c r="A535" s="5" t="s">
        <v>1099</v>
      </c>
      <c r="D535" t="str">
        <f ca="1">IFERROR(__xludf.DUMMYFUNCTION("split(A535,""("")"),"Candidly Nicole ")</f>
        <v xml:space="preserve">Candidly Nicole </v>
      </c>
      <c r="E535" t="str">
        <f ca="1">IFERROR(__xludf.DUMMYFUNCTION("""COMPUTED_VALUE"""),"TV Series 2014– )")</f>
        <v>TV Series 2014– )</v>
      </c>
    </row>
    <row r="536" spans="1:5" ht="13" x14ac:dyDescent="0.15">
      <c r="A536" s="5" t="s">
        <v>1100</v>
      </c>
      <c r="D536" t="str">
        <f ca="1">IFERROR(__xludf.DUMMYFUNCTION("split(A536,""("")"),"Capitol Critters ")</f>
        <v xml:space="preserve">Capitol Critters </v>
      </c>
      <c r="E536" t="str">
        <f ca="1">IFERROR(__xludf.DUMMYFUNCTION("""COMPUTED_VALUE"""),"TV Series 1992–1995)")</f>
        <v>TV Series 1992–1995)</v>
      </c>
    </row>
    <row r="537" spans="1:5" ht="13" x14ac:dyDescent="0.15">
      <c r="A537" s="5" t="s">
        <v>1101</v>
      </c>
      <c r="D537" t="str">
        <f ca="1">IFERROR(__xludf.DUMMYFUNCTION("split(A537,""("")"),"Capitol Hill ")</f>
        <v xml:space="preserve">Capitol Hill </v>
      </c>
      <c r="E537" t="str">
        <f ca="1">IFERROR(__xludf.DUMMYFUNCTION("""COMPUTED_VALUE"""),"TV Series 2014– )")</f>
        <v>TV Series 2014– )</v>
      </c>
    </row>
    <row r="538" spans="1:5" ht="13" x14ac:dyDescent="0.15">
      <c r="A538" s="5" t="s">
        <v>1102</v>
      </c>
      <c r="D538" t="str">
        <f ca="1">IFERROR(__xludf.DUMMYFUNCTION("split(A538,""("")"),"Caprica ")</f>
        <v xml:space="preserve">Caprica </v>
      </c>
      <c r="E538" t="str">
        <f ca="1">IFERROR(__xludf.DUMMYFUNCTION("""COMPUTED_VALUE"""),"TV Series 2009–2010)")</f>
        <v>TV Series 2009–2010)</v>
      </c>
    </row>
    <row r="539" spans="1:5" ht="13" x14ac:dyDescent="0.15">
      <c r="A539" s="5" t="s">
        <v>1103</v>
      </c>
      <c r="D539" t="str">
        <f ca="1">IFERROR(__xludf.DUMMYFUNCTION("split(A539,""("")"),"Captain Barbell ")</f>
        <v xml:space="preserve">Captain Barbell </v>
      </c>
      <c r="E539" t="str">
        <f ca="1">IFERROR(__xludf.DUMMYFUNCTION("""COMPUTED_VALUE"""),"TV Series 2006– )")</f>
        <v>TV Series 2006– )</v>
      </c>
    </row>
    <row r="540" spans="1:5" ht="13" x14ac:dyDescent="0.15">
      <c r="A540" s="5" t="s">
        <v>1104</v>
      </c>
      <c r="D540" t="str">
        <f ca="1">IFERROR(__xludf.DUMMYFUNCTION("split(A540,""("")"),"Captain Flinn and the Pirate Dinosaurs ")</f>
        <v xml:space="preserve">Captain Flinn and the Pirate Dinosaurs </v>
      </c>
      <c r="E540" t="str">
        <f ca="1">IFERROR(__xludf.DUMMYFUNCTION("""COMPUTED_VALUE"""),"TV Series 2015)")</f>
        <v>TV Series 2015)</v>
      </c>
    </row>
    <row r="541" spans="1:5" ht="13" x14ac:dyDescent="0.15">
      <c r="A541" s="5" t="s">
        <v>1105</v>
      </c>
      <c r="D541" t="str">
        <f ca="1">IFERROR(__xludf.DUMMYFUNCTION("split(A541,""("")"),"Captain N: The Game Master ")</f>
        <v xml:space="preserve">Captain N: The Game Master </v>
      </c>
      <c r="E541" t="str">
        <f ca="1">IFERROR(__xludf.DUMMYFUNCTION("""COMPUTED_VALUE"""),"TV Series 1989–1991)")</f>
        <v>TV Series 1989–1991)</v>
      </c>
    </row>
    <row r="542" spans="1:5" ht="13" x14ac:dyDescent="0.15">
      <c r="A542" s="5" t="s">
        <v>1106</v>
      </c>
      <c r="D542" t="str">
        <f ca="1">IFERROR(__xludf.DUMMYFUNCTION("split(A542,""("")"),"Captain Planet and the Planeteers ")</f>
        <v xml:space="preserve">Captain Planet and the Planeteers </v>
      </c>
      <c r="E542" t="str">
        <f ca="1">IFERROR(__xludf.DUMMYFUNCTION("""COMPUTED_VALUE"""),"TV Series 1990–1996)")</f>
        <v>TV Series 1990–1996)</v>
      </c>
    </row>
    <row r="543" spans="1:5" ht="13" x14ac:dyDescent="0.15">
      <c r="A543" s="5" t="s">
        <v>1107</v>
      </c>
      <c r="D543" t="str">
        <f ca="1">IFERROR(__xludf.DUMMYFUNCTION("split(A543,""("")"),"Captain Scarlet ")</f>
        <v xml:space="preserve">Captain Scarlet </v>
      </c>
      <c r="E543" t="str">
        <f ca="1">IFERROR(__xludf.DUMMYFUNCTION("""COMPUTED_VALUE"""),"TV Series 2005)")</f>
        <v>TV Series 2005)</v>
      </c>
    </row>
    <row r="544" spans="1:5" ht="13" x14ac:dyDescent="0.15">
      <c r="A544" s="5" t="s">
        <v>1108</v>
      </c>
      <c r="D544" t="str">
        <f ca="1">IFERROR(__xludf.DUMMYFUNCTION("split(A544,""("")"),"Capture ")</f>
        <v xml:space="preserve">Capture </v>
      </c>
      <c r="E544" t="str">
        <f ca="1">IFERROR(__xludf.DUMMYFUNCTION("""COMPUTED_VALUE"""),"TV Series 2013– )")</f>
        <v>TV Series 2013– )</v>
      </c>
    </row>
    <row r="545" spans="1:5" ht="13" x14ac:dyDescent="0.15">
      <c r="A545" s="5" t="s">
        <v>1109</v>
      </c>
      <c r="D545" t="str">
        <f ca="1">IFERROR(__xludf.DUMMYFUNCTION("split(A545,""("")"),"Car S.O.S. ")</f>
        <v xml:space="preserve">Car S.O.S. </v>
      </c>
      <c r="E545" t="str">
        <f ca="1">IFERROR(__xludf.DUMMYFUNCTION("""COMPUTED_VALUE"""),"TV Series 2013– )")</f>
        <v>TV Series 2013– )</v>
      </c>
    </row>
    <row r="546" spans="1:5" ht="13" x14ac:dyDescent="0.15">
      <c r="A546" s="5" t="s">
        <v>1110</v>
      </c>
      <c r="D546" t="str">
        <f ca="1">IFERROR(__xludf.DUMMYFUNCTION("split(A546,""("")"),"Cardcaptor Sakura ")</f>
        <v xml:space="preserve">Cardcaptor Sakura </v>
      </c>
      <c r="E546" t="str">
        <f ca="1">IFERROR(__xludf.DUMMYFUNCTION("""COMPUTED_VALUE"""),"TV Series 1998–2000)")</f>
        <v>TV Series 1998–2000)</v>
      </c>
    </row>
    <row r="547" spans="1:5" ht="13" x14ac:dyDescent="0.15">
      <c r="A547" s="5" t="s">
        <v>119</v>
      </c>
      <c r="D547" t="str">
        <f ca="1">IFERROR(__xludf.DUMMYFUNCTION("split(A547,""("")"),"Cardinal ")</f>
        <v xml:space="preserve">Cardinal </v>
      </c>
      <c r="E547" t="str">
        <f ca="1">IFERROR(__xludf.DUMMYFUNCTION("""COMPUTED_VALUE"""),"TV Series 2017–2020)")</f>
        <v>TV Series 2017–2020)</v>
      </c>
    </row>
    <row r="548" spans="1:5" ht="13" x14ac:dyDescent="0.15">
      <c r="A548" s="5" t="s">
        <v>53</v>
      </c>
      <c r="D548" t="str">
        <f ca="1">IFERROR(__xludf.DUMMYFUNCTION("split(A548,""("")"),"Care Bears: Adventures in Care-A-Lot ")</f>
        <v xml:space="preserve">Care Bears: Adventures in Care-A-Lot </v>
      </c>
      <c r="E548" t="str">
        <f ca="1">IFERROR(__xludf.DUMMYFUNCTION("""COMPUTED_VALUE"""),"TV Series 2007–2008)")</f>
        <v>TV Series 2007–2008)</v>
      </c>
    </row>
    <row r="549" spans="1:5" ht="13" x14ac:dyDescent="0.15">
      <c r="A549" s="5" t="s">
        <v>54</v>
      </c>
      <c r="D549" t="str">
        <f ca="1">IFERROR(__xludf.DUMMYFUNCTION("split(A549,""("")"),"Care Bears: Welcome to Care-a-Lot ")</f>
        <v xml:space="preserve">Care Bears: Welcome to Care-a-Lot </v>
      </c>
      <c r="E549" t="str">
        <f ca="1">IFERROR(__xludf.DUMMYFUNCTION("""COMPUTED_VALUE"""),"TV Series 2012)")</f>
        <v>TV Series 2012)</v>
      </c>
    </row>
    <row r="550" spans="1:5" ht="13" x14ac:dyDescent="0.15">
      <c r="A550" s="5" t="s">
        <v>1111</v>
      </c>
      <c r="D550" t="str">
        <f ca="1">IFERROR(__xludf.DUMMYFUNCTION("split(A550,""("")"),"Carfellas ")</f>
        <v xml:space="preserve">Carfellas </v>
      </c>
      <c r="E550" t="str">
        <f ca="1">IFERROR(__xludf.DUMMYFUNCTION("""COMPUTED_VALUE"""),"TV Series 2011)")</f>
        <v>TV Series 2011)</v>
      </c>
    </row>
    <row r="551" spans="1:5" ht="13" x14ac:dyDescent="0.15">
      <c r="A551" s="5" t="s">
        <v>1112</v>
      </c>
      <c r="D551" t="str">
        <f ca="1">IFERROR(__xludf.DUMMYFUNCTION("split(A551,""("")"),"Caribbean Food Made Easy with Levi Roots ")</f>
        <v xml:space="preserve">Caribbean Food Made Easy with Levi Roots </v>
      </c>
      <c r="E551" t="str">
        <f ca="1">IFERROR(__xludf.DUMMYFUNCTION("""COMPUTED_VALUE"""),"TV Series 2009– )")</f>
        <v>TV Series 2009– )</v>
      </c>
    </row>
    <row r="552" spans="1:5" ht="13" x14ac:dyDescent="0.15">
      <c r="A552" s="5" t="s">
        <v>1113</v>
      </c>
      <c r="D552" t="str">
        <f ca="1">IFERROR(__xludf.DUMMYFUNCTION("split(A552,""("")"),"Carmilla ")</f>
        <v xml:space="preserve">Carmilla </v>
      </c>
      <c r="E552" t="str">
        <f ca="1">IFERROR(__xludf.DUMMYFUNCTION("""COMPUTED_VALUE"""),"TV Series 2014–2016)")</f>
        <v>TV Series 2014–2016)</v>
      </c>
    </row>
    <row r="553" spans="1:5" ht="13" x14ac:dyDescent="0.15">
      <c r="A553" s="5" t="s">
        <v>268</v>
      </c>
      <c r="D553" t="str">
        <f ca="1">IFERROR(__xludf.DUMMYFUNCTION("split(A553,""("")"),"Carnival Row ")</f>
        <v xml:space="preserve">Carnival Row </v>
      </c>
      <c r="E553" t="str">
        <f ca="1">IFERROR(__xludf.DUMMYFUNCTION("""COMPUTED_VALUE"""),"TV Series 2019– )")</f>
        <v>TV Series 2019– )</v>
      </c>
    </row>
    <row r="554" spans="1:5" ht="13" x14ac:dyDescent="0.15">
      <c r="A554" s="5" t="s">
        <v>1114</v>
      </c>
      <c r="D554" t="str">
        <f ca="1">IFERROR(__xludf.DUMMYFUNCTION("split(A554,""("")"),"Carnivàle ")</f>
        <v xml:space="preserve">Carnivàle </v>
      </c>
      <c r="E554" t="str">
        <f ca="1">IFERROR(__xludf.DUMMYFUNCTION("""COMPUTED_VALUE"""),"TV Series 2003–2005)")</f>
        <v>TV Series 2003–2005)</v>
      </c>
    </row>
    <row r="555" spans="1:5" ht="13" x14ac:dyDescent="0.15">
      <c r="A555" s="5" t="s">
        <v>1115</v>
      </c>
      <c r="D555" t="str">
        <f ca="1">IFERROR(__xludf.DUMMYFUNCTION("split(A555,""("")"),"Carrie Kirsten ")</f>
        <v xml:space="preserve">Carrie Kirsten </v>
      </c>
      <c r="E555" t="str">
        <f ca="1">IFERROR(__xludf.DUMMYFUNCTION("""COMPUTED_VALUE"""),"TV Series 2014– )")</f>
        <v>TV Series 2014– )</v>
      </c>
    </row>
    <row r="556" spans="1:5" ht="13" x14ac:dyDescent="0.15">
      <c r="A556" s="5" t="s">
        <v>1116</v>
      </c>
      <c r="D556" t="str">
        <f ca="1">IFERROR(__xludf.DUMMYFUNCTION("split(A556,""("")"),"Carter ")</f>
        <v xml:space="preserve">Carter </v>
      </c>
      <c r="E556" t="str">
        <f ca="1">IFERROR(__xludf.DUMMYFUNCTION("""COMPUTED_VALUE"""),"TV Series 2018– )")</f>
        <v>TV Series 2018– )</v>
      </c>
    </row>
    <row r="557" spans="1:5" ht="13" x14ac:dyDescent="0.15">
      <c r="A557" s="5" t="s">
        <v>1117</v>
      </c>
      <c r="D557" t="str">
        <f ca="1">IFERROR(__xludf.DUMMYFUNCTION("split(A557,""("")"),"Carters Get Rich ")</f>
        <v xml:space="preserve">Carters Get Rich </v>
      </c>
      <c r="E557" t="str">
        <f ca="1">IFERROR(__xludf.DUMMYFUNCTION("""COMPUTED_VALUE"""),"TV Series 2017– )")</f>
        <v>TV Series 2017– )</v>
      </c>
    </row>
    <row r="558" spans="1:5" ht="13" x14ac:dyDescent="0.15">
      <c r="A558" s="5" t="s">
        <v>1118</v>
      </c>
      <c r="D558" t="str">
        <f ca="1">IFERROR(__xludf.DUMMYFUNCTION("split(A558,""("")"),"Cartoon Cartoon Fridays ")</f>
        <v xml:space="preserve">Cartoon Cartoon Fridays </v>
      </c>
      <c r="E558" t="str">
        <f ca="1">IFERROR(__xludf.DUMMYFUNCTION("""COMPUTED_VALUE"""),"TV Series 2000– )")</f>
        <v>TV Series 2000– )</v>
      </c>
    </row>
    <row r="559" spans="1:5" ht="13" x14ac:dyDescent="0.15">
      <c r="A559" s="5" t="s">
        <v>1119</v>
      </c>
      <c r="D559" t="str">
        <f ca="1">IFERROR(__xludf.DUMMYFUNCTION("split(A559,""("")"),"Cartouche, le brigand magnifique ")</f>
        <v xml:space="preserve">Cartouche, le brigand magnifique </v>
      </c>
      <c r="E559" t="str">
        <f ca="1">IFERROR(__xludf.DUMMYFUNCTION("""COMPUTED_VALUE"""),"TV Movie 2009)")</f>
        <v>TV Movie 2009)</v>
      </c>
    </row>
    <row r="560" spans="1:5" ht="13" x14ac:dyDescent="0.15">
      <c r="A560" s="5" t="s">
        <v>1120</v>
      </c>
      <c r="D560" t="str">
        <f ca="1">IFERROR(__xludf.DUMMYFUNCTION("split(A560,""("")"),"Casa Castagna ")</f>
        <v xml:space="preserve">Casa Castagna </v>
      </c>
      <c r="E560" t="str">
        <f ca="1">IFERROR(__xludf.DUMMYFUNCTION("""COMPUTED_VALUE"""),"TV Series 1995–1996)")</f>
        <v>TV Series 1995–1996)</v>
      </c>
    </row>
    <row r="561" spans="1:5" ht="13" x14ac:dyDescent="0.15">
      <c r="A561" s="5" t="s">
        <v>1121</v>
      </c>
      <c r="D561" t="str">
        <f ca="1">IFERROR(__xludf.DUMMYFUNCTION("split(A561,""("")"),"Case Sensitive ")</f>
        <v xml:space="preserve">Case Sensitive </v>
      </c>
      <c r="E561" t="str">
        <f ca="1">IFERROR(__xludf.DUMMYFUNCTION("""COMPUTED_VALUE"""),"TV Mini-Series 2011–2012)")</f>
        <v>TV Mini-Series 2011–2012)</v>
      </c>
    </row>
    <row r="562" spans="1:5" ht="13" x14ac:dyDescent="0.15">
      <c r="A562" s="5" t="s">
        <v>1122</v>
      </c>
      <c r="D562" t="str">
        <f ca="1">IFERROR(__xludf.DUMMYFUNCTION("split(A562,""("")"),"Casey Neistat Vlog ")</f>
        <v xml:space="preserve">Casey Neistat Vlog </v>
      </c>
      <c r="E562" t="str">
        <f ca="1">IFERROR(__xludf.DUMMYFUNCTION("""COMPUTED_VALUE"""),"TV Series 2015– )")</f>
        <v>TV Series 2015– )</v>
      </c>
    </row>
    <row r="563" spans="1:5" ht="13" x14ac:dyDescent="0.15">
      <c r="A563" s="5" t="s">
        <v>1123</v>
      </c>
      <c r="D563" t="str">
        <f ca="1">IFERROR(__xludf.DUMMYFUNCTION("split(A563,""("")"),"Cash Trapped ")</f>
        <v xml:space="preserve">Cash Trapped </v>
      </c>
      <c r="E563" t="str">
        <f ca="1">IFERROR(__xludf.DUMMYFUNCTION("""COMPUTED_VALUE"""),"TV Series 2016– )")</f>
        <v>TV Series 2016– )</v>
      </c>
    </row>
    <row r="564" spans="1:5" ht="13" x14ac:dyDescent="0.15">
      <c r="A564" s="5" t="s">
        <v>1124</v>
      </c>
      <c r="D564" t="str">
        <f ca="1">IFERROR(__xludf.DUMMYFUNCTION("split(A564,""("")"),"Cashmere Mafia ")</f>
        <v xml:space="preserve">Cashmere Mafia </v>
      </c>
      <c r="E564" t="str">
        <f ca="1">IFERROR(__xludf.DUMMYFUNCTION("""COMPUTED_VALUE"""),"TV Series 2008– )")</f>
        <v>TV Series 2008– )</v>
      </c>
    </row>
    <row r="565" spans="1:5" ht="13" x14ac:dyDescent="0.15">
      <c r="A565" s="5" t="s">
        <v>1125</v>
      </c>
      <c r="D565" t="str">
        <f ca="1">IFERROR(__xludf.DUMMYFUNCTION("split(A565,""("")"),"Casino Life ")</f>
        <v xml:space="preserve">Casino Life </v>
      </c>
      <c r="E565" t="str">
        <f ca="1">IFERROR(__xludf.DUMMYFUNCTION("""COMPUTED_VALUE"""),"TV Series 2001–2002)")</f>
        <v>TV Series 2001–2002)</v>
      </c>
    </row>
    <row r="566" spans="1:5" ht="13" x14ac:dyDescent="0.15">
      <c r="A566" s="5" t="s">
        <v>1126</v>
      </c>
      <c r="D566" t="str">
        <f ca="1">IFERROR(__xludf.DUMMYFUNCTION("split(A566,""("")"),"Castaways ")</f>
        <v xml:space="preserve">Castaways </v>
      </c>
      <c r="E566" t="str">
        <f ca="1">IFERROR(__xludf.DUMMYFUNCTION("""COMPUTED_VALUE"""),"TV Series 2018– )")</f>
        <v>TV Series 2018– )</v>
      </c>
    </row>
    <row r="567" spans="1:5" ht="13" x14ac:dyDescent="0.15">
      <c r="A567" s="5" t="s">
        <v>1127</v>
      </c>
      <c r="D567" t="str">
        <f ca="1">IFERROR(__xludf.DUMMYFUNCTION("split(A567,""("")"),"Castle ")</f>
        <v xml:space="preserve">Castle </v>
      </c>
      <c r="E567" t="str">
        <f ca="1">IFERROR(__xludf.DUMMYFUNCTION("""COMPUTED_VALUE"""),"TV Series 2009–2016)")</f>
        <v>TV Series 2009–2016)</v>
      </c>
    </row>
    <row r="568" spans="1:5" ht="13" x14ac:dyDescent="0.15">
      <c r="A568" s="5" t="s">
        <v>120</v>
      </c>
      <c r="D568" t="str">
        <f ca="1">IFERROR(__xludf.DUMMYFUNCTION("split(A568,""("")"),"Castle Rock ")</f>
        <v xml:space="preserve">Castle Rock </v>
      </c>
      <c r="E568" t="str">
        <f ca="1">IFERROR(__xludf.DUMMYFUNCTION("""COMPUTED_VALUE"""),"TV Series 2018–2019)")</f>
        <v>TV Series 2018–2019)</v>
      </c>
    </row>
    <row r="569" spans="1:5" ht="13" x14ac:dyDescent="0.15">
      <c r="A569" s="5" t="s">
        <v>1128</v>
      </c>
      <c r="D569" t="str">
        <f ca="1">IFERROR(__xludf.DUMMYFUNCTION("split(A569,""("")"),"Casualty ")</f>
        <v xml:space="preserve">Casualty </v>
      </c>
      <c r="E569" t="str">
        <f ca="1">IFERROR(__xludf.DUMMYFUNCTION("""COMPUTED_VALUE"""),"TV Series 1986– )")</f>
        <v>TV Series 1986– )</v>
      </c>
    </row>
    <row r="570" spans="1:5" ht="13" x14ac:dyDescent="0.15">
      <c r="A570" s="5" t="s">
        <v>1129</v>
      </c>
      <c r="D570" t="str">
        <f ca="1">IFERROR(__xludf.DUMMYFUNCTION("split(A570,""("")"),"Casualty @ Holby City ")</f>
        <v xml:space="preserve">Casualty @ Holby City </v>
      </c>
      <c r="E570" t="str">
        <f ca="1">IFERROR(__xludf.DUMMYFUNCTION("""COMPUTED_VALUE"""),"TV Series 2005– )")</f>
        <v>TV Series 2005– )</v>
      </c>
    </row>
    <row r="571" spans="1:5" ht="13" x14ac:dyDescent="0.15">
      <c r="A571" s="5" t="s">
        <v>1130</v>
      </c>
      <c r="D571" t="str">
        <f ca="1">IFERROR(__xludf.DUMMYFUNCTION("split(A571,""("")"),"Cat's Eye ")</f>
        <v xml:space="preserve">Cat's Eye </v>
      </c>
      <c r="E571" t="str">
        <f ca="1">IFERROR(__xludf.DUMMYFUNCTION("""COMPUTED_VALUE"""),"TV Series 1983–1985)")</f>
        <v>TV Series 1983–1985)</v>
      </c>
    </row>
    <row r="572" spans="1:5" ht="13" x14ac:dyDescent="0.15">
      <c r="A572" s="5" t="s">
        <v>1131</v>
      </c>
      <c r="D572" t="str">
        <f ca="1">IFERROR(__xludf.DUMMYFUNCTION("split(A572,""("")"),"Catastrophe ")</f>
        <v xml:space="preserve">Catastrophe </v>
      </c>
      <c r="E572" t="str">
        <f ca="1">IFERROR(__xludf.DUMMYFUNCTION("""COMPUTED_VALUE"""),"TV Series 2015–2019)")</f>
        <v>TV Series 2015–2019)</v>
      </c>
    </row>
    <row r="573" spans="1:5" ht="13" x14ac:dyDescent="0.15">
      <c r="A573" s="5" t="s">
        <v>1132</v>
      </c>
      <c r="D573" t="str">
        <f ca="1">IFERROR(__xludf.DUMMYFUNCTION("split(A573,""("")"),"Catch My Killer ")</f>
        <v xml:space="preserve">Catch My Killer </v>
      </c>
      <c r="E573" t="str">
        <f ca="1">IFERROR(__xludf.DUMMYFUNCTION("""COMPUTED_VALUE"""),"TV Series 2013– )")</f>
        <v>TV Series 2013– )</v>
      </c>
    </row>
    <row r="574" spans="1:5" ht="13" x14ac:dyDescent="0.15">
      <c r="A574" s="5" t="s">
        <v>430</v>
      </c>
      <c r="D574" t="str">
        <f ca="1">IFERROR(__xludf.DUMMYFUNCTION("split(A574,""("")"),"Catfish: The TV Show ")</f>
        <v xml:space="preserve">Catfish: The TV Show </v>
      </c>
      <c r="E574" t="str">
        <f ca="1">IFERROR(__xludf.DUMMYFUNCTION("""COMPUTED_VALUE"""),"TV Series 2012– )")</f>
        <v>TV Series 2012– )</v>
      </c>
    </row>
    <row r="575" spans="1:5" ht="13" x14ac:dyDescent="0.15">
      <c r="A575" s="5" t="s">
        <v>1133</v>
      </c>
      <c r="D575" t="str">
        <f ca="1">IFERROR(__xludf.DUMMYFUNCTION("split(A575,""("")"),"Catholic Cheerleaders for Satan ")</f>
        <v xml:space="preserve">Catholic Cheerleaders for Satan </v>
      </c>
      <c r="E575" t="str">
        <f ca="1">IFERROR(__xludf.DUMMYFUNCTION("""COMPUTED_VALUE"""),"TV Series 2011– )")</f>
        <v>TV Series 2011– )</v>
      </c>
    </row>
    <row r="576" spans="1:5" ht="13" x14ac:dyDescent="0.15">
      <c r="A576" s="5" t="s">
        <v>1134</v>
      </c>
      <c r="D576" t="str">
        <f ca="1">IFERROR(__xludf.DUMMYFUNCTION("split(A576,""("")"),"CBC Winnipeg Comedy Festival ")</f>
        <v xml:space="preserve">CBC Winnipeg Comedy Festival </v>
      </c>
      <c r="E576" t="str">
        <f ca="1">IFERROR(__xludf.DUMMYFUNCTION("""COMPUTED_VALUE"""),"TV Series 2002– )")</f>
        <v>TV Series 2002– )</v>
      </c>
    </row>
    <row r="577" spans="1:5" ht="13" x14ac:dyDescent="0.15">
      <c r="A577" s="5" t="s">
        <v>1135</v>
      </c>
      <c r="D577" t="str">
        <f ca="1">IFERROR(__xludf.DUMMYFUNCTION("split(A577,""("")"),"Celebrity Deathmatch ")</f>
        <v xml:space="preserve">Celebrity Deathmatch </v>
      </c>
      <c r="E577" t="str">
        <f ca="1">IFERROR(__xludf.DUMMYFUNCTION("""COMPUTED_VALUE"""),"TV Series 1998–2007)")</f>
        <v>TV Series 1998–2007)</v>
      </c>
    </row>
    <row r="578" spans="1:5" ht="13" x14ac:dyDescent="0.15">
      <c r="A578" s="5" t="s">
        <v>1136</v>
      </c>
      <c r="D578" t="str">
        <f ca="1">IFERROR(__xludf.DUMMYFUNCTION("split(A578,""("")"),"Celebrity Wedding Planner ")</f>
        <v xml:space="preserve">Celebrity Wedding Planner </v>
      </c>
      <c r="E578" t="str">
        <f ca="1">IFERROR(__xludf.DUMMYFUNCTION("""COMPUTED_VALUE"""),"TV Series 2012– )")</f>
        <v>TV Series 2012– )</v>
      </c>
    </row>
    <row r="579" spans="1:5" ht="13" x14ac:dyDescent="0.15">
      <c r="A579" s="5" t="s">
        <v>1137</v>
      </c>
      <c r="D579" t="str">
        <f ca="1">IFERROR(__xludf.DUMMYFUNCTION("split(A579,""("")"),"Celebrity Wife Swap ")</f>
        <v xml:space="preserve">Celebrity Wife Swap </v>
      </c>
      <c r="E579" t="str">
        <f ca="1">IFERROR(__xludf.DUMMYFUNCTION("""COMPUTED_VALUE"""),"TV Series 2012– )")</f>
        <v>TV Series 2012– )</v>
      </c>
    </row>
    <row r="580" spans="1:5" ht="13" x14ac:dyDescent="0.15">
      <c r="A580" s="5" t="s">
        <v>1138</v>
      </c>
      <c r="D580" t="str">
        <f ca="1">IFERROR(__xludf.DUMMYFUNCTION("split(A580,""("")"),"Celebs Go Dating ")</f>
        <v xml:space="preserve">Celebs Go Dating </v>
      </c>
      <c r="E580" t="str">
        <f ca="1">IFERROR(__xludf.DUMMYFUNCTION("""COMPUTED_VALUE"""),"TV Series 2016– )")</f>
        <v>TV Series 2016– )</v>
      </c>
    </row>
    <row r="581" spans="1:5" ht="13" x14ac:dyDescent="0.15">
      <c r="A581" s="5" t="s">
        <v>1139</v>
      </c>
      <c r="D581" t="str">
        <f ca="1">IFERROR(__xludf.DUMMYFUNCTION("split(A581,""("")"),"Celebs in Solitary ")</f>
        <v xml:space="preserve">Celebs in Solitary </v>
      </c>
      <c r="E581" t="str">
        <f ca="1">IFERROR(__xludf.DUMMYFUNCTION("""COMPUTED_VALUE"""),"TV Series 2018– )")</f>
        <v>TV Series 2018– )</v>
      </c>
    </row>
    <row r="582" spans="1:5" ht="13" x14ac:dyDescent="0.15">
      <c r="A582" s="5" t="s">
        <v>1140</v>
      </c>
      <c r="D582" t="str">
        <f ca="1">IFERROR(__xludf.DUMMYFUNCTION("split(A582,""("")"),"Centurions ")</f>
        <v xml:space="preserve">Centurions </v>
      </c>
      <c r="E582" t="str">
        <f ca="1">IFERROR(__xludf.DUMMYFUNCTION("""COMPUTED_VALUE"""),"TV Series 1986)")</f>
        <v>TV Series 1986)</v>
      </c>
    </row>
    <row r="583" spans="1:5" ht="13" x14ac:dyDescent="0.15">
      <c r="A583" s="5" t="s">
        <v>1141</v>
      </c>
      <c r="D583" t="str">
        <f ca="1">IFERROR(__xludf.DUMMYFUNCTION("split(A583,""("")"),"Cesar 911 ")</f>
        <v xml:space="preserve">Cesar 911 </v>
      </c>
      <c r="E583" t="str">
        <f ca="1">IFERROR(__xludf.DUMMYFUNCTION("""COMPUTED_VALUE"""),"TV Series 2014– )")</f>
        <v>TV Series 2014– )</v>
      </c>
    </row>
    <row r="584" spans="1:5" ht="13" x14ac:dyDescent="0.15">
      <c r="A584" s="5" t="s">
        <v>1142</v>
      </c>
      <c r="D584" t="str">
        <f ca="1">IFERROR(__xludf.DUMMYFUNCTION("split(A584,""("")"),"Cetrdeset osmaZavera i izdaja ")</f>
        <v xml:space="preserve">Cetrdeset osmaZavera i izdaja </v>
      </c>
      <c r="E584" t="str">
        <f ca="1">IFERROR(__xludf.DUMMYFUNCTION("""COMPUTED_VALUE"""),"TV Series 1988– )")</f>
        <v>TV Series 1988– )</v>
      </c>
    </row>
    <row r="585" spans="1:5" ht="13" x14ac:dyDescent="0.15">
      <c r="A585" s="5" t="s">
        <v>1143</v>
      </c>
      <c r="D585" t="str">
        <f ca="1">IFERROR(__xludf.DUMMYFUNCTION("split(A585,""("")"),"Chalice Well: Lifestyle Space ")</f>
        <v xml:space="preserve">Chalice Well: Lifestyle Space </v>
      </c>
      <c r="E585" t="str">
        <f ca="1">IFERROR(__xludf.DUMMYFUNCTION("""COMPUTED_VALUE"""),"TV Series 2015– )")</f>
        <v>TV Series 2015– )</v>
      </c>
    </row>
    <row r="586" spans="1:5" ht="13" x14ac:dyDescent="0.15">
      <c r="A586" s="5" t="s">
        <v>1144</v>
      </c>
      <c r="D586" t="str">
        <f ca="1">IFERROR(__xludf.DUMMYFUNCTION("split(A586,""("")"),"Challenge of the GoBots ")</f>
        <v xml:space="preserve">Challenge of the GoBots </v>
      </c>
      <c r="E586" t="str">
        <f ca="1">IFERROR(__xludf.DUMMYFUNCTION("""COMPUTED_VALUE"""),"TV Series 1984–1985)")</f>
        <v>TV Series 1984–1985)</v>
      </c>
    </row>
    <row r="587" spans="1:5" ht="13" x14ac:dyDescent="0.15">
      <c r="A587" s="5" t="s">
        <v>274</v>
      </c>
      <c r="D587" t="str">
        <f ca="1">IFERROR(__xludf.DUMMYFUNCTION("split(A587,""("")"),"Chambers ")</f>
        <v xml:space="preserve">Chambers </v>
      </c>
      <c r="E587" t="str">
        <f ca="1">IFERROR(__xludf.DUMMYFUNCTION("""COMPUTED_VALUE"""),"TV Series 2018– )")</f>
        <v>TV Series 2018– )</v>
      </c>
    </row>
    <row r="588" spans="1:5" ht="13" x14ac:dyDescent="0.15">
      <c r="A588" s="5" t="s">
        <v>1145</v>
      </c>
      <c r="D588" t="str">
        <f ca="1">IFERROR(__xludf.DUMMYFUNCTION("split(A588,""("")"),"Champions ")</f>
        <v xml:space="preserve">Champions </v>
      </c>
      <c r="E588" t="str">
        <f ca="1">IFERROR(__xludf.DUMMYFUNCTION("""COMPUTED_VALUE"""),"TV Series 2018)")</f>
        <v>TV Series 2018)</v>
      </c>
    </row>
    <row r="589" spans="1:5" ht="13" x14ac:dyDescent="0.15">
      <c r="A589" s="5" t="s">
        <v>1146</v>
      </c>
      <c r="D589" t="str">
        <f ca="1">IFERROR(__xludf.DUMMYFUNCTION("split(A589,""("")"),"Chance ")</f>
        <v xml:space="preserve">Chance </v>
      </c>
      <c r="E589" t="str">
        <f ca="1">IFERROR(__xludf.DUMMYFUNCTION("""COMPUTED_VALUE"""),"TV Series 2016–2017)")</f>
        <v>TV Series 2016–2017)</v>
      </c>
    </row>
    <row r="590" spans="1:5" ht="13" x14ac:dyDescent="0.15">
      <c r="A590" s="5" t="s">
        <v>1147</v>
      </c>
      <c r="D590" t="str">
        <f ca="1">IFERROR(__xludf.DUMMYFUNCTION("split(A590,""("")"),"Chappelle's Show ")</f>
        <v xml:space="preserve">Chappelle's Show </v>
      </c>
      <c r="E590" t="str">
        <f ca="1">IFERROR(__xludf.DUMMYFUNCTION("""COMPUTED_VALUE"""),"TV Series 2003–2006)")</f>
        <v>TV Series 2003–2006)</v>
      </c>
    </row>
    <row r="591" spans="1:5" ht="13" x14ac:dyDescent="0.15">
      <c r="A591" s="5" t="s">
        <v>1148</v>
      </c>
      <c r="D591" t="str">
        <f ca="1">IFERROR(__xludf.DUMMYFUNCTION("split(A591,""("")"),"Charles in Charge ")</f>
        <v xml:space="preserve">Charles in Charge </v>
      </c>
      <c r="E591" t="str">
        <f ca="1">IFERROR(__xludf.DUMMYFUNCTION("""COMPUTED_VALUE"""),"TV Series 1984–1990)")</f>
        <v>TV Series 1984–1990)</v>
      </c>
    </row>
    <row r="592" spans="1:5" ht="13" x14ac:dyDescent="0.15">
      <c r="A592" s="5" t="s">
        <v>1149</v>
      </c>
      <c r="D592" t="str">
        <f ca="1">IFERROR(__xludf.DUMMYFUNCTION("split(A592,""("")"),"Charli Robinson Hi-5 Feet Compilation ")</f>
        <v xml:space="preserve">Charli Robinson Hi-5 Feet Compilation </v>
      </c>
      <c r="E592" t="str">
        <f ca="1">IFERROR(__xludf.DUMMYFUNCTION("""COMPUTED_VALUE"""),"TV Series 1999–2008)")</f>
        <v>TV Series 1999–2008)</v>
      </c>
    </row>
    <row r="593" spans="1:5" ht="13" x14ac:dyDescent="0.15">
      <c r="A593" s="5" t="s">
        <v>1150</v>
      </c>
      <c r="D593" t="str">
        <f ca="1">IFERROR(__xludf.DUMMYFUNCTION("split(A593,""("")"),"Charmed ")</f>
        <v xml:space="preserve">Charmed </v>
      </c>
      <c r="E593" t="str">
        <f ca="1">IFERROR(__xludf.DUMMYFUNCTION("""COMPUTED_VALUE"""),"TV Series 1998–2006)")</f>
        <v>TV Series 1998–2006)</v>
      </c>
    </row>
    <row r="594" spans="1:5" ht="13" x14ac:dyDescent="0.15">
      <c r="A594" s="5" t="s">
        <v>190</v>
      </c>
      <c r="D594" t="str">
        <f ca="1">IFERROR(__xludf.DUMMYFUNCTION("split(A594,""("")"),"Charmed ")</f>
        <v xml:space="preserve">Charmed </v>
      </c>
      <c r="E594" t="str">
        <f ca="1">IFERROR(__xludf.DUMMYFUNCTION("""COMPUTED_VALUE"""),"TV Series 2018– )")</f>
        <v>TV Series 2018– )</v>
      </c>
    </row>
    <row r="595" spans="1:5" ht="13" x14ac:dyDescent="0.15">
      <c r="A595" s="5" t="s">
        <v>1151</v>
      </c>
      <c r="D595" t="str">
        <f ca="1">IFERROR(__xludf.DUMMYFUNCTION("split(A595,""("")"),"Charming Deception ")</f>
        <v xml:space="preserve">Charming Deception </v>
      </c>
      <c r="E595" t="str">
        <f ca="1">IFERROR(__xludf.DUMMYFUNCTION("""COMPUTED_VALUE"""),"TV Series 2013)")</f>
        <v>TV Series 2013)</v>
      </c>
    </row>
    <row r="596" spans="1:5" ht="13" x14ac:dyDescent="0.15">
      <c r="A596" s="5" t="s">
        <v>1152</v>
      </c>
      <c r="D596" t="str">
        <f ca="1">IFERROR(__xludf.DUMMYFUNCTION("split(A596,""("")"),"Chasing Mummies ")</f>
        <v xml:space="preserve">Chasing Mummies </v>
      </c>
      <c r="E596" t="str">
        <f ca="1">IFERROR(__xludf.DUMMYFUNCTION("""COMPUTED_VALUE"""),"TV Series 2010– )")</f>
        <v>TV Series 2010– )</v>
      </c>
    </row>
    <row r="597" spans="1:5" ht="13" x14ac:dyDescent="0.15">
      <c r="A597" s="5" t="s">
        <v>1153</v>
      </c>
      <c r="D597" t="str">
        <f ca="1">IFERROR(__xludf.DUMMYFUNCTION("split(A597,""("")"),"Cheers ")</f>
        <v xml:space="preserve">Cheers </v>
      </c>
      <c r="E597" t="str">
        <f ca="1">IFERROR(__xludf.DUMMYFUNCTION("""COMPUTED_VALUE"""),"TV Series 1982–1993)")</f>
        <v>TV Series 1982–1993)</v>
      </c>
    </row>
    <row r="598" spans="1:5" ht="13" x14ac:dyDescent="0.15">
      <c r="A598" s="5" t="s">
        <v>339</v>
      </c>
      <c r="D598" t="str">
        <f ca="1">IFERROR(__xludf.DUMMYFUNCTION("split(A598,""("")"),"Chef's Table ")</f>
        <v xml:space="preserve">Chef's Table </v>
      </c>
      <c r="E598" t="str">
        <f ca="1">IFERROR(__xludf.DUMMYFUNCTION("""COMPUTED_VALUE"""),"TV Series 2015– )")</f>
        <v>TV Series 2015– )</v>
      </c>
    </row>
    <row r="599" spans="1:5" ht="13" x14ac:dyDescent="0.15">
      <c r="A599" s="5" t="s">
        <v>546</v>
      </c>
      <c r="D599" t="str">
        <f ca="1">IFERROR(__xludf.DUMMYFUNCTION("split(A599,""("")"),"Chef's Table: France ")</f>
        <v xml:space="preserve">Chef's Table: France </v>
      </c>
      <c r="E599" t="str">
        <f ca="1">IFERROR(__xludf.DUMMYFUNCTION("""COMPUTED_VALUE"""),"TV Series 2016– )")</f>
        <v>TV Series 2016– )</v>
      </c>
    </row>
    <row r="600" spans="1:5" ht="13" x14ac:dyDescent="0.15">
      <c r="A600" s="5" t="s">
        <v>1154</v>
      </c>
      <c r="D600" t="str">
        <f ca="1">IFERROR(__xludf.DUMMYFUNCTION("split(A600,""("")"),"Chelsea Does ")</f>
        <v xml:space="preserve">Chelsea Does </v>
      </c>
      <c r="E600" t="str">
        <f ca="1">IFERROR(__xludf.DUMMYFUNCTION("""COMPUTED_VALUE"""),"TV Series 2016– )")</f>
        <v>TV Series 2016– )</v>
      </c>
    </row>
    <row r="601" spans="1:5" ht="13" x14ac:dyDescent="0.15">
      <c r="A601" s="5" t="s">
        <v>1155</v>
      </c>
      <c r="D601" t="str">
        <f ca="1">IFERROR(__xludf.DUMMYFUNCTION("split(A601,""("")"),"Chesapeake Shores ")</f>
        <v xml:space="preserve">Chesapeake Shores </v>
      </c>
      <c r="E601" t="str">
        <f ca="1">IFERROR(__xludf.DUMMYFUNCTION("""COMPUTED_VALUE"""),"TV Series 2016– )")</f>
        <v>TV Series 2016– )</v>
      </c>
    </row>
    <row r="602" spans="1:5" ht="13" x14ac:dyDescent="0.15">
      <c r="A602" s="5" t="s">
        <v>1156</v>
      </c>
      <c r="D602" t="str">
        <f ca="1">IFERROR(__xludf.DUMMYFUNCTION("split(A602,""("")"),"Chespirito ")</f>
        <v xml:space="preserve">Chespirito </v>
      </c>
      <c r="E602" t="str">
        <f ca="1">IFERROR(__xludf.DUMMYFUNCTION("""COMPUTED_VALUE"""),"TV Series 1980–1995)")</f>
        <v>TV Series 1980–1995)</v>
      </c>
    </row>
    <row r="603" spans="1:5" ht="13" x14ac:dyDescent="0.15">
      <c r="A603" s="5" t="s">
        <v>340</v>
      </c>
      <c r="D603" t="str">
        <f ca="1">IFERROR(__xludf.DUMMYFUNCTION("split(A603,""("")"),"Chicago Fire ")</f>
        <v xml:space="preserve">Chicago Fire </v>
      </c>
      <c r="E603" t="str">
        <f ca="1">IFERROR(__xludf.DUMMYFUNCTION("""COMPUTED_VALUE"""),"TV Series 2012– )")</f>
        <v>TV Series 2012– )</v>
      </c>
    </row>
    <row r="604" spans="1:5" ht="13" x14ac:dyDescent="0.15">
      <c r="A604" s="5" t="s">
        <v>306</v>
      </c>
      <c r="D604" t="str">
        <f ca="1">IFERROR(__xludf.DUMMYFUNCTION("split(A604,""("")"),"Chicago Hope ")</f>
        <v xml:space="preserve">Chicago Hope </v>
      </c>
      <c r="E604" t="str">
        <f ca="1">IFERROR(__xludf.DUMMYFUNCTION("""COMPUTED_VALUE"""),"TV Series 1994–2000)")</f>
        <v>TV Series 1994–2000)</v>
      </c>
    </row>
    <row r="605" spans="1:5" ht="13" x14ac:dyDescent="0.15">
      <c r="A605" s="5" t="s">
        <v>307</v>
      </c>
      <c r="D605" t="str">
        <f ca="1">IFERROR(__xludf.DUMMYFUNCTION("split(A605,""("")"),"Chicago Justice ")</f>
        <v xml:space="preserve">Chicago Justice </v>
      </c>
      <c r="E605" t="str">
        <f ca="1">IFERROR(__xludf.DUMMYFUNCTION("""COMPUTED_VALUE"""),"TV Series 2017)")</f>
        <v>TV Series 2017)</v>
      </c>
    </row>
    <row r="606" spans="1:5" ht="13" x14ac:dyDescent="0.15">
      <c r="A606" s="5" t="s">
        <v>308</v>
      </c>
      <c r="D606" t="str">
        <f ca="1">IFERROR(__xludf.DUMMYFUNCTION("split(A606,""("")"),"Chicago P.D. ")</f>
        <v xml:space="preserve">Chicago P.D. </v>
      </c>
      <c r="E606" t="str">
        <f ca="1">IFERROR(__xludf.DUMMYFUNCTION("""COMPUTED_VALUE"""),"TV Series 2014– )")</f>
        <v>TV Series 2014– )</v>
      </c>
    </row>
    <row r="607" spans="1:5" ht="13" x14ac:dyDescent="0.15">
      <c r="A607" s="5" t="s">
        <v>1157</v>
      </c>
      <c r="D607" t="str">
        <f ca="1">IFERROR(__xludf.DUMMYFUNCTION("split(A607,""("")"),"Childrens Hospital ")</f>
        <v xml:space="preserve">Childrens Hospital </v>
      </c>
      <c r="E607" t="str">
        <f ca="1">IFERROR(__xludf.DUMMYFUNCTION("""COMPUTED_VALUE"""),"TV Series 2008–2016)")</f>
        <v>TV Series 2008–2016)</v>
      </c>
    </row>
    <row r="608" spans="1:5" ht="13" x14ac:dyDescent="0.15">
      <c r="A608" s="5" t="s">
        <v>547</v>
      </c>
      <c r="D608" t="str">
        <f ca="1">IFERROR(__xludf.DUMMYFUNCTION("split(A608,""("")"),"Chilling Adventures of Sabrina ")</f>
        <v xml:space="preserve">Chilling Adventures of Sabrina </v>
      </c>
      <c r="E608" t="str">
        <f ca="1">IFERROR(__xludf.DUMMYFUNCTION("""COMPUTED_VALUE"""),"TV Series 2018– )")</f>
        <v>TV Series 2018– )</v>
      </c>
    </row>
    <row r="609" spans="1:5" ht="13" x14ac:dyDescent="0.15">
      <c r="A609" s="5" t="s">
        <v>1158</v>
      </c>
      <c r="D609" t="str">
        <f ca="1">IFERROR(__xludf.DUMMYFUNCTION("split(A609,""("")"),"Chiquititas ")</f>
        <v xml:space="preserve">Chiquititas </v>
      </c>
      <c r="E609" t="str">
        <f ca="1">IFERROR(__xludf.DUMMYFUNCTION("""COMPUTED_VALUE"""),"TV Series 1995–2001)")</f>
        <v>TV Series 1995–2001)</v>
      </c>
    </row>
    <row r="610" spans="1:5" ht="13" x14ac:dyDescent="0.15">
      <c r="A610" s="5" t="s">
        <v>548</v>
      </c>
      <c r="D610" t="str">
        <f ca="1">IFERROR(__xludf.DUMMYFUNCTION("split(A610,""("")"),"Chiquititas ")</f>
        <v xml:space="preserve">Chiquititas </v>
      </c>
      <c r="E610" t="str">
        <f ca="1">IFERROR(__xludf.DUMMYFUNCTION("""COMPUTED_VALUE"""),"TV Series 2013–2015)")</f>
        <v>TV Series 2013–2015)</v>
      </c>
    </row>
    <row r="611" spans="1:5" ht="13" x14ac:dyDescent="0.15">
      <c r="A611" s="5" t="s">
        <v>549</v>
      </c>
      <c r="D611" t="str">
        <f ca="1">IFERROR(__xludf.DUMMYFUNCTION("split(A611,""("")"),"Chiquititas Brasil ")</f>
        <v xml:space="preserve">Chiquititas Brasil </v>
      </c>
      <c r="E611" t="str">
        <f ca="1">IFERROR(__xludf.DUMMYFUNCTION("""COMPUTED_VALUE"""),"TV Series 1997–2000)")</f>
        <v>TV Series 1997–2000)</v>
      </c>
    </row>
    <row r="612" spans="1:5" ht="13" x14ac:dyDescent="0.15">
      <c r="A612" s="5" t="s">
        <v>1159</v>
      </c>
      <c r="D612" t="str">
        <f ca="1">IFERROR(__xludf.DUMMYFUNCTION("split(A612,""("")"),"Chobits ")</f>
        <v xml:space="preserve">Chobits </v>
      </c>
      <c r="E612" t="str">
        <f ca="1">IFERROR(__xludf.DUMMYFUNCTION("""COMPUTED_VALUE"""),"TV Series 2002– )")</f>
        <v>TV Series 2002– )</v>
      </c>
    </row>
    <row r="613" spans="1:5" ht="13" x14ac:dyDescent="0.15">
      <c r="A613" s="5" t="s">
        <v>206</v>
      </c>
      <c r="D613" t="str">
        <f ca="1">IFERROR(__xludf.DUMMYFUNCTION("split(A613,""("")"),"Chocolate News ")</f>
        <v xml:space="preserve">Chocolate News </v>
      </c>
      <c r="E613" t="str">
        <f ca="1">IFERROR(__xludf.DUMMYFUNCTION("""COMPUTED_VALUE"""),"TV Series 2008– )")</f>
        <v>TV Series 2008– )</v>
      </c>
    </row>
    <row r="614" spans="1:5" ht="13" x14ac:dyDescent="0.15">
      <c r="A614" s="5" t="s">
        <v>1160</v>
      </c>
      <c r="D614" t="str">
        <f ca="1">IFERROR(__xludf.DUMMYFUNCTION("split(A614,""("")"),"Choctaw Church of Christ ")</f>
        <v xml:space="preserve">Choctaw Church of Christ </v>
      </c>
      <c r="E614" t="str">
        <f ca="1">IFERROR(__xludf.DUMMYFUNCTION("""COMPUTED_VALUE"""),"TV Series 2010– )")</f>
        <v>TV Series 2010– )</v>
      </c>
    </row>
    <row r="615" spans="1:5" ht="13" x14ac:dyDescent="0.15">
      <c r="A615" s="5" t="s">
        <v>1161</v>
      </c>
      <c r="D615" t="str">
        <f ca="1">IFERROR(__xludf.DUMMYFUNCTION("split(A615,""("")"),"Chopped ")</f>
        <v xml:space="preserve">Chopped </v>
      </c>
      <c r="E615" t="str">
        <f ca="1">IFERROR(__xludf.DUMMYFUNCTION("""COMPUTED_VALUE"""),"TV Series 2007– )")</f>
        <v>TV Series 2007– )</v>
      </c>
    </row>
    <row r="616" spans="1:5" ht="13" x14ac:dyDescent="0.15">
      <c r="A616" s="5" t="s">
        <v>1162</v>
      </c>
      <c r="D616" t="str">
        <f ca="1">IFERROR(__xludf.DUMMYFUNCTION("split(A616,""("")"),"Chowder ")</f>
        <v xml:space="preserve">Chowder </v>
      </c>
      <c r="E616" t="str">
        <f ca="1">IFERROR(__xludf.DUMMYFUNCTION("""COMPUTED_VALUE"""),"TV Series 2007–2010)")</f>
        <v>TV Series 2007–2010)</v>
      </c>
    </row>
    <row r="617" spans="1:5" ht="13" x14ac:dyDescent="0.15">
      <c r="A617" s="5" t="s">
        <v>1163</v>
      </c>
      <c r="D617" t="str">
        <f ca="1">IFERROR(__xludf.DUMMYFUNCTION("split(A617,""("")"),"Chrono Crusade ")</f>
        <v xml:space="preserve">Chrono Crusade </v>
      </c>
      <c r="E617" t="str">
        <f ca="1">IFERROR(__xludf.DUMMYFUNCTION("""COMPUTED_VALUE"""),"TV Series 2003–2004)")</f>
        <v>TV Series 2003–2004)</v>
      </c>
    </row>
    <row r="618" spans="1:5" ht="13" x14ac:dyDescent="0.15">
      <c r="A618" s="5" t="s">
        <v>341</v>
      </c>
      <c r="D618" t="str">
        <f ca="1">IFERROR(__xludf.DUMMYFUNCTION("split(A618,""("")"),"Chuck ")</f>
        <v xml:space="preserve">Chuck </v>
      </c>
      <c r="E618" t="str">
        <f ca="1">IFERROR(__xludf.DUMMYFUNCTION("""COMPUTED_VALUE"""),"TV Series 2007–2012)")</f>
        <v>TV Series 2007–2012)</v>
      </c>
    </row>
    <row r="619" spans="1:5" ht="13" x14ac:dyDescent="0.15">
      <c r="A619" s="5" t="s">
        <v>1164</v>
      </c>
      <c r="D619" t="str">
        <f ca="1">IFERROR(__xludf.DUMMYFUNCTION("split(A619,""("")"),"Chuck Norris: Karate Kommandos ")</f>
        <v xml:space="preserve">Chuck Norris: Karate Kommandos </v>
      </c>
      <c r="E619" t="str">
        <f ca="1">IFERROR(__xludf.DUMMYFUNCTION("""COMPUTED_VALUE"""),"TV Series 1986)")</f>
        <v>TV Series 1986)</v>
      </c>
    </row>
    <row r="620" spans="1:5" ht="13" x14ac:dyDescent="0.15">
      <c r="A620" s="5" t="s">
        <v>1165</v>
      </c>
      <c r="D620" t="str">
        <f ca="1">IFERROR(__xludf.DUMMYFUNCTION("split(A620,""("")"),"Cinemassacre's Monster Madness ")</f>
        <v xml:space="preserve">Cinemassacre's Monster Madness </v>
      </c>
      <c r="E620" t="str">
        <f ca="1">IFERROR(__xludf.DUMMYFUNCTION("""COMPUTED_VALUE"""),"TV Series 2007–2019)")</f>
        <v>TV Series 2007–2019)</v>
      </c>
    </row>
    <row r="621" spans="1:5" ht="13" x14ac:dyDescent="0.15">
      <c r="A621" s="5" t="s">
        <v>1166</v>
      </c>
      <c r="D621" t="str">
        <f ca="1">IFERROR(__xludf.DUMMYFUNCTION("split(A621,""("")"),"Citrus ")</f>
        <v xml:space="preserve">Citrus </v>
      </c>
      <c r="E621" t="str">
        <f ca="1">IFERROR(__xludf.DUMMYFUNCTION("""COMPUTED_VALUE"""),"TV Series 2018– )")</f>
        <v>TV Series 2018– )</v>
      </c>
    </row>
    <row r="622" spans="1:5" ht="13" x14ac:dyDescent="0.15">
      <c r="A622" s="5" t="s">
        <v>1167</v>
      </c>
      <c r="D622" t="str">
        <f ca="1">IFERROR(__xludf.DUMMYFUNCTION("split(A622,""("")"),"City Homicide ")</f>
        <v xml:space="preserve">City Homicide </v>
      </c>
      <c r="E622" t="str">
        <f ca="1">IFERROR(__xludf.DUMMYFUNCTION("""COMPUTED_VALUE"""),"TV Series 2007–2011)")</f>
        <v>TV Series 2007–2011)</v>
      </c>
    </row>
    <row r="623" spans="1:5" ht="13" x14ac:dyDescent="0.15">
      <c r="A623" s="5" t="s">
        <v>275</v>
      </c>
      <c r="D623" t="str">
        <f ca="1">IFERROR(__xludf.DUMMYFUNCTION("split(A623,""("")"),"City on a Hill ")</f>
        <v xml:space="preserve">City on a Hill </v>
      </c>
      <c r="E623" t="str">
        <f ca="1">IFERROR(__xludf.DUMMYFUNCTION("""COMPUTED_VALUE"""),"TV Series 2019– )")</f>
        <v>TV Series 2019– )</v>
      </c>
    </row>
    <row r="624" spans="1:5" ht="13" x14ac:dyDescent="0.15">
      <c r="A624" s="7" t="s">
        <v>1168</v>
      </c>
      <c r="D624" t="str">
        <f ca="1">IFERROR(__xludf.DUMMYFUNCTION("split(A624,""("")"),"Civil War Combat: America's Bloodiest Battles ")</f>
        <v xml:space="preserve">Civil War Combat: America's Bloodiest Battles </v>
      </c>
      <c r="E624" t="str">
        <f ca="1">IFERROR(__xludf.DUMMYFUNCTION("""COMPUTED_VALUE"""),"TV Series 2000– )")</f>
        <v>TV Series 2000– )</v>
      </c>
    </row>
    <row r="625" spans="1:5" ht="13" x14ac:dyDescent="0.15">
      <c r="A625" s="5" t="s">
        <v>1169</v>
      </c>
      <c r="D625" t="str">
        <f ca="1">IFERROR(__xludf.DUMMYFUNCTION("split(A625,""("")"),"Clannad ")</f>
        <v xml:space="preserve">Clannad </v>
      </c>
      <c r="E625" t="str">
        <f ca="1">IFERROR(__xludf.DUMMYFUNCTION("""COMPUTED_VALUE"""),"TV Series 2007–2008)")</f>
        <v>TV Series 2007–2008)</v>
      </c>
    </row>
    <row r="626" spans="1:5" ht="13" x14ac:dyDescent="0.15">
      <c r="A626" s="5" t="s">
        <v>1170</v>
      </c>
      <c r="D626" t="str">
        <f ca="1">IFERROR(__xludf.DUMMYFUNCTION("split(A626,""("")"),"Clarissa ")</f>
        <v xml:space="preserve">Clarissa </v>
      </c>
      <c r="E626" t="str">
        <f ca="1">IFERROR(__xludf.DUMMYFUNCTION("""COMPUTED_VALUE"""),"TV Series 1991– )")</f>
        <v>TV Series 1991– )</v>
      </c>
    </row>
    <row r="627" spans="1:5" ht="13" x14ac:dyDescent="0.15">
      <c r="A627" s="5" t="s">
        <v>1171</v>
      </c>
      <c r="D627" t="str">
        <f ca="1">IFERROR(__xludf.DUMMYFUNCTION("split(A627,""("")"),"Clarissa Explains It All ")</f>
        <v xml:space="preserve">Clarissa Explains It All </v>
      </c>
      <c r="E627" t="str">
        <f ca="1">IFERROR(__xludf.DUMMYFUNCTION("""COMPUTED_VALUE"""),"TV Series 1991–1994)")</f>
        <v>TV Series 1991–1994)</v>
      </c>
    </row>
    <row r="628" spans="1:5" ht="13" x14ac:dyDescent="0.15">
      <c r="A628" s="5" t="s">
        <v>1172</v>
      </c>
      <c r="D628" t="str">
        <f ca="1">IFERROR(__xludf.DUMMYFUNCTION("split(A628,""("")"),"Clark and Michael ")</f>
        <v xml:space="preserve">Clark and Michael </v>
      </c>
      <c r="E628" t="str">
        <f ca="1">IFERROR(__xludf.DUMMYFUNCTION("""COMPUTED_VALUE"""),"TV Series 2007)")</f>
        <v>TV Series 2007)</v>
      </c>
    </row>
    <row r="629" spans="1:5" ht="13" x14ac:dyDescent="0.15">
      <c r="A629" s="5" t="s">
        <v>1173</v>
      </c>
      <c r="D629" t="str">
        <f ca="1">IFERROR(__xludf.DUMMYFUNCTION("split(A629,""("")"),"Clatterford ")</f>
        <v xml:space="preserve">Clatterford </v>
      </c>
      <c r="E629" t="str">
        <f ca="1">IFERROR(__xludf.DUMMYFUNCTION("""COMPUTED_VALUE"""),"TV Series 2006–2009)")</f>
        <v>TV Series 2006–2009)</v>
      </c>
    </row>
    <row r="630" spans="1:5" ht="13" x14ac:dyDescent="0.15">
      <c r="A630" s="5" t="s">
        <v>1174</v>
      </c>
      <c r="D630" t="str">
        <f ca="1">IFERROR(__xludf.DUMMYFUNCTION("split(A630,""("")"),"Claws ")</f>
        <v xml:space="preserve">Claws </v>
      </c>
      <c r="E630" t="str">
        <f ca="1">IFERROR(__xludf.DUMMYFUNCTION("""COMPUTED_VALUE"""),"TV Series 2017– )")</f>
        <v>TV Series 2017– )</v>
      </c>
    </row>
    <row r="631" spans="1:5" ht="13" x14ac:dyDescent="0.15">
      <c r="A631" s="5" t="s">
        <v>1175</v>
      </c>
      <c r="D631" t="str">
        <f ca="1">IFERROR(__xludf.DUMMYFUNCTION("split(A631,""("")"),"Claymore ")</f>
        <v xml:space="preserve">Claymore </v>
      </c>
      <c r="E631" t="str">
        <f ca="1">IFERROR(__xludf.DUMMYFUNCTION("""COMPUTED_VALUE"""),"TV Series 2007)")</f>
        <v>TV Series 2007)</v>
      </c>
    </row>
    <row r="632" spans="1:5" ht="13" x14ac:dyDescent="0.15">
      <c r="A632" s="5" t="s">
        <v>408</v>
      </c>
      <c r="D632" t="str">
        <f ca="1">IFERROR(__xludf.DUMMYFUNCTION("split(A632,""("")"),"Clerks ")</f>
        <v xml:space="preserve">Clerks </v>
      </c>
      <c r="E632" t="str">
        <f ca="1">IFERROR(__xludf.DUMMYFUNCTION("""COMPUTED_VALUE"""),"TV Series 2000–2001)")</f>
        <v>TV Series 2000–2001)</v>
      </c>
    </row>
    <row r="633" spans="1:5" ht="13" x14ac:dyDescent="0.15">
      <c r="A633" s="5" t="s">
        <v>1176</v>
      </c>
      <c r="D633" t="str">
        <f ca="1">IFERROR(__xludf.DUMMYFUNCTION("split(A633,""("")"),"Clever Girl ")</f>
        <v xml:space="preserve">Clever Girl </v>
      </c>
      <c r="E633" t="str">
        <f ca="1">IFERROR(__xludf.DUMMYFUNCTION("""COMPUTED_VALUE"""),"TV Series 2015– )")</f>
        <v>TV Series 2015– )</v>
      </c>
    </row>
    <row r="634" spans="1:5" ht="13" x14ac:dyDescent="0.15">
      <c r="A634" s="5" t="s">
        <v>1177</v>
      </c>
      <c r="D634" t="str">
        <f ca="1">IFERROR(__xludf.DUMMYFUNCTION("split(A634,""("")"),"Cleverman ")</f>
        <v xml:space="preserve">Cleverman </v>
      </c>
      <c r="E634" t="str">
        <f ca="1">IFERROR(__xludf.DUMMYFUNCTION("""COMPUTED_VALUE"""),"TV Series 2016– )")</f>
        <v>TV Series 2016– )</v>
      </c>
    </row>
    <row r="635" spans="1:5" ht="13" x14ac:dyDescent="0.15">
      <c r="A635" s="5" t="s">
        <v>1178</v>
      </c>
      <c r="D635" t="str">
        <f ca="1">IFERROR(__xludf.DUMMYFUNCTION("split(A635,""("")"),"Clinic ")</f>
        <v xml:space="preserve">Clinic </v>
      </c>
      <c r="E635" t="str">
        <f ca="1">IFERROR(__xludf.DUMMYFUNCTION("""COMPUTED_VALUE"""),"TV Series 2009– )")</f>
        <v>TV Series 2009– )</v>
      </c>
    </row>
    <row r="636" spans="1:5" ht="13" x14ac:dyDescent="0.15">
      <c r="A636" s="5" t="s">
        <v>1179</v>
      </c>
      <c r="D636" t="str">
        <f ca="1">IFERROR(__xludf.DUMMYFUNCTION("split(A636,""("")"),"Clocking Off ")</f>
        <v xml:space="preserve">Clocking Off </v>
      </c>
      <c r="E636" t="str">
        <f ca="1">IFERROR(__xludf.DUMMYFUNCTION("""COMPUTED_VALUE"""),"TV Series 2000–2003)")</f>
        <v>TV Series 2000–2003)</v>
      </c>
    </row>
    <row r="637" spans="1:5" ht="13" x14ac:dyDescent="0.15">
      <c r="A637" s="5" t="s">
        <v>1180</v>
      </c>
      <c r="D637" t="str">
        <f ca="1">IFERROR(__xludf.DUMMYFUNCTION("split(A637,""("")"),"Clone High ")</f>
        <v xml:space="preserve">Clone High </v>
      </c>
      <c r="E637" t="str">
        <f ca="1">IFERROR(__xludf.DUMMYFUNCTION("""COMPUTED_VALUE"""),"TV Series 2002–2003)")</f>
        <v>TV Series 2002–2003)</v>
      </c>
    </row>
    <row r="638" spans="1:5" ht="13" x14ac:dyDescent="0.15">
      <c r="A638" s="5" t="s">
        <v>1181</v>
      </c>
      <c r="D638" t="str">
        <f ca="1">IFERROR(__xludf.DUMMYFUNCTION("split(A638,""("")"),"Club Reps ")</f>
        <v xml:space="preserve">Club Reps </v>
      </c>
      <c r="E638" t="str">
        <f ca="1">IFERROR(__xludf.DUMMYFUNCTION("""COMPUTED_VALUE"""),"TV Series 2001–2004)")</f>
        <v>TV Series 2001–2004)</v>
      </c>
    </row>
    <row r="639" spans="1:5" ht="13" x14ac:dyDescent="0.15">
      <c r="A639" s="5" t="s">
        <v>431</v>
      </c>
      <c r="D639" t="str">
        <f ca="1">IFERROR(__xludf.DUMMYFUNCTION("split(A639,""("")"),"Clueless ")</f>
        <v xml:space="preserve">Clueless </v>
      </c>
      <c r="E639" t="str">
        <f ca="1">IFERROR(__xludf.DUMMYFUNCTION("""COMPUTED_VALUE"""),"TV Series 1996–1999)")</f>
        <v>TV Series 1996–1999)</v>
      </c>
    </row>
    <row r="640" spans="1:5" ht="13" x14ac:dyDescent="0.15">
      <c r="A640" s="5" t="s">
        <v>1182</v>
      </c>
      <c r="D640" t="str">
        <f ca="1">IFERROR(__xludf.DUMMYFUNCTION("split(A640,""("")"),"Coach Snoop ")</f>
        <v xml:space="preserve">Coach Snoop </v>
      </c>
      <c r="E640" t="str">
        <f ca="1">IFERROR(__xludf.DUMMYFUNCTION("""COMPUTED_VALUE"""),"TV Series 2016– )")</f>
        <v>TV Series 2016– )</v>
      </c>
    </row>
    <row r="641" spans="1:5" ht="13" x14ac:dyDescent="0.15">
      <c r="A641" s="5" t="s">
        <v>1183</v>
      </c>
      <c r="D641" t="str">
        <f ca="1">IFERROR(__xludf.DUMMYFUNCTION("split(A641,""("")"),"Cobra ")</f>
        <v xml:space="preserve">Cobra </v>
      </c>
      <c r="E641" t="str">
        <f ca="1">IFERROR(__xludf.DUMMYFUNCTION("""COMPUTED_VALUE"""),"TV Series 1993–1994)")</f>
        <v>TV Series 1993–1994)</v>
      </c>
    </row>
    <row r="642" spans="1:5" ht="13" x14ac:dyDescent="0.15">
      <c r="A642" s="5" t="s">
        <v>432</v>
      </c>
      <c r="D642" t="str">
        <f ca="1">IFERROR(__xludf.DUMMYFUNCTION("split(A642,""("")"),"Cobra Kai ")</f>
        <v xml:space="preserve">Cobra Kai </v>
      </c>
      <c r="E642" t="str">
        <f ca="1">IFERROR(__xludf.DUMMYFUNCTION("""COMPUTED_VALUE"""),"TV Series 2018– )")</f>
        <v>TV Series 2018– )</v>
      </c>
    </row>
    <row r="643" spans="1:5" ht="13" x14ac:dyDescent="0.15">
      <c r="A643" s="5" t="s">
        <v>1184</v>
      </c>
      <c r="D643" t="str">
        <f ca="1">IFERROR(__xludf.DUMMYFUNCTION("split(A643,""("")"),"Cobra the Animation ")</f>
        <v xml:space="preserve">Cobra the Animation </v>
      </c>
      <c r="E643" t="str">
        <f ca="1">IFERROR(__xludf.DUMMYFUNCTION("""COMPUTED_VALUE"""),"TV Series 2010– )")</f>
        <v>TV Series 2010– )</v>
      </c>
    </row>
    <row r="644" spans="1:5" ht="13" x14ac:dyDescent="0.15">
      <c r="A644" s="5" t="s">
        <v>1185</v>
      </c>
      <c r="D644" t="str">
        <f ca="1">IFERROR(__xludf.DUMMYFUNCTION("split(A644,""("")"),"Cock'd Gunns ")</f>
        <v xml:space="preserve">Cock'd Gunns </v>
      </c>
      <c r="E644" t="str">
        <f ca="1">IFERROR(__xludf.DUMMYFUNCTION("""COMPUTED_VALUE"""),"TV Series 2007– )")</f>
        <v>TV Series 2007– )</v>
      </c>
    </row>
    <row r="645" spans="1:5" ht="13" x14ac:dyDescent="0.15">
      <c r="A645" s="5" t="s">
        <v>1186</v>
      </c>
      <c r="D645" t="str">
        <f ca="1">IFERROR(__xludf.DUMMYFUNCTION("split(A645,""("")"),"Code Geass: Lelouch of the Rebellion ")</f>
        <v xml:space="preserve">Code Geass: Lelouch of the Rebellion </v>
      </c>
      <c r="E645" t="str">
        <f ca="1">IFERROR(__xludf.DUMMYFUNCTION("""COMPUTED_VALUE"""),"TV Series 2006–2012)")</f>
        <v>TV Series 2006–2012)</v>
      </c>
    </row>
    <row r="646" spans="1:5" ht="13" x14ac:dyDescent="0.15">
      <c r="A646" s="5" t="s">
        <v>1187</v>
      </c>
      <c r="D646" t="str">
        <f ca="1">IFERROR(__xludf.DUMMYFUNCTION("split(A646,""("")"),"Coded Court ")</f>
        <v xml:space="preserve">Coded Court </v>
      </c>
      <c r="E646" t="str">
        <f ca="1">IFERROR(__xludf.DUMMYFUNCTION("""COMPUTED_VALUE"""),"TV Series 2018– )")</f>
        <v>TV Series 2018– )</v>
      </c>
    </row>
    <row r="647" spans="1:5" ht="13" x14ac:dyDescent="0.15">
      <c r="A647" s="5" t="s">
        <v>1188</v>
      </c>
      <c r="D647" t="str">
        <f ca="1">IFERROR(__xludf.DUMMYFUNCTION("split(A647,""("")"),"Codename: Kids Next Door ")</f>
        <v xml:space="preserve">Codename: Kids Next Door </v>
      </c>
      <c r="E647" t="str">
        <f ca="1">IFERROR(__xludf.DUMMYFUNCTION("""COMPUTED_VALUE"""),"TV Series 2002–2008)")</f>
        <v>TV Series 2002–2008)</v>
      </c>
    </row>
    <row r="648" spans="1:5" ht="13" x14ac:dyDescent="0.15">
      <c r="A648" s="5" t="s">
        <v>1189</v>
      </c>
      <c r="D648" t="str">
        <f ca="1">IFERROR(__xludf.DUMMYFUNCTION("split(A648,""("")"),"Coinland ")</f>
        <v xml:space="preserve">Coinland </v>
      </c>
      <c r="E648" t="str">
        <f ca="1">IFERROR(__xludf.DUMMYFUNCTION("""COMPUTED_VALUE"""),"TV Series 2015– )")</f>
        <v>TV Series 2015– )</v>
      </c>
    </row>
    <row r="649" spans="1:5" ht="13" x14ac:dyDescent="0.15">
      <c r="A649" s="5" t="s">
        <v>1190</v>
      </c>
      <c r="D649" t="str">
        <f ca="1">IFERROR(__xludf.DUMMYFUNCTION("split(A649,""("")"),"Cold Case ")</f>
        <v xml:space="preserve">Cold Case </v>
      </c>
      <c r="E649" t="str">
        <f ca="1">IFERROR(__xludf.DUMMYFUNCTION("""COMPUTED_VALUE"""),"TV Series 2003–2010)")</f>
        <v>TV Series 2003–2010)</v>
      </c>
    </row>
    <row r="650" spans="1:5" ht="13" x14ac:dyDescent="0.15">
      <c r="A650" s="5" t="s">
        <v>342</v>
      </c>
      <c r="D650" t="str">
        <f ca="1">IFERROR(__xludf.DUMMYFUNCTION("split(A650,""("")"),"Cold Justice ")</f>
        <v xml:space="preserve">Cold Justice </v>
      </c>
      <c r="E650" t="str">
        <f ca="1">IFERROR(__xludf.DUMMYFUNCTION("""COMPUTED_VALUE"""),"TV Series 2013– )")</f>
        <v>TV Series 2013– )</v>
      </c>
    </row>
    <row r="651" spans="1:5" ht="13" x14ac:dyDescent="0.15">
      <c r="A651" s="5" t="s">
        <v>309</v>
      </c>
      <c r="D651" t="str">
        <f ca="1">IFERROR(__xludf.DUMMYFUNCTION("split(A651,""("")"),"Cold Justice: Sex Crimes ")</f>
        <v xml:space="preserve">Cold Justice: Sex Crimes </v>
      </c>
      <c r="E651" t="str">
        <f ca="1">IFERROR(__xludf.DUMMYFUNCTION("""COMPUTED_VALUE"""),"TV Series 2015)")</f>
        <v>TV Series 2015)</v>
      </c>
    </row>
    <row r="652" spans="1:5" ht="13" x14ac:dyDescent="0.15">
      <c r="A652" s="5" t="s">
        <v>1191</v>
      </c>
      <c r="D652" t="str">
        <f ca="1">IFERROR(__xludf.DUMMYFUNCTION("split(A652,""("")"),"Cold Walls ")</f>
        <v xml:space="preserve">Cold Walls </v>
      </c>
      <c r="E652" t="str">
        <f ca="1">IFERROR(__xludf.DUMMYFUNCTION("""COMPUTED_VALUE"""),"TV Series 2017– )")</f>
        <v>TV Series 2017– )</v>
      </c>
    </row>
    <row r="653" spans="1:5" ht="13" x14ac:dyDescent="0.15">
      <c r="A653" s="5" t="s">
        <v>1192</v>
      </c>
      <c r="D653" t="str">
        <f ca="1">IFERROR(__xludf.DUMMYFUNCTION("split(A653,""("")"),"Colleen Ballinger ")</f>
        <v xml:space="preserve">Colleen Ballinger </v>
      </c>
      <c r="E653" t="str">
        <f ca="1">IFERROR(__xludf.DUMMYFUNCTION("""COMPUTED_VALUE"""),"TV Series 2006– )")</f>
        <v>TV Series 2006– )</v>
      </c>
    </row>
    <row r="654" spans="1:5" ht="13" x14ac:dyDescent="0.15">
      <c r="A654" s="5" t="s">
        <v>1193</v>
      </c>
      <c r="D654" t="str">
        <f ca="1">IFERROR(__xludf.DUMMYFUNCTION("split(A654,""("")"),"Colleen Vlogs ")</f>
        <v xml:space="preserve">Colleen Vlogs </v>
      </c>
      <c r="E654" t="str">
        <f ca="1">IFERROR(__xludf.DUMMYFUNCTION("""COMPUTED_VALUE"""),"TV Series 2014– )")</f>
        <v>TV Series 2014– )</v>
      </c>
    </row>
    <row r="655" spans="1:5" ht="13" x14ac:dyDescent="0.15">
      <c r="A655" s="5" t="s">
        <v>1194</v>
      </c>
      <c r="D655" t="str">
        <f ca="1">IFERROR(__xludf.DUMMYFUNCTION("split(A655,""("")"),"Collierville First Pentecostal Church ")</f>
        <v xml:space="preserve">Collierville First Pentecostal Church </v>
      </c>
      <c r="E655" t="str">
        <f ca="1">IFERROR(__xludf.DUMMYFUNCTION("""COMPUTED_VALUE"""),"TV Series 2014– )")</f>
        <v>TV Series 2014– )</v>
      </c>
    </row>
    <row r="656" spans="1:5" ht="13" x14ac:dyDescent="0.15">
      <c r="A656" s="5" t="s">
        <v>1195</v>
      </c>
      <c r="D656" t="str">
        <f ca="1">IFERROR(__xludf.DUMMYFUNCTION("split(A656,""("")"),"Colony ")</f>
        <v xml:space="preserve">Colony </v>
      </c>
      <c r="E656" t="str">
        <f ca="1">IFERROR(__xludf.DUMMYFUNCTION("""COMPUTED_VALUE"""),"TV Series 2016–2018)")</f>
        <v>TV Series 2016–2018)</v>
      </c>
    </row>
    <row r="657" spans="1:5" ht="13" x14ac:dyDescent="0.15">
      <c r="A657" s="5" t="s">
        <v>1196</v>
      </c>
      <c r="D657" t="str">
        <f ca="1">IFERROR(__xludf.DUMMYFUNCTION("split(A657,""("")"),"Colpo grosso ")</f>
        <v xml:space="preserve">Colpo grosso </v>
      </c>
      <c r="E657" t="str">
        <f ca="1">IFERROR(__xludf.DUMMYFUNCTION("""COMPUTED_VALUE"""),"TV Series 1987– )")</f>
        <v>TV Series 1987– )</v>
      </c>
    </row>
    <row r="658" spans="1:5" ht="13" x14ac:dyDescent="0.15">
      <c r="A658" s="5" t="s">
        <v>1197</v>
      </c>
      <c r="D658" t="str">
        <f ca="1">IFERROR(__xludf.DUMMYFUNCTION("split(A658,""("")"),"Combat Hospital ")</f>
        <v xml:space="preserve">Combat Hospital </v>
      </c>
      <c r="E658" t="str">
        <f ca="1">IFERROR(__xludf.DUMMYFUNCTION("""COMPUTED_VALUE"""),"TV Series 2011)")</f>
        <v>TV Series 2011)</v>
      </c>
    </row>
    <row r="659" spans="1:5" ht="13" x14ac:dyDescent="0.15">
      <c r="A659" s="5" t="s">
        <v>1198</v>
      </c>
      <c r="D659" t="str">
        <f ca="1">IFERROR(__xludf.DUMMYFUNCTION("split(A659,""("")"),"Come Home ")</f>
        <v xml:space="preserve">Come Home </v>
      </c>
      <c r="E659" t="str">
        <f ca="1">IFERROR(__xludf.DUMMYFUNCTION("""COMPUTED_VALUE"""),"TV Series 2018– )")</f>
        <v>TV Series 2018– )</v>
      </c>
    </row>
    <row r="660" spans="1:5" ht="13" x14ac:dyDescent="0.15">
      <c r="A660" s="5" t="s">
        <v>1199</v>
      </c>
      <c r="D660" t="str">
        <f ca="1">IFERROR(__xludf.DUMMYFUNCTION("split(A660,""("")"),"Comeback ")</f>
        <v xml:space="preserve">Comeback </v>
      </c>
      <c r="E660" t="str">
        <f ca="1">IFERROR(__xludf.DUMMYFUNCTION("""COMPUTED_VALUE"""),"TV Series 2008– )")</f>
        <v>TV Series 2008– )</v>
      </c>
    </row>
    <row r="661" spans="1:5" ht="13" x14ac:dyDescent="0.15">
      <c r="A661" s="5" t="s">
        <v>1200</v>
      </c>
      <c r="D661" t="str">
        <f ca="1">IFERROR(__xludf.DUMMYFUNCTION("split(A661,""("")"),"Comedy Central Presents ")</f>
        <v xml:space="preserve">Comedy Central Presents </v>
      </c>
      <c r="E661" t="str">
        <f ca="1">IFERROR(__xludf.DUMMYFUNCTION("""COMPUTED_VALUE"""),"TV Series 1998– )")</f>
        <v>TV Series 1998– )</v>
      </c>
    </row>
    <row r="662" spans="1:5" ht="13" x14ac:dyDescent="0.15">
      <c r="A662" s="5" t="s">
        <v>1201</v>
      </c>
      <c r="D662" t="str">
        <f ca="1">IFERROR(__xludf.DUMMYFUNCTION("split(A662,""("")"),"Comedy Inc. ")</f>
        <v xml:space="preserve">Comedy Inc. </v>
      </c>
      <c r="E662" t="str">
        <f ca="1">IFERROR(__xludf.DUMMYFUNCTION("""COMPUTED_VALUE"""),"TV Series 2002–2007)")</f>
        <v>TV Series 2002–2007)</v>
      </c>
    </row>
    <row r="663" spans="1:5" ht="13" x14ac:dyDescent="0.15">
      <c r="A663" s="5" t="s">
        <v>1202</v>
      </c>
      <c r="D663" t="str">
        <f ca="1">IFERROR(__xludf.DUMMYFUNCTION("split(A663,""("")"),"Comedy Now! ")</f>
        <v xml:space="preserve">Comedy Now! </v>
      </c>
      <c r="E663" t="str">
        <f ca="1">IFERROR(__xludf.DUMMYFUNCTION("""COMPUTED_VALUE"""),"TV Series 1997– )")</f>
        <v>TV Series 1997– )</v>
      </c>
    </row>
    <row r="664" spans="1:5" ht="13" x14ac:dyDescent="0.15">
      <c r="A664" s="5" t="s">
        <v>1203</v>
      </c>
      <c r="D664" t="str">
        <f ca="1">IFERROR(__xludf.DUMMYFUNCTION("split(A664,""("")"),"Commander in Chief ")</f>
        <v xml:space="preserve">Commander in Chief </v>
      </c>
      <c r="E664" t="str">
        <f ca="1">IFERROR(__xludf.DUMMYFUNCTION("""COMPUTED_VALUE"""),"TV Series 2005–2006)")</f>
        <v>TV Series 2005–2006)</v>
      </c>
    </row>
    <row r="665" spans="1:5" ht="13" x14ac:dyDescent="0.15">
      <c r="A665" s="5" t="s">
        <v>1204</v>
      </c>
      <c r="D665" t="str">
        <f ca="1">IFERROR(__xludf.DUMMYFUNCTION("split(A665,""("")"),"Community ")</f>
        <v xml:space="preserve">Community </v>
      </c>
      <c r="E665" t="str">
        <f ca="1">IFERROR(__xludf.DUMMYFUNCTION("""COMPUTED_VALUE"""),"TV Series 2009–2015)")</f>
        <v>TV Series 2009–2015)</v>
      </c>
    </row>
    <row r="666" spans="1:5" ht="13" x14ac:dyDescent="0.15">
      <c r="A666" s="5" t="s">
        <v>1205</v>
      </c>
      <c r="D666" t="str">
        <f ca="1">IFERROR(__xludf.DUMMYFUNCTION("split(A666,""("")"),"Compañeros ")</f>
        <v xml:space="preserve">Compañeros </v>
      </c>
      <c r="E666" t="str">
        <f ca="1">IFERROR(__xludf.DUMMYFUNCTION("""COMPUTED_VALUE"""),"TV Series 1998–2002)")</f>
        <v>TV Series 1998–2002)</v>
      </c>
    </row>
    <row r="667" spans="1:5" ht="13" x14ac:dyDescent="0.15">
      <c r="A667" s="5" t="s">
        <v>1206</v>
      </c>
      <c r="D667" t="str">
        <f ca="1">IFERROR(__xludf.DUMMYFUNCTION("split(A667,""("")"),"Cómplices al rescate ")</f>
        <v xml:space="preserve">Cómplices al rescate </v>
      </c>
      <c r="E667" t="str">
        <f ca="1">IFERROR(__xludf.DUMMYFUNCTION("""COMPUTED_VALUE"""),"TV Series 2002– )")</f>
        <v>TV Series 2002– )</v>
      </c>
    </row>
    <row r="668" spans="1:5" ht="13" x14ac:dyDescent="0.15">
      <c r="A668" s="5" t="s">
        <v>1207</v>
      </c>
      <c r="D668" t="str">
        <f ca="1">IFERROR(__xludf.DUMMYFUNCTION("split(A668,""("")"),"Computerman ")</f>
        <v xml:space="preserve">Computerman </v>
      </c>
      <c r="E668" t="str">
        <f ca="1">IFERROR(__xludf.DUMMYFUNCTION("""COMPUTED_VALUE"""),"TV Series 2003–2004)")</f>
        <v>TV Series 2003–2004)</v>
      </c>
    </row>
    <row r="669" spans="1:5" ht="13" x14ac:dyDescent="0.15">
      <c r="A669" s="5" t="s">
        <v>28</v>
      </c>
      <c r="D669" t="str">
        <f ca="1">IFERROR(__xludf.DUMMYFUNCTION("split(A669,""("")"),"Conan ")</f>
        <v xml:space="preserve">Conan </v>
      </c>
      <c r="E669" t="str">
        <f ca="1">IFERROR(__xludf.DUMMYFUNCTION("""COMPUTED_VALUE"""),"TV Series 1997–1998)")</f>
        <v>TV Series 1997–1998)</v>
      </c>
    </row>
    <row r="670" spans="1:5" ht="13" x14ac:dyDescent="0.15">
      <c r="A670" s="5" t="s">
        <v>29</v>
      </c>
      <c r="D670" t="str">
        <f ca="1">IFERROR(__xludf.DUMMYFUNCTION("split(A670,""("")"),"Conan: The Adventurer ")</f>
        <v xml:space="preserve">Conan: The Adventurer </v>
      </c>
      <c r="E670" t="str">
        <f ca="1">IFERROR(__xludf.DUMMYFUNCTION("""COMPUTED_VALUE"""),"TV Series 1992–1993)")</f>
        <v>TV Series 1992–1993)</v>
      </c>
    </row>
    <row r="671" spans="1:5" ht="13" x14ac:dyDescent="0.15">
      <c r="A671" s="5" t="s">
        <v>1208</v>
      </c>
      <c r="D671" t="str">
        <f ca="1">IFERROR(__xludf.DUMMYFUNCTION("split(A671,""("")"),"Confab ")</f>
        <v xml:space="preserve">Confab </v>
      </c>
      <c r="E671" t="str">
        <f ca="1">IFERROR(__xludf.DUMMYFUNCTION("""COMPUTED_VALUE"""),"TV Series 2012– )")</f>
        <v>TV Series 2012– )</v>
      </c>
    </row>
    <row r="672" spans="1:5" ht="13" x14ac:dyDescent="0.15">
      <c r="A672" s="5" t="s">
        <v>1209</v>
      </c>
      <c r="D672" t="str">
        <f ca="1">IFERROR(__xludf.DUMMYFUNCTION("split(A672,""("")"),"Connie &amp; Clyde ")</f>
        <v xml:space="preserve">Connie &amp; Clyde </v>
      </c>
      <c r="E672" t="str">
        <f ca="1">IFERROR(__xludf.DUMMYFUNCTION("""COMPUTED_VALUE"""),"TV Series 2013– )")</f>
        <v>TV Series 2013– )</v>
      </c>
    </row>
    <row r="673" spans="1:5" ht="13" x14ac:dyDescent="0.15">
      <c r="A673" s="5" t="s">
        <v>1210</v>
      </c>
      <c r="D673" t="str">
        <f ca="1">IFERROR(__xludf.DUMMYFUNCTION("split(A673,""("")"),"Connor Undercover ")</f>
        <v xml:space="preserve">Connor Undercover </v>
      </c>
      <c r="E673" t="str">
        <f ca="1">IFERROR(__xludf.DUMMYFUNCTION("""COMPUTED_VALUE"""),"TV Series 2009– )")</f>
        <v>TV Series 2009– )</v>
      </c>
    </row>
    <row r="674" spans="1:5" ht="13" x14ac:dyDescent="0.15">
      <c r="A674" s="5" t="s">
        <v>1211</v>
      </c>
      <c r="D674" t="str">
        <f ca="1">IFERROR(__xludf.DUMMYFUNCTION("split(A674,""("")"),"Conspiracy Theory with Jesse Ventura ")</f>
        <v xml:space="preserve">Conspiracy Theory with Jesse Ventura </v>
      </c>
      <c r="E674" t="str">
        <f ca="1">IFERROR(__xludf.DUMMYFUNCTION("""COMPUTED_VALUE"""),"TV Series 2009– )")</f>
        <v>TV Series 2009– )</v>
      </c>
    </row>
    <row r="675" spans="1:5" ht="13" x14ac:dyDescent="0.15">
      <c r="A675" s="5" t="s">
        <v>55</v>
      </c>
      <c r="D675" t="str">
        <f ca="1">IFERROR(__xludf.DUMMYFUNCTION("split(A675,""("")"),"Constantine ")</f>
        <v xml:space="preserve">Constantine </v>
      </c>
      <c r="E675" t="str">
        <f ca="1">IFERROR(__xludf.DUMMYFUNCTION("""COMPUTED_VALUE"""),"TV Series 2014–2015)")</f>
        <v>TV Series 2014–2015)</v>
      </c>
    </row>
    <row r="676" spans="1:5" ht="13" x14ac:dyDescent="0.15">
      <c r="A676" s="5" t="s">
        <v>1212</v>
      </c>
      <c r="D676" t="str">
        <f ca="1">IFERROR(__xludf.DUMMYFUNCTION("split(A676,""("")"),"Content Cop ")</f>
        <v xml:space="preserve">Content Cop </v>
      </c>
      <c r="E676" t="str">
        <f ca="1">IFERROR(__xludf.DUMMYFUNCTION("""COMPUTED_VALUE"""),"TV Series 2015– )")</f>
        <v>TV Series 2015– )</v>
      </c>
    </row>
    <row r="677" spans="1:5" ht="13" x14ac:dyDescent="0.15">
      <c r="A677" s="5" t="s">
        <v>1213</v>
      </c>
      <c r="D677" t="str">
        <f ca="1">IFERROR(__xludf.DUMMYFUNCTION("split(A677,""("")"),"Contessa ")</f>
        <v xml:space="preserve">Contessa </v>
      </c>
      <c r="E677" t="str">
        <f ca="1">IFERROR(__xludf.DUMMYFUNCTION("""COMPUTED_VALUE"""),"TV Series 2018– )")</f>
        <v>TV Series 2018– )</v>
      </c>
    </row>
    <row r="678" spans="1:5" ht="13" x14ac:dyDescent="0.15">
      <c r="A678" s="5" t="s">
        <v>1214</v>
      </c>
      <c r="D678" t="str">
        <f ca="1">IFERROR(__xludf.DUMMYFUNCTION("split(A678,""("")"),"Continuum ")</f>
        <v xml:space="preserve">Continuum </v>
      </c>
      <c r="E678" t="str">
        <f ca="1">IFERROR(__xludf.DUMMYFUNCTION("""COMPUTED_VALUE"""),"TV Series 2012–2015)")</f>
        <v>TV Series 2012–2015)</v>
      </c>
    </row>
    <row r="679" spans="1:5" ht="13" x14ac:dyDescent="0.15">
      <c r="A679" s="5" t="s">
        <v>1215</v>
      </c>
      <c r="D679" t="str">
        <f ca="1">IFERROR(__xludf.DUMMYFUNCTION("split(A679,""("")"),"CooRdy ")</f>
        <v xml:space="preserve">CooRdy </v>
      </c>
      <c r="E679" t="str">
        <f ca="1">IFERROR(__xludf.DUMMYFUNCTION("""COMPUTED_VALUE"""),"TV Series 2015– )")</f>
        <v>TV Series 2015– )</v>
      </c>
    </row>
    <row r="680" spans="1:5" ht="13" x14ac:dyDescent="0.15">
      <c r="A680" s="5" t="s">
        <v>1216</v>
      </c>
      <c r="D680" t="str">
        <f ca="1">IFERROR(__xludf.DUMMYFUNCTION("split(A680,""("")"),"Copper ")</f>
        <v xml:space="preserve">Copper </v>
      </c>
      <c r="E680" t="str">
        <f ca="1">IFERROR(__xludf.DUMMYFUNCTION("""COMPUTED_VALUE"""),"TV Series 2012–2013)")</f>
        <v>TV Series 2012–2013)</v>
      </c>
    </row>
    <row r="681" spans="1:5" ht="13" x14ac:dyDescent="0.15">
      <c r="A681" s="5" t="s">
        <v>1217</v>
      </c>
      <c r="D681" t="str">
        <f ca="1">IFERROR(__xludf.DUMMYFUNCTION("split(A681,""("")"),"Cops ")</f>
        <v xml:space="preserve">Cops </v>
      </c>
      <c r="E681" t="str">
        <f ca="1">IFERROR(__xludf.DUMMYFUNCTION("""COMPUTED_VALUE"""),"TV Series 1989– )")</f>
        <v>TV Series 1989– )</v>
      </c>
    </row>
    <row r="682" spans="1:5" ht="13" x14ac:dyDescent="0.15">
      <c r="A682" s="5" t="s">
        <v>550</v>
      </c>
      <c r="D682" t="str">
        <f ca="1">IFERROR(__xludf.DUMMYFUNCTION("split(A682,""("")"),"Cops UK: Bodycam Squad ")</f>
        <v xml:space="preserve">Cops UK: Bodycam Squad </v>
      </c>
      <c r="E682" t="str">
        <f ca="1">IFERROR(__xludf.DUMMYFUNCTION("""COMPUTED_VALUE"""),"TV Series 2016– )")</f>
        <v>TV Series 2016– )</v>
      </c>
    </row>
    <row r="683" spans="1:5" ht="13" x14ac:dyDescent="0.15">
      <c r="A683" s="5" t="s">
        <v>1218</v>
      </c>
      <c r="D683" t="str">
        <f ca="1">IFERROR(__xludf.DUMMYFUNCTION("split(A683,""("")"),"Copycat Killers ")</f>
        <v xml:space="preserve">Copycat Killers </v>
      </c>
      <c r="E683" t="str">
        <f ca="1">IFERROR(__xludf.DUMMYFUNCTION("""COMPUTED_VALUE"""),"TV Series 2016– )")</f>
        <v>TV Series 2016– )</v>
      </c>
    </row>
    <row r="684" spans="1:5" ht="13" x14ac:dyDescent="0.15">
      <c r="A684" s="5" t="s">
        <v>1219</v>
      </c>
      <c r="D684" t="str">
        <f ca="1">IFERROR(__xludf.DUMMYFUNCTION("split(A684,""("")"),"Cordon ")</f>
        <v xml:space="preserve">Cordon </v>
      </c>
      <c r="E684" t="str">
        <f ca="1">IFERROR(__xludf.DUMMYFUNCTION("""COMPUTED_VALUE"""),"TV Series 2014– )")</f>
        <v>TV Series 2014– )</v>
      </c>
    </row>
    <row r="685" spans="1:5" ht="13" x14ac:dyDescent="0.15">
      <c r="A685" s="5" t="s">
        <v>1220</v>
      </c>
      <c r="D685" t="str">
        <f ca="1">IFERROR(__xludf.DUMMYFUNCTION("split(A685,""("")"),"Corner Gas ")</f>
        <v xml:space="preserve">Corner Gas </v>
      </c>
      <c r="E685" t="str">
        <f ca="1">IFERROR(__xludf.DUMMYFUNCTION("""COMPUTED_VALUE"""),"TV Series 2004–2009)")</f>
        <v>TV Series 2004–2009)</v>
      </c>
    </row>
    <row r="686" spans="1:5" ht="13" x14ac:dyDescent="0.15">
      <c r="A686" s="5" t="s">
        <v>1221</v>
      </c>
      <c r="D686" t="str">
        <f ca="1">IFERROR(__xludf.DUMMYFUNCTION("split(A686,""("")"),"Corrupt Crimes ")</f>
        <v xml:space="preserve">Corrupt Crimes </v>
      </c>
      <c r="E686" t="str">
        <f ca="1">IFERROR(__xludf.DUMMYFUNCTION("""COMPUTED_VALUE"""),"TV Series 2015– )")</f>
        <v>TV Series 2015– )</v>
      </c>
    </row>
    <row r="687" spans="1:5" ht="13" x14ac:dyDescent="0.15">
      <c r="A687" s="5" t="s">
        <v>1222</v>
      </c>
      <c r="D687" t="str">
        <f ca="1">IFERROR(__xludf.DUMMYFUNCTION("split(A687,""("")"),"Costa del Dosh ")</f>
        <v xml:space="preserve">Costa del Dosh </v>
      </c>
      <c r="E687" t="str">
        <f ca="1">IFERROR(__xludf.DUMMYFUNCTION("""COMPUTED_VALUE"""),"TV Series 2002– )")</f>
        <v>TV Series 2002– )</v>
      </c>
    </row>
    <row r="688" spans="1:5" ht="13" x14ac:dyDescent="0.15">
      <c r="A688" s="5" t="s">
        <v>1223</v>
      </c>
      <c r="D688" t="str">
        <f ca="1">IFERROR(__xludf.DUMMYFUNCTION("split(A688,""("")"),"Count Arthur Strong ")</f>
        <v xml:space="preserve">Count Arthur Strong </v>
      </c>
      <c r="E688" t="str">
        <f ca="1">IFERROR(__xludf.DUMMYFUNCTION("""COMPUTED_VALUE"""),"TV Series 2013–2017)")</f>
        <v>TV Series 2013–2017)</v>
      </c>
    </row>
    <row r="689" spans="1:5" ht="13" x14ac:dyDescent="0.15">
      <c r="A689" s="5" t="s">
        <v>1224</v>
      </c>
      <c r="D689" t="str">
        <f ca="1">IFERROR(__xludf.DUMMYFUNCTION("split(A689,""("")"),"Count Duckula ")</f>
        <v xml:space="preserve">Count Duckula </v>
      </c>
      <c r="E689" t="str">
        <f ca="1">IFERROR(__xludf.DUMMYFUNCTION("""COMPUTED_VALUE"""),"TV Series 1988–1993)")</f>
        <v>TV Series 1988–1993)</v>
      </c>
    </row>
    <row r="690" spans="1:5" ht="13" x14ac:dyDescent="0.15">
      <c r="A690" s="5" t="s">
        <v>1225</v>
      </c>
      <c r="D690" t="str">
        <f ca="1">IFERROR(__xludf.DUMMYFUNCTION("split(A690,""("")"),"Countdown ")</f>
        <v xml:space="preserve">Countdown </v>
      </c>
      <c r="E690" t="str">
        <f ca="1">IFERROR(__xludf.DUMMYFUNCTION("""COMPUTED_VALUE"""),"TV Series 1982– )")</f>
        <v>TV Series 1982– )</v>
      </c>
    </row>
    <row r="691" spans="1:5" ht="13" x14ac:dyDescent="0.15">
      <c r="A691" s="5" t="s">
        <v>1226</v>
      </c>
      <c r="D691" t="str">
        <f ca="1">IFERROR(__xludf.DUMMYFUNCTION("split(A691,""("")"),"Countdown: Championship of Champions ")</f>
        <v xml:space="preserve">Countdown: Championship of Champions </v>
      </c>
      <c r="E691" t="str">
        <f ca="1">IFERROR(__xludf.DUMMYFUNCTION("""COMPUTED_VALUE"""),"TV Series 1984– )")</f>
        <v>TV Series 1984– )</v>
      </c>
    </row>
    <row r="692" spans="1:5" ht="13" x14ac:dyDescent="0.15">
      <c r="A692" s="5" t="s">
        <v>1227</v>
      </c>
      <c r="D692" t="str">
        <f ca="1">IFERROR(__xludf.DUMMYFUNCTION("split(A692,""("")"),"Counterfeit Cat ")</f>
        <v xml:space="preserve">Counterfeit Cat </v>
      </c>
      <c r="E692" t="str">
        <f ca="1">IFERROR(__xludf.DUMMYFUNCTION("""COMPUTED_VALUE"""),"TV Series 2016–2017)")</f>
        <v>TV Series 2016–2017)</v>
      </c>
    </row>
    <row r="693" spans="1:5" ht="13" x14ac:dyDescent="0.15">
      <c r="A693" s="5" t="s">
        <v>1228</v>
      </c>
      <c r="D693" t="str">
        <f ca="1">IFERROR(__xludf.DUMMYFUNCTION("split(A693,""("")"),"Counterpart ")</f>
        <v xml:space="preserve">Counterpart </v>
      </c>
      <c r="E693" t="str">
        <f ca="1">IFERROR(__xludf.DUMMYFUNCTION("""COMPUTED_VALUE"""),"TV Series 2017–2019)")</f>
        <v>TV Series 2017–2019)</v>
      </c>
    </row>
    <row r="694" spans="1:5" ht="13" x14ac:dyDescent="0.15">
      <c r="A694" s="5" t="s">
        <v>1229</v>
      </c>
      <c r="D694" t="str">
        <f ca="1">IFERROR(__xludf.DUMMYFUNCTION("split(A694,""("")"),"Coupled ")</f>
        <v xml:space="preserve">Coupled </v>
      </c>
      <c r="E694" t="str">
        <f ca="1">IFERROR(__xludf.DUMMYFUNCTION("""COMPUTED_VALUE"""),"TV Series 2016)")</f>
        <v>TV Series 2016)</v>
      </c>
    </row>
    <row r="695" spans="1:5" ht="13" x14ac:dyDescent="0.15">
      <c r="A695" s="5" t="s">
        <v>1230</v>
      </c>
      <c r="D695" t="str">
        <f ca="1">IFERROR(__xludf.DUMMYFUNCTION("split(A695,""("")"),"Couples Come Dine with Me ")</f>
        <v xml:space="preserve">Couples Come Dine with Me </v>
      </c>
      <c r="E695" t="str">
        <f ca="1">IFERROR(__xludf.DUMMYFUNCTION("""COMPUTED_VALUE"""),"TV Series 2014– )")</f>
        <v>TV Series 2014– )</v>
      </c>
    </row>
    <row r="696" spans="1:5" ht="13" x14ac:dyDescent="0.15">
      <c r="A696" s="5" t="s">
        <v>1231</v>
      </c>
      <c r="D696" t="str">
        <f ca="1">IFERROR(__xludf.DUMMYFUNCTION("split(A696,""("")"),"Coupling ")</f>
        <v xml:space="preserve">Coupling </v>
      </c>
      <c r="E696" t="str">
        <f ca="1">IFERROR(__xludf.DUMMYFUNCTION("""COMPUTED_VALUE"""),"TV Series 2000–2004)")</f>
        <v>TV Series 2000–2004)</v>
      </c>
    </row>
    <row r="697" spans="1:5" ht="13" x14ac:dyDescent="0.15">
      <c r="A697" s="5" t="s">
        <v>1232</v>
      </c>
      <c r="D697" t="str">
        <f ca="1">IFERROR(__xludf.DUMMYFUNCTION("split(A697,""("")"),"Courage the Cowardly Dog ")</f>
        <v xml:space="preserve">Courage the Cowardly Dog </v>
      </c>
      <c r="E697" t="str">
        <f ca="1">IFERROR(__xludf.DUMMYFUNCTION("""COMPUTED_VALUE"""),"TV Series 1999–2002)")</f>
        <v>TV Series 1999–2002)</v>
      </c>
    </row>
    <row r="698" spans="1:5" ht="13" x14ac:dyDescent="0.15">
      <c r="A698" s="5" t="s">
        <v>1233</v>
      </c>
      <c r="D698" t="str">
        <f ca="1">IFERROR(__xludf.DUMMYFUNCTION("split(A698,""("")"),"Covert Affairs ")</f>
        <v xml:space="preserve">Covert Affairs </v>
      </c>
      <c r="E698" t="str">
        <f ca="1">IFERROR(__xludf.DUMMYFUNCTION("""COMPUTED_VALUE"""),"TV Series 2010–2014)")</f>
        <v>TV Series 2010–2014)</v>
      </c>
    </row>
    <row r="699" spans="1:5" ht="13" x14ac:dyDescent="0.15">
      <c r="A699" s="5" t="s">
        <v>1234</v>
      </c>
      <c r="D699" t="str">
        <f ca="1">IFERROR(__xludf.DUMMYFUNCTION("split(A699,""("")"),"Cowboy Bebop ")</f>
        <v xml:space="preserve">Cowboy Bebop </v>
      </c>
      <c r="E699" t="str">
        <f ca="1">IFERROR(__xludf.DUMMYFUNCTION("""COMPUTED_VALUE"""),"TV Series 1998–1999)")</f>
        <v>TV Series 1998–1999)</v>
      </c>
    </row>
    <row r="700" spans="1:5" ht="13" x14ac:dyDescent="0.15">
      <c r="A700" s="5" t="s">
        <v>1235</v>
      </c>
      <c r="D700" t="str">
        <f ca="1">IFERROR(__xludf.DUMMYFUNCTION("split(A700,""("")"),"Cra$h &amp; Burn ")</f>
        <v xml:space="preserve">Cra$h &amp; Burn </v>
      </c>
      <c r="E700" t="str">
        <f ca="1">IFERROR(__xludf.DUMMYFUNCTION("""COMPUTED_VALUE"""),"TV Series 2009–2010)")</f>
        <v>TV Series 2009–2010)</v>
      </c>
    </row>
    <row r="701" spans="1:5" ht="13" x14ac:dyDescent="0.15">
      <c r="A701" s="5" t="s">
        <v>1236</v>
      </c>
      <c r="D701" t="str">
        <f ca="1">IFERROR(__xludf.DUMMYFUNCTION("split(A701,""("")"),"Cracker ")</f>
        <v xml:space="preserve">Cracker </v>
      </c>
      <c r="E701" t="str">
        <f ca="1">IFERROR(__xludf.DUMMYFUNCTION("""COMPUTED_VALUE"""),"TV Series 1993–1996)")</f>
        <v>TV Series 1993–1996)</v>
      </c>
    </row>
    <row r="702" spans="1:5" ht="13" x14ac:dyDescent="0.15">
      <c r="A702" s="5" t="s">
        <v>1237</v>
      </c>
      <c r="D702" t="str">
        <f ca="1">IFERROR(__xludf.DUMMYFUNCTION("split(A702,""("")"),"Craig of the Creek ")</f>
        <v xml:space="preserve">Craig of the Creek </v>
      </c>
      <c r="E702" t="str">
        <f ca="1">IFERROR(__xludf.DUMMYFUNCTION("""COMPUTED_VALUE"""),"TV Series 2018– )")</f>
        <v>TV Series 2018– )</v>
      </c>
    </row>
    <row r="703" spans="1:5" ht="13" x14ac:dyDescent="0.15">
      <c r="A703" s="5" t="s">
        <v>1238</v>
      </c>
      <c r="D703" t="str">
        <f ca="1">IFERROR(__xludf.DUMMYFUNCTION("split(A703,""("")"),"Crashing ")</f>
        <v xml:space="preserve">Crashing </v>
      </c>
      <c r="E703" t="str">
        <f ca="1">IFERROR(__xludf.DUMMYFUNCTION("""COMPUTED_VALUE"""),"TV Series 2017–2019)")</f>
        <v>TV Series 2017–2019)</v>
      </c>
    </row>
    <row r="704" spans="1:5" ht="13" x14ac:dyDescent="0.15">
      <c r="A704" s="5" t="s">
        <v>1239</v>
      </c>
      <c r="D704" t="str">
        <f ca="1">IFERROR(__xludf.DUMMYFUNCTION("split(A704,""("")"),"Craziest Restaurants in America ")</f>
        <v xml:space="preserve">Craziest Restaurants in America </v>
      </c>
      <c r="E704" t="str">
        <f ca="1">IFERROR(__xludf.DUMMYFUNCTION("""COMPUTED_VALUE"""),"TV Series 2015– )")</f>
        <v>TV Series 2015– )</v>
      </c>
    </row>
    <row r="705" spans="1:5" ht="13" x14ac:dyDescent="0.15">
      <c r="A705" s="5" t="s">
        <v>1240</v>
      </c>
      <c r="D705" t="str">
        <f ca="1">IFERROR(__xludf.DUMMYFUNCTION("split(A705,""("")"),"Crazy Ex-Girlfriend ")</f>
        <v xml:space="preserve">Crazy Ex-Girlfriend </v>
      </c>
      <c r="E705" t="str">
        <f ca="1">IFERROR(__xludf.DUMMYFUNCTION("""COMPUTED_VALUE"""),"TV Series 2015–2019)")</f>
        <v>TV Series 2015–2019)</v>
      </c>
    </row>
    <row r="706" spans="1:5" ht="13" x14ac:dyDescent="0.15">
      <c r="A706" s="5" t="s">
        <v>1241</v>
      </c>
      <c r="D706" t="str">
        <f ca="1">IFERROR(__xludf.DUMMYFUNCTION("split(A706,""("")"),"Creation Boot Camp ")</f>
        <v xml:space="preserve">Creation Boot Camp </v>
      </c>
      <c r="E706" t="str">
        <f ca="1">IFERROR(__xludf.DUMMYFUNCTION("""COMPUTED_VALUE"""),"TV Series 2005– )")</f>
        <v>TV Series 2005– )</v>
      </c>
    </row>
    <row r="707" spans="1:5" ht="13" x14ac:dyDescent="0.15">
      <c r="A707" s="5" t="s">
        <v>1242</v>
      </c>
      <c r="D707" t="str">
        <f ca="1">IFERROR(__xludf.DUMMYFUNCTION("split(A707,""("")"),"Creation Seminar ")</f>
        <v xml:space="preserve">Creation Seminar </v>
      </c>
      <c r="E707" t="str">
        <f ca="1">IFERROR(__xludf.DUMMYFUNCTION("""COMPUTED_VALUE"""),"TV Series 1999– )")</f>
        <v>TV Series 1999– )</v>
      </c>
    </row>
    <row r="708" spans="1:5" ht="13" x14ac:dyDescent="0.15">
      <c r="A708" s="5" t="s">
        <v>1243</v>
      </c>
      <c r="D708" t="str">
        <f ca="1">IFERROR(__xludf.DUMMYFUNCTION("split(A708,""("")"),"Creation Seminar ")</f>
        <v xml:space="preserve">Creation Seminar </v>
      </c>
      <c r="E708" t="str">
        <f ca="1">IFERROR(__xludf.DUMMYFUNCTION("""COMPUTED_VALUE"""),"TV Series 2005– )")</f>
        <v>TV Series 2005– )</v>
      </c>
    </row>
    <row r="709" spans="1:5" ht="13" x14ac:dyDescent="0.15">
      <c r="A709" s="5" t="s">
        <v>1244</v>
      </c>
      <c r="D709" t="str">
        <f ca="1">IFERROR(__xludf.DUMMYFUNCTION("split(A709,""("")"),"Creature Comforts ")</f>
        <v xml:space="preserve">Creature Comforts </v>
      </c>
      <c r="E709" t="str">
        <f ca="1">IFERROR(__xludf.DUMMYFUNCTION("""COMPUTED_VALUE"""),"TV Series 2003– )")</f>
        <v>TV Series 2003– )</v>
      </c>
    </row>
    <row r="710" spans="1:5" ht="13" x14ac:dyDescent="0.15">
      <c r="A710" s="5" t="s">
        <v>1245</v>
      </c>
      <c r="D710" t="str">
        <f ca="1">IFERROR(__xludf.DUMMYFUNCTION("split(A710,""("")"),"Creeped Out ")</f>
        <v xml:space="preserve">Creeped Out </v>
      </c>
      <c r="E710" t="str">
        <f ca="1">IFERROR(__xludf.DUMMYFUNCTION("""COMPUTED_VALUE"""),"TV Series 2017– )")</f>
        <v>TV Series 2017– )</v>
      </c>
    </row>
    <row r="711" spans="1:5" ht="13" x14ac:dyDescent="0.15">
      <c r="A711" s="5" t="s">
        <v>1246</v>
      </c>
      <c r="D711" t="str">
        <f ca="1">IFERROR(__xludf.DUMMYFUNCTION("split(A711,""("")"),"Crime 360 ")</f>
        <v xml:space="preserve">Crime 360 </v>
      </c>
      <c r="E711" t="str">
        <f ca="1">IFERROR(__xludf.DUMMYFUNCTION("""COMPUTED_VALUE"""),"TV Series 2008–2009)")</f>
        <v>TV Series 2008–2009)</v>
      </c>
    </row>
    <row r="712" spans="1:5" ht="13" x14ac:dyDescent="0.15">
      <c r="A712" s="5" t="s">
        <v>1247</v>
      </c>
      <c r="D712" t="str">
        <f ca="1">IFERROR(__xludf.DUMMYFUNCTION("split(A712,""("")"),"Crime Stories ")</f>
        <v xml:space="preserve">Crime Stories </v>
      </c>
      <c r="E712" t="str">
        <f ca="1">IFERROR(__xludf.DUMMYFUNCTION("""COMPUTED_VALUE"""),"TV Series 1998– )")</f>
        <v>TV Series 1998– )</v>
      </c>
    </row>
    <row r="713" spans="1:5" ht="13" x14ac:dyDescent="0.15">
      <c r="A713" s="5" t="s">
        <v>551</v>
      </c>
      <c r="D713" t="str">
        <f ca="1">IFERROR(__xludf.DUMMYFUNCTION("split(A713,""("")"),"Crime Stories ")</f>
        <v xml:space="preserve">Crime Stories </v>
      </c>
      <c r="E713" t="str">
        <f ca="1">IFERROR(__xludf.DUMMYFUNCTION("""COMPUTED_VALUE"""),"TV Series 2012– )")</f>
        <v>TV Series 2012– )</v>
      </c>
    </row>
    <row r="714" spans="1:5" ht="13" x14ac:dyDescent="0.15">
      <c r="A714" s="5" t="s">
        <v>1248</v>
      </c>
      <c r="D714" t="str">
        <f ca="1">IFERROR(__xludf.DUMMYFUNCTION("split(A714,""("")"),"Criminal Minds ")</f>
        <v xml:space="preserve">Criminal Minds </v>
      </c>
      <c r="E714" t="str">
        <f ca="1">IFERROR(__xludf.DUMMYFUNCTION("""COMPUTED_VALUE"""),"TV Series 2005– )")</f>
        <v>TV Series 2005– )</v>
      </c>
    </row>
    <row r="715" spans="1:5" ht="13" x14ac:dyDescent="0.15">
      <c r="A715" s="5" t="s">
        <v>552</v>
      </c>
      <c r="D715" t="str">
        <f ca="1">IFERROR(__xludf.DUMMYFUNCTION("split(A715,""("")"),"Criminal Minds: Beyond Borders ")</f>
        <v xml:space="preserve">Criminal Minds: Beyond Borders </v>
      </c>
      <c r="E715" t="str">
        <f ca="1">IFERROR(__xludf.DUMMYFUNCTION("""COMPUTED_VALUE"""),"TV Series 2016–2017)")</f>
        <v>TV Series 2016–2017)</v>
      </c>
    </row>
    <row r="716" spans="1:5" ht="13" x14ac:dyDescent="0.15">
      <c r="A716" s="5" t="s">
        <v>553</v>
      </c>
      <c r="D716" t="str">
        <f ca="1">IFERROR(__xludf.DUMMYFUNCTION("split(A716,""("")"),"Criminal Minds: Suspect Behavior ")</f>
        <v xml:space="preserve">Criminal Minds: Suspect Behavior </v>
      </c>
      <c r="E716" t="str">
        <f ca="1">IFERROR(__xludf.DUMMYFUNCTION("""COMPUTED_VALUE"""),"TV Series 2011)")</f>
        <v>TV Series 2011)</v>
      </c>
    </row>
    <row r="717" spans="1:5" ht="13" x14ac:dyDescent="0.15">
      <c r="A717" s="5" t="s">
        <v>1249</v>
      </c>
      <c r="D717" t="str">
        <f ca="1">IFERROR(__xludf.DUMMYFUNCTION("split(A717,""("")"),"Criminals: Caught on Camera ")</f>
        <v xml:space="preserve">Criminals: Caught on Camera </v>
      </c>
      <c r="E717" t="str">
        <f ca="1">IFERROR(__xludf.DUMMYFUNCTION("""COMPUTED_VALUE"""),"TV Series 2013–2015)")</f>
        <v>TV Series 2013–2015)</v>
      </c>
    </row>
    <row r="718" spans="1:5" ht="13" x14ac:dyDescent="0.15">
      <c r="A718" s="5" t="s">
        <v>1250</v>
      </c>
      <c r="D718" t="str">
        <f ca="1">IFERROR(__xludf.DUMMYFUNCTION("split(A718,""("")"),"Crisis ")</f>
        <v xml:space="preserve">Crisis </v>
      </c>
      <c r="E718" t="str">
        <f ca="1">IFERROR(__xludf.DUMMYFUNCTION("""COMPUTED_VALUE"""),"TV Series 2014)")</f>
        <v>TV Series 2014)</v>
      </c>
    </row>
    <row r="719" spans="1:5" ht="13" x14ac:dyDescent="0.15">
      <c r="A719" s="5" t="s">
        <v>1251</v>
      </c>
      <c r="D719" t="str">
        <f ca="1">IFERROR(__xludf.DUMMYFUNCTION("split(A719,""("")"),"Cro ")</f>
        <v xml:space="preserve">Cro </v>
      </c>
      <c r="E719" t="str">
        <f ca="1">IFERROR(__xludf.DUMMYFUNCTION("""COMPUTED_VALUE"""),"TV Series 1993– )")</f>
        <v>TV Series 1993– )</v>
      </c>
    </row>
    <row r="720" spans="1:5" ht="13" x14ac:dyDescent="0.15">
      <c r="A720" s="5" t="s">
        <v>1252</v>
      </c>
      <c r="D720" t="str">
        <f ca="1">IFERROR(__xludf.DUMMYFUNCTION("split(A720,""("")"),"Crossing Jordan ")</f>
        <v xml:space="preserve">Crossing Jordan </v>
      </c>
      <c r="E720" t="str">
        <f ca="1">IFERROR(__xludf.DUMMYFUNCTION("""COMPUTED_VALUE"""),"TV Series 2001–2007)")</f>
        <v>TV Series 2001–2007)</v>
      </c>
    </row>
    <row r="721" spans="1:5" ht="13" x14ac:dyDescent="0.15">
      <c r="A721" s="5" t="s">
        <v>1253</v>
      </c>
      <c r="D721" t="str">
        <f ca="1">IFERROR(__xludf.DUMMYFUNCTION("split(A721,""("")"),"Crossing Lines ")</f>
        <v xml:space="preserve">Crossing Lines </v>
      </c>
      <c r="E721" t="str">
        <f ca="1">IFERROR(__xludf.DUMMYFUNCTION("""COMPUTED_VALUE"""),"TV Series 2013–2015)")</f>
        <v>TV Series 2013–2015)</v>
      </c>
    </row>
    <row r="722" spans="1:5" ht="13" x14ac:dyDescent="0.15">
      <c r="A722" s="5" t="s">
        <v>1254</v>
      </c>
      <c r="D722" t="str">
        <f ca="1">IFERROR(__xludf.DUMMYFUNCTION("split(A722,""("")"),"Cruising with Jane McDonald ")</f>
        <v xml:space="preserve">Cruising with Jane McDonald </v>
      </c>
      <c r="E722" t="str">
        <f ca="1">IFERROR(__xludf.DUMMYFUNCTION("""COMPUTED_VALUE"""),"TV Series 2017– )")</f>
        <v>TV Series 2017– )</v>
      </c>
    </row>
    <row r="723" spans="1:5" ht="13" x14ac:dyDescent="0.15">
      <c r="A723" s="5" t="s">
        <v>1255</v>
      </c>
      <c r="D723" t="str">
        <f ca="1">IFERROR(__xludf.DUMMYFUNCTION("split(A723,""("")"),"Crusoe ")</f>
        <v xml:space="preserve">Crusoe </v>
      </c>
      <c r="E723" t="str">
        <f ca="1">IFERROR(__xludf.DUMMYFUNCTION("""COMPUTED_VALUE"""),"TV Series 2008–2009)")</f>
        <v>TV Series 2008–2009)</v>
      </c>
    </row>
    <row r="724" spans="1:5" ht="13" x14ac:dyDescent="0.15">
      <c r="A724" s="5" t="s">
        <v>1256</v>
      </c>
      <c r="D724" t="str">
        <f ca="1">IFERROR(__xludf.DUMMYFUNCTION("split(A724,""("")"),"CSE Bible Studies ")</f>
        <v xml:space="preserve">CSE Bible Studies </v>
      </c>
      <c r="E724" t="str">
        <f ca="1">IFERROR(__xludf.DUMMYFUNCTION("""COMPUTED_VALUE"""),"TV Series 2016– )")</f>
        <v>TV Series 2016– )</v>
      </c>
    </row>
    <row r="725" spans="1:5" ht="13" x14ac:dyDescent="0.15">
      <c r="A725" s="5" t="s">
        <v>266</v>
      </c>
      <c r="D725" t="str">
        <f ca="1">IFERROR(__xludf.DUMMYFUNCTION("split(A725,""("")"),"CSI: Crime Scene Investigation ")</f>
        <v xml:space="preserve">CSI: Crime Scene Investigation </v>
      </c>
      <c r="E725" t="str">
        <f ca="1">IFERROR(__xludf.DUMMYFUNCTION("""COMPUTED_VALUE"""),"TV Series 2000–2015)")</f>
        <v>TV Series 2000–2015)</v>
      </c>
    </row>
    <row r="726" spans="1:5" ht="13" x14ac:dyDescent="0.15">
      <c r="A726" s="5" t="s">
        <v>554</v>
      </c>
      <c r="D726" t="str">
        <f ca="1">IFERROR(__xludf.DUMMYFUNCTION("split(A726,""("")"),"CSI: Cyber ")</f>
        <v xml:space="preserve">CSI: Cyber </v>
      </c>
      <c r="E726" t="str">
        <f ca="1">IFERROR(__xludf.DUMMYFUNCTION("""COMPUTED_VALUE"""),"TV Series 2015–2016)")</f>
        <v>TV Series 2015–2016)</v>
      </c>
    </row>
    <row r="727" spans="1:5" ht="13" x14ac:dyDescent="0.15">
      <c r="A727" s="5" t="s">
        <v>555</v>
      </c>
      <c r="D727" t="str">
        <f ca="1">IFERROR(__xludf.DUMMYFUNCTION("split(A727,""("")"),"CSI: Miami ")</f>
        <v xml:space="preserve">CSI: Miami </v>
      </c>
      <c r="E727" t="str">
        <f ca="1">IFERROR(__xludf.DUMMYFUNCTION("""COMPUTED_VALUE"""),"TV Series 2002–2012)")</f>
        <v>TV Series 2002–2012)</v>
      </c>
    </row>
    <row r="728" spans="1:5" ht="13" x14ac:dyDescent="0.15">
      <c r="A728" s="5" t="s">
        <v>556</v>
      </c>
      <c r="D728" t="str">
        <f ca="1">IFERROR(__xludf.DUMMYFUNCTION("split(A728,""("")"),"CSI: NY ")</f>
        <v xml:space="preserve">CSI: NY </v>
      </c>
      <c r="E728" t="str">
        <f ca="1">IFERROR(__xludf.DUMMYFUNCTION("""COMPUTED_VALUE"""),"TV Series 2004–2013)")</f>
        <v>TV Series 2004–2013)</v>
      </c>
    </row>
    <row r="729" spans="1:5" ht="13" x14ac:dyDescent="0.15">
      <c r="A729" s="5" t="s">
        <v>1257</v>
      </c>
      <c r="D729" t="str">
        <f ca="1">IFERROR(__xludf.DUMMYFUNCTION("split(A729,""("")"),"Cuckoo ")</f>
        <v xml:space="preserve">Cuckoo </v>
      </c>
      <c r="E729" t="str">
        <f ca="1">IFERROR(__xludf.DUMMYFUNCTION("""COMPUTED_VALUE"""),"TV Series 2012– )")</f>
        <v>TV Series 2012– )</v>
      </c>
    </row>
    <row r="730" spans="1:5" ht="13" x14ac:dyDescent="0.15">
      <c r="A730" s="5" t="s">
        <v>1258</v>
      </c>
      <c r="D730" t="str">
        <f ca="1">IFERROR(__xludf.DUMMYFUNCTION("split(A730,""("")"),"Cupcake Wars ")</f>
        <v xml:space="preserve">Cupcake Wars </v>
      </c>
      <c r="E730" t="str">
        <f ca="1">IFERROR(__xludf.DUMMYFUNCTION("""COMPUTED_VALUE"""),"TV Series 2009– )")</f>
        <v>TV Series 2009– )</v>
      </c>
    </row>
    <row r="731" spans="1:5" ht="13" x14ac:dyDescent="0.15">
      <c r="A731" s="5" t="s">
        <v>310</v>
      </c>
      <c r="D731" t="str">
        <f ca="1">IFERROR(__xludf.DUMMYFUNCTION("split(A731,""("")"),"Curb Your Enthusiasm ")</f>
        <v xml:space="preserve">Curb Your Enthusiasm </v>
      </c>
      <c r="E731" t="str">
        <f ca="1">IFERROR(__xludf.DUMMYFUNCTION("""COMPUTED_VALUE"""),"TV Series 2000– )")</f>
        <v>TV Series 2000– )</v>
      </c>
    </row>
    <row r="732" spans="1:5" ht="13" x14ac:dyDescent="0.15">
      <c r="A732" s="5" t="s">
        <v>1259</v>
      </c>
      <c r="D732" t="str">
        <f ca="1">IFERROR(__xludf.DUMMYFUNCTION("split(A732,""("")"),"Curfew ")</f>
        <v xml:space="preserve">Curfew </v>
      </c>
      <c r="E732" t="str">
        <f ca="1">IFERROR(__xludf.DUMMYFUNCTION("""COMPUTED_VALUE"""),"TV Series 2019– )")</f>
        <v>TV Series 2019– )</v>
      </c>
    </row>
    <row r="733" spans="1:5" ht="13" x14ac:dyDescent="0.15">
      <c r="A733" s="5" t="s">
        <v>1260</v>
      </c>
      <c r="D733" t="str">
        <f ca="1">IFERROR(__xludf.DUMMYFUNCTION("split(A733,""("")"),"Curiosity ")</f>
        <v xml:space="preserve">Curiosity </v>
      </c>
      <c r="E733" t="str">
        <f ca="1">IFERROR(__xludf.DUMMYFUNCTION("""COMPUTED_VALUE"""),"TV Series 2011– )")</f>
        <v>TV Series 2011– )</v>
      </c>
    </row>
    <row r="734" spans="1:5" ht="13" x14ac:dyDescent="0.15">
      <c r="A734" s="5" t="s">
        <v>1261</v>
      </c>
      <c r="D734" t="str">
        <f ca="1">IFERROR(__xludf.DUMMYFUNCTION("split(A734,""("")"),"Curious and Unusual Deaths ")</f>
        <v xml:space="preserve">Curious and Unusual Deaths </v>
      </c>
      <c r="E734" t="str">
        <f ca="1">IFERROR(__xludf.DUMMYFUNCTION("""COMPUTED_VALUE"""),"TV Series 2009– )")</f>
        <v>TV Series 2009– )</v>
      </c>
    </row>
    <row r="735" spans="1:5" ht="13" x14ac:dyDescent="0.15">
      <c r="A735" s="5" t="s">
        <v>56</v>
      </c>
      <c r="D735" t="str">
        <f ca="1">IFERROR(__xludf.DUMMYFUNCTION("split(A735,""("")"),"Curious George ")</f>
        <v xml:space="preserve">Curious George </v>
      </c>
      <c r="E735" t="str">
        <f ca="1">IFERROR(__xludf.DUMMYFUNCTION("""COMPUTED_VALUE"""),"TV Series 2006–2015)")</f>
        <v>TV Series 2006–2015)</v>
      </c>
    </row>
    <row r="736" spans="1:5" ht="13" x14ac:dyDescent="0.15">
      <c r="A736" s="5" t="s">
        <v>1262</v>
      </c>
      <c r="D736" t="str">
        <f ca="1">IFERROR(__xludf.DUMMYFUNCTION("split(A736,""("")"),"Curl Girls ")</f>
        <v xml:space="preserve">Curl Girls </v>
      </c>
      <c r="E736" t="str">
        <f ca="1">IFERROR(__xludf.DUMMYFUNCTION("""COMPUTED_VALUE"""),"TV Series 2007– )")</f>
        <v>TV Series 2007– )</v>
      </c>
    </row>
    <row r="737" spans="1:5" ht="13" x14ac:dyDescent="0.15">
      <c r="A737" s="5" t="s">
        <v>1263</v>
      </c>
      <c r="D737" t="str">
        <f ca="1">IFERROR(__xludf.DUMMYFUNCTION("split(A737,""("")"),"Cutebunny992 ASMR ")</f>
        <v xml:space="preserve">Cutebunny992 ASMR </v>
      </c>
      <c r="E737" t="str">
        <f ca="1">IFERROR(__xludf.DUMMYFUNCTION("""COMPUTED_VALUE"""),"TV Series 2014– )")</f>
        <v>TV Series 2014– )</v>
      </c>
    </row>
    <row r="738" spans="1:5" ht="13" x14ac:dyDescent="0.15">
      <c r="A738" s="5" t="s">
        <v>1264</v>
      </c>
      <c r="D738" t="str">
        <f ca="1">IFERROR(__xludf.DUMMYFUNCTION("split(A738,""("")"),"Cutting It ")</f>
        <v xml:space="preserve">Cutting It </v>
      </c>
      <c r="E738" t="str">
        <f ca="1">IFERROR(__xludf.DUMMYFUNCTION("""COMPUTED_VALUE"""),"TV Series 2002–2005)")</f>
        <v>TV Series 2002–2005)</v>
      </c>
    </row>
    <row r="739" spans="1:5" ht="13" x14ac:dyDescent="0.15">
      <c r="A739" s="5" t="s">
        <v>1265</v>
      </c>
      <c r="D739" t="str">
        <f ca="1">IFERROR(__xludf.DUMMYFUNCTION("split(A739,""("")"),"Cyber Secrets ")</f>
        <v xml:space="preserve">Cyber Secrets </v>
      </c>
      <c r="E739" t="str">
        <f ca="1">IFERROR(__xludf.DUMMYFUNCTION("""COMPUTED_VALUE"""),"TV Series 2013– )")</f>
        <v>TV Series 2013– )</v>
      </c>
    </row>
    <row r="740" spans="1:5" ht="13" x14ac:dyDescent="0.15">
      <c r="A740" s="5" t="s">
        <v>1266</v>
      </c>
      <c r="D740" t="str">
        <f ca="1">IFERROR(__xludf.DUMMYFUNCTION("split(A740,""("")"),"Cyberchase ")</f>
        <v xml:space="preserve">Cyberchase </v>
      </c>
      <c r="E740" t="str">
        <f ca="1">IFERROR(__xludf.DUMMYFUNCTION("""COMPUTED_VALUE"""),"TV Series 2002– )")</f>
        <v>TV Series 2002– )</v>
      </c>
    </row>
    <row r="741" spans="1:5" ht="13" x14ac:dyDescent="0.15">
      <c r="A741" s="5" t="s">
        <v>1267</v>
      </c>
      <c r="D741" t="str">
        <f ca="1">IFERROR(__xludf.DUMMYFUNCTION("split(A741,""("")"),"Cybill ")</f>
        <v xml:space="preserve">Cybill </v>
      </c>
      <c r="E741" t="str">
        <f ca="1">IFERROR(__xludf.DUMMYFUNCTION("""COMPUTED_VALUE"""),"TV Series 1995–1998)")</f>
        <v>TV Series 1995–1998)</v>
      </c>
    </row>
    <row r="742" spans="1:5" ht="13" x14ac:dyDescent="0.15">
      <c r="A742" s="5" t="s">
        <v>1268</v>
      </c>
      <c r="D742" t="str">
        <f ca="1">IFERROR(__xludf.DUMMYFUNCTION("split(A742,""("")"),"Da Vinci's Demons ")</f>
        <v xml:space="preserve">Da Vinci's Demons </v>
      </c>
      <c r="E742" t="str">
        <f ca="1">IFERROR(__xludf.DUMMYFUNCTION("""COMPUTED_VALUE"""),"TV Series 2013–2015)")</f>
        <v>TV Series 2013–2015)</v>
      </c>
    </row>
    <row r="743" spans="1:5" ht="13" x14ac:dyDescent="0.15">
      <c r="A743" s="5" t="s">
        <v>1269</v>
      </c>
      <c r="D743" t="str">
        <f ca="1">IFERROR(__xludf.DUMMYFUNCTION("split(A743,""("")"),"Dabing Street ")</f>
        <v xml:space="preserve">Dabing Street </v>
      </c>
      <c r="E743" t="str">
        <f ca="1">IFERROR(__xludf.DUMMYFUNCTION("""COMPUTED_VALUE"""),"TV Series 2017– )")</f>
        <v>TV Series 2017– )</v>
      </c>
    </row>
    <row r="744" spans="1:5" ht="13" x14ac:dyDescent="0.15">
      <c r="A744" s="7" t="s">
        <v>1270</v>
      </c>
      <c r="D744" t="str">
        <f ca="1">IFERROR(__xludf.DUMMYFUNCTION("split(A744,""("")"),"Dallas Cowboys Cheerleaders: Making the Team ")</f>
        <v xml:space="preserve">Dallas Cowboys Cheerleaders: Making the Team </v>
      </c>
      <c r="E744" t="str">
        <f ca="1">IFERROR(__xludf.DUMMYFUNCTION("""COMPUTED_VALUE"""),"TV Series 2006– )")</f>
        <v>TV Series 2006– )</v>
      </c>
    </row>
    <row r="745" spans="1:5" ht="13" x14ac:dyDescent="0.15">
      <c r="A745" s="5" t="s">
        <v>1271</v>
      </c>
      <c r="D745" t="str">
        <f ca="1">IFERROR(__xludf.DUMMYFUNCTION("split(A745,""("")"),"Dalziel and Pascoe ")</f>
        <v xml:space="preserve">Dalziel and Pascoe </v>
      </c>
      <c r="E745" t="str">
        <f ca="1">IFERROR(__xludf.DUMMYFUNCTION("""COMPUTED_VALUE"""),"TV Series 1996–2007)")</f>
        <v>TV Series 1996–2007)</v>
      </c>
    </row>
    <row r="746" spans="1:5" ht="13" x14ac:dyDescent="0.15">
      <c r="A746" s="5" t="s">
        <v>1272</v>
      </c>
      <c r="D746" t="str">
        <f ca="1">IFERROR(__xludf.DUMMYFUNCTION("split(A746,""("")"),"Dáma a Král ")</f>
        <v xml:space="preserve">Dáma a Král </v>
      </c>
      <c r="E746" t="str">
        <f ca="1">IFERROR(__xludf.DUMMYFUNCTION("""COMPUTED_VALUE"""),"TV Series 2017– )")</f>
        <v>TV Series 2017– )</v>
      </c>
    </row>
    <row r="747" spans="1:5" ht="13" x14ac:dyDescent="0.15">
      <c r="A747" s="5" t="s">
        <v>1273</v>
      </c>
      <c r="D747" t="str">
        <f ca="1">IFERROR(__xludf.DUMMYFUNCTION("split(A747,""("")"),"Damnation ")</f>
        <v xml:space="preserve">Damnation </v>
      </c>
      <c r="E747" t="str">
        <f ca="1">IFERROR(__xludf.DUMMYFUNCTION("""COMPUTED_VALUE"""),"TV Series 2017–2018)")</f>
        <v>TV Series 2017–2018)</v>
      </c>
    </row>
    <row r="748" spans="1:5" ht="13" x14ac:dyDescent="0.15">
      <c r="A748" s="5" t="s">
        <v>1274</v>
      </c>
      <c r="D748" t="str">
        <f ca="1">IFERROR(__xludf.DUMMYFUNCTION("split(A748,""("")"),"Dance Academy ")</f>
        <v xml:space="preserve">Dance Academy </v>
      </c>
      <c r="E748" t="str">
        <f ca="1">IFERROR(__xludf.DUMMYFUNCTION("""COMPUTED_VALUE"""),"TV Series 2010–2013)")</f>
        <v>TV Series 2010–2013)</v>
      </c>
    </row>
    <row r="749" spans="1:5" ht="13" x14ac:dyDescent="0.15">
      <c r="A749" s="5" t="s">
        <v>1275</v>
      </c>
      <c r="D749" t="str">
        <f ca="1">IFERROR(__xludf.DUMMYFUNCTION("split(A749,""("")"),"Dance Moms ")</f>
        <v xml:space="preserve">Dance Moms </v>
      </c>
      <c r="E749" t="str">
        <f ca="1">IFERROR(__xludf.DUMMYFUNCTION("""COMPUTED_VALUE"""),"TV Series 2011– )")</f>
        <v>TV Series 2011– )</v>
      </c>
    </row>
    <row r="750" spans="1:5" ht="13" x14ac:dyDescent="0.15">
      <c r="A750" s="5" t="s">
        <v>1276</v>
      </c>
      <c r="D750" t="str">
        <f ca="1">IFERROR(__xludf.DUMMYFUNCTION("split(A750,""("")"),"Dancing with the Stars ")</f>
        <v xml:space="preserve">Dancing with the Stars </v>
      </c>
      <c r="E750" t="str">
        <f ca="1">IFERROR(__xludf.DUMMYFUNCTION("""COMPUTED_VALUE"""),"TV Series 2005– )")</f>
        <v>TV Series 2005– )</v>
      </c>
    </row>
    <row r="751" spans="1:5" ht="13" x14ac:dyDescent="0.15">
      <c r="A751" s="5" t="s">
        <v>1277</v>
      </c>
      <c r="D751" t="str">
        <f ca="1">IFERROR(__xludf.DUMMYFUNCTION("split(A751,""("")"),"Danger Mouse ")</f>
        <v xml:space="preserve">Danger Mouse </v>
      </c>
      <c r="E751" t="str">
        <f ca="1">IFERROR(__xludf.DUMMYFUNCTION("""COMPUTED_VALUE"""),"TV Series 1981–1992)")</f>
        <v>TV Series 1981–1992)</v>
      </c>
    </row>
    <row r="752" spans="1:5" ht="13" x14ac:dyDescent="0.15">
      <c r="A752" s="5" t="s">
        <v>557</v>
      </c>
      <c r="D752" t="str">
        <f ca="1">IFERROR(__xludf.DUMMYFUNCTION("split(A752,""("")"),"Danger Mouse ")</f>
        <v xml:space="preserve">Danger Mouse </v>
      </c>
      <c r="E752" t="str">
        <f ca="1">IFERROR(__xludf.DUMMYFUNCTION("""COMPUTED_VALUE"""),"TV Series 2015– )")</f>
        <v>TV Series 2015– )</v>
      </c>
    </row>
    <row r="753" spans="1:5" ht="13" x14ac:dyDescent="0.15">
      <c r="A753" s="5" t="s">
        <v>1278</v>
      </c>
      <c r="D753" t="str">
        <f ca="1">IFERROR(__xludf.DUMMYFUNCTION("split(A753,""("")"),"Dangerfield ")</f>
        <v xml:space="preserve">Dangerfield </v>
      </c>
      <c r="E753" t="str">
        <f ca="1">IFERROR(__xludf.DUMMYFUNCTION("""COMPUTED_VALUE"""),"TV Series 1995–1999)")</f>
        <v>TV Series 1995–1999)</v>
      </c>
    </row>
    <row r="754" spans="1:5" ht="13" x14ac:dyDescent="0.15">
      <c r="A754" s="5" t="s">
        <v>1279</v>
      </c>
      <c r="D754" t="str">
        <f ca="1">IFERROR(__xludf.DUMMYFUNCTION("split(A754,""("")"),"Daniel Tiger's Neighborhood ")</f>
        <v xml:space="preserve">Daniel Tiger's Neighborhood </v>
      </c>
      <c r="E754" t="str">
        <f ca="1">IFERROR(__xludf.DUMMYFUNCTION("""COMPUTED_VALUE"""),"TV Series 2012– )")</f>
        <v>TV Series 2012– )</v>
      </c>
    </row>
    <row r="755" spans="1:5" ht="13" x14ac:dyDescent="0.15">
      <c r="A755" s="5" t="s">
        <v>1280</v>
      </c>
      <c r="D755" t="str">
        <f ca="1">IFERROR(__xludf.DUMMYFUNCTION("split(A755,""("")"),"Daniel Xavier ")</f>
        <v xml:space="preserve">Daniel Xavier </v>
      </c>
      <c r="E755" t="str">
        <f ca="1">IFERROR(__xludf.DUMMYFUNCTION("""COMPUTED_VALUE"""),"TV Series 2016– )")</f>
        <v>TV Series 2016– )</v>
      </c>
    </row>
    <row r="756" spans="1:5" ht="13" x14ac:dyDescent="0.15">
      <c r="A756" s="5" t="s">
        <v>1281</v>
      </c>
      <c r="D756" t="str">
        <f ca="1">IFERROR(__xludf.DUMMYFUNCTION("split(A756,""("")"),"Danny Phantom ")</f>
        <v xml:space="preserve">Danny Phantom </v>
      </c>
      <c r="E756" t="str">
        <f ca="1">IFERROR(__xludf.DUMMYFUNCTION("""COMPUTED_VALUE"""),"TV Series 2004–2007)")</f>
        <v>TV Series 2004–2007)</v>
      </c>
    </row>
    <row r="757" spans="1:5" ht="13" x14ac:dyDescent="0.15">
      <c r="A757" s="5" t="s">
        <v>1282</v>
      </c>
      <c r="D757" t="str">
        <f ca="1">IFERROR(__xludf.DUMMYFUNCTION("split(A757,""("")"),"Dante's Cove ")</f>
        <v xml:space="preserve">Dante's Cove </v>
      </c>
      <c r="E757" t="str">
        <f ca="1">IFERROR(__xludf.DUMMYFUNCTION("""COMPUTED_VALUE"""),"TV Series 2004– )")</f>
        <v>TV Series 2004– )</v>
      </c>
    </row>
    <row r="758" spans="1:5" ht="13" x14ac:dyDescent="0.15">
      <c r="A758" s="5" t="s">
        <v>1283</v>
      </c>
      <c r="D758" t="str">
        <f ca="1">IFERROR(__xludf.DUMMYFUNCTION("split(A758,""("")"),"Dara O Briain: School of Hard Sums ")</f>
        <v xml:space="preserve">Dara O Briain: School of Hard Sums </v>
      </c>
      <c r="E758" t="str">
        <f ca="1">IFERROR(__xludf.DUMMYFUNCTION("""COMPUTED_VALUE"""),"TV Series 2012– )")</f>
        <v>TV Series 2012– )</v>
      </c>
    </row>
    <row r="759" spans="1:5" ht="13" x14ac:dyDescent="0.15">
      <c r="A759" s="5" t="s">
        <v>397</v>
      </c>
      <c r="D759" t="str">
        <f ca="1">IFERROR(__xludf.DUMMYFUNCTION("split(A759,""("")"),"Daredevil ")</f>
        <v xml:space="preserve">Daredevil </v>
      </c>
      <c r="E759" t="str">
        <f ca="1">IFERROR(__xludf.DUMMYFUNCTION("""COMPUTED_VALUE"""),"TV Series 2015–2018)")</f>
        <v>TV Series 2015–2018)</v>
      </c>
    </row>
    <row r="760" spans="1:5" ht="13" x14ac:dyDescent="0.15">
      <c r="A760" s="5" t="s">
        <v>1284</v>
      </c>
      <c r="D760" t="str">
        <f ca="1">IFERROR(__xludf.DUMMYFUNCTION("split(A760,""("")"),"Daria ")</f>
        <v xml:space="preserve">Daria </v>
      </c>
      <c r="E760" t="str">
        <f ca="1">IFERROR(__xludf.DUMMYFUNCTION("""COMPUTED_VALUE"""),"TV Series 1997–2001)")</f>
        <v>TV Series 1997–2001)</v>
      </c>
    </row>
    <row r="761" spans="1:5" ht="13" x14ac:dyDescent="0.15">
      <c r="A761" s="5" t="s">
        <v>1285</v>
      </c>
      <c r="D761" t="str">
        <f ca="1">IFERROR(__xludf.DUMMYFUNCTION("split(A761,""("")"),"Dark ")</f>
        <v xml:space="preserve">Dark </v>
      </c>
      <c r="E761" t="str">
        <f ca="1">IFERROR(__xludf.DUMMYFUNCTION("""COMPUTED_VALUE"""),"TV Series 2017– )")</f>
        <v>TV Series 2017– )</v>
      </c>
    </row>
    <row r="762" spans="1:5" ht="13" x14ac:dyDescent="0.15">
      <c r="A762" s="5" t="s">
        <v>1286</v>
      </c>
      <c r="D762" t="str">
        <f ca="1">IFERROR(__xludf.DUMMYFUNCTION("split(A762,""("")"),"Dark Angel ")</f>
        <v xml:space="preserve">Dark Angel </v>
      </c>
      <c r="E762" t="str">
        <f ca="1">IFERROR(__xludf.DUMMYFUNCTION("""COMPUTED_VALUE"""),"TV Series 2000–2002)")</f>
        <v>TV Series 2000–2002)</v>
      </c>
    </row>
    <row r="763" spans="1:5" ht="13" x14ac:dyDescent="0.15">
      <c r="A763" s="5" t="s">
        <v>1287</v>
      </c>
      <c r="D763" t="str">
        <f ca="1">IFERROR(__xludf.DUMMYFUNCTION("split(A763,""("")"),"Dark Days in Monkey City ")</f>
        <v xml:space="preserve">Dark Days in Monkey City </v>
      </c>
      <c r="E763" t="str">
        <f ca="1">IFERROR(__xludf.DUMMYFUNCTION("""COMPUTED_VALUE"""),"TV Series 2009– )")</f>
        <v>TV Series 2009– )</v>
      </c>
    </row>
    <row r="764" spans="1:5" ht="13" x14ac:dyDescent="0.15">
      <c r="A764" s="5" t="s">
        <v>1288</v>
      </c>
      <c r="D764" t="str">
        <f ca="1">IFERROR(__xludf.DUMMYFUNCTION("split(A764,""("")"),"Dark Matter ")</f>
        <v xml:space="preserve">Dark Matter </v>
      </c>
      <c r="E764" t="str">
        <f ca="1">IFERROR(__xludf.DUMMYFUNCTION("""COMPUTED_VALUE"""),"TV Series 2015–2017)")</f>
        <v>TV Series 2015–2017)</v>
      </c>
    </row>
    <row r="765" spans="1:5" ht="13" x14ac:dyDescent="0.15">
      <c r="A765" s="5" t="s">
        <v>1289</v>
      </c>
      <c r="D765" t="str">
        <f ca="1">IFERROR(__xludf.DUMMYFUNCTION("split(A765,""("")"),"Dark Matters: Twisted But True ")</f>
        <v xml:space="preserve">Dark Matters: Twisted But True </v>
      </c>
      <c r="E765" t="str">
        <f ca="1">IFERROR(__xludf.DUMMYFUNCTION("""COMPUTED_VALUE"""),"TV Series 2011– )")</f>
        <v>TV Series 2011– )</v>
      </c>
    </row>
    <row r="766" spans="1:5" ht="13" x14ac:dyDescent="0.15">
      <c r="A766" s="5" t="s">
        <v>1290</v>
      </c>
      <c r="D766" t="str">
        <f ca="1">IFERROR(__xludf.DUMMYFUNCTION("split(A766,""("")"),"Dark Net ")</f>
        <v xml:space="preserve">Dark Net </v>
      </c>
      <c r="E766" t="str">
        <f ca="1">IFERROR(__xludf.DUMMYFUNCTION("""COMPUTED_VALUE"""),"TV Series 2016– )")</f>
        <v>TV Series 2016– )</v>
      </c>
    </row>
    <row r="767" spans="1:5" ht="13" x14ac:dyDescent="0.15">
      <c r="A767" s="5" t="s">
        <v>1291</v>
      </c>
      <c r="D767" t="str">
        <f ca="1">IFERROR(__xludf.DUMMYFUNCTION("split(A767,""("")"),"Dark Shadows ")</f>
        <v xml:space="preserve">Dark Shadows </v>
      </c>
      <c r="E767" t="str">
        <f ca="1">IFERROR(__xludf.DUMMYFUNCTION("""COMPUTED_VALUE"""),"TV Series 1991)")</f>
        <v>TV Series 1991)</v>
      </c>
    </row>
    <row r="768" spans="1:5" ht="13" x14ac:dyDescent="0.15">
      <c r="A768" s="5" t="s">
        <v>1292</v>
      </c>
      <c r="D768" t="str">
        <f ca="1">IFERROR(__xludf.DUMMYFUNCTION("split(A768,""("")"),"Dark Skies ")</f>
        <v xml:space="preserve">Dark Skies </v>
      </c>
      <c r="E768" t="str">
        <f ca="1">IFERROR(__xludf.DUMMYFUNCTION("""COMPUTED_VALUE"""),"TV Series 1996–1997)")</f>
        <v>TV Series 1996–1997)</v>
      </c>
    </row>
    <row r="769" spans="1:5" ht="13" x14ac:dyDescent="0.15">
      <c r="A769" s="5" t="s">
        <v>1293</v>
      </c>
      <c r="D769" t="str">
        <f ca="1">IFERROR(__xludf.DUMMYFUNCTION("split(A769,""("")"),"Darker Than Black: Gemini of the Meteor ")</f>
        <v xml:space="preserve">Darker Than Black: Gemini of the Meteor </v>
      </c>
      <c r="E769" t="str">
        <f ca="1">IFERROR(__xludf.DUMMYFUNCTION("""COMPUTED_VALUE"""),"TV Series 2007–2010)")</f>
        <v>TV Series 2007–2010)</v>
      </c>
    </row>
    <row r="770" spans="1:5" ht="13" x14ac:dyDescent="0.15">
      <c r="A770" s="5" t="s">
        <v>1294</v>
      </c>
      <c r="D770" t="str">
        <f ca="1">IFERROR(__xludf.DUMMYFUNCTION("split(A770,""("")"),"Darkwing Duck ")</f>
        <v xml:space="preserve">Darkwing Duck </v>
      </c>
      <c r="E770" t="str">
        <f ca="1">IFERROR(__xludf.DUMMYFUNCTION("""COMPUTED_VALUE"""),"TV Series 1991–1992)")</f>
        <v>TV Series 1991–1992)</v>
      </c>
    </row>
    <row r="771" spans="1:5" ht="13" x14ac:dyDescent="0.15">
      <c r="A771" s="5" t="s">
        <v>1295</v>
      </c>
      <c r="D771" t="str">
        <f ca="1">IFERROR(__xludf.DUMMYFUNCTION("split(A771,""("")"),"DARLING in the FRANXX ")</f>
        <v xml:space="preserve">DARLING in the FRANXX </v>
      </c>
      <c r="E771" t="str">
        <f ca="1">IFERROR(__xludf.DUMMYFUNCTION("""COMPUTED_VALUE"""),"TV Series 2018– )")</f>
        <v>TV Series 2018– )</v>
      </c>
    </row>
    <row r="772" spans="1:5" ht="13" x14ac:dyDescent="0.15">
      <c r="A772" s="5" t="s">
        <v>1296</v>
      </c>
      <c r="D772" t="str">
        <f ca="1">IFERROR(__xludf.DUMMYFUNCTION("split(A772,""("")"),"Darna ")</f>
        <v xml:space="preserve">Darna </v>
      </c>
      <c r="E772" t="str">
        <f ca="1">IFERROR(__xludf.DUMMYFUNCTION("""COMPUTED_VALUE"""),"TV Series 2005– )")</f>
        <v>TV Series 2005– )</v>
      </c>
    </row>
    <row r="773" spans="1:5" ht="13" x14ac:dyDescent="0.15">
      <c r="A773" s="5" t="s">
        <v>558</v>
      </c>
      <c r="D773" t="str">
        <f ca="1">IFERROR(__xludf.DUMMYFUNCTION("split(A773,""("")"),"Darna ")</f>
        <v xml:space="preserve">Darna </v>
      </c>
      <c r="E773" t="str">
        <f ca="1">IFERROR(__xludf.DUMMYFUNCTION("""COMPUTED_VALUE"""),"TV Series 2009– )")</f>
        <v>TV Series 2009– )</v>
      </c>
    </row>
    <row r="774" spans="1:5" ht="13" x14ac:dyDescent="0.15">
      <c r="A774" s="5" t="s">
        <v>433</v>
      </c>
      <c r="D774" t="str">
        <f ca="1">IFERROR(__xludf.DUMMYFUNCTION("split(A774,""("")"),"Das Boot ")</f>
        <v xml:space="preserve">Das Boot </v>
      </c>
      <c r="E774" t="str">
        <f ca="1">IFERROR(__xludf.DUMMYFUNCTION("""COMPUTED_VALUE"""),"TV Series 2018– )")</f>
        <v>TV Series 2018– )</v>
      </c>
    </row>
    <row r="775" spans="1:5" ht="13" x14ac:dyDescent="0.15">
      <c r="A775" s="5" t="s">
        <v>1297</v>
      </c>
      <c r="D775" t="str">
        <f ca="1">IFERROR(__xludf.DUMMYFUNCTION("split(A775,""("")"),"Datel ")</f>
        <v xml:space="preserve">Datel </v>
      </c>
      <c r="E775" t="str">
        <f ca="1">IFERROR(__xludf.DUMMYFUNCTION("""COMPUTED_VALUE"""),"TV Series 2012– )")</f>
        <v>TV Series 2012– )</v>
      </c>
    </row>
    <row r="776" spans="1:5" ht="13" x14ac:dyDescent="0.15">
      <c r="A776" s="5" t="s">
        <v>1298</v>
      </c>
      <c r="D776" t="str">
        <f ca="1">IFERROR(__xludf.DUMMYFUNCTION("split(A776,""("")"),"Dates from Hell ")</f>
        <v xml:space="preserve">Dates from Hell </v>
      </c>
      <c r="E776" t="str">
        <f ca="1">IFERROR(__xludf.DUMMYFUNCTION("""COMPUTED_VALUE"""),"TV Series 2012– )")</f>
        <v>TV Series 2012– )</v>
      </c>
    </row>
    <row r="777" spans="1:5" ht="13" x14ac:dyDescent="0.15">
      <c r="A777" s="5" t="s">
        <v>1299</v>
      </c>
      <c r="D777" t="str">
        <f ca="1">IFERROR(__xludf.DUMMYFUNCTION("split(A777,""("")"),"Dating in the Dark ")</f>
        <v xml:space="preserve">Dating in the Dark </v>
      </c>
      <c r="E777" t="str">
        <f ca="1">IFERROR(__xludf.DUMMYFUNCTION("""COMPUTED_VALUE"""),"TV Series 2009– )")</f>
        <v>TV Series 2009– )</v>
      </c>
    </row>
    <row r="778" spans="1:5" ht="13" x14ac:dyDescent="0.15">
      <c r="A778" s="5" t="s">
        <v>207</v>
      </c>
      <c r="D778" t="str">
        <f ca="1">IFERROR(__xludf.DUMMYFUNCTION("split(A778,""("")"),"David Makes Man ")</f>
        <v xml:space="preserve">David Makes Man </v>
      </c>
      <c r="E778" t="str">
        <f ca="1">IFERROR(__xludf.DUMMYFUNCTION("""COMPUTED_VALUE"""),"TV Series 2019– )")</f>
        <v>TV Series 2019– )</v>
      </c>
    </row>
    <row r="779" spans="1:5" ht="13" x14ac:dyDescent="0.15">
      <c r="A779" s="5" t="s">
        <v>1300</v>
      </c>
      <c r="D779" t="str">
        <f ca="1">IFERROR(__xludf.DUMMYFUNCTION("split(A779,""("")"),"Dawson's Creek ")</f>
        <v xml:space="preserve">Dawson's Creek </v>
      </c>
      <c r="E779" t="str">
        <f ca="1">IFERROR(__xludf.DUMMYFUNCTION("""COMPUTED_VALUE"""),"TV Series 1998–2003)")</f>
        <v>TV Series 1998–2003)</v>
      </c>
    </row>
    <row r="780" spans="1:5" ht="13" x14ac:dyDescent="0.15">
      <c r="A780" s="5" t="s">
        <v>1301</v>
      </c>
      <c r="D780" t="str">
        <f ca="1">IFERROR(__xludf.DUMMYFUNCTION("split(A780,""("")"),"Day Break ")</f>
        <v xml:space="preserve">Day Break </v>
      </c>
      <c r="E780" t="str">
        <f ca="1">IFERROR(__xludf.DUMMYFUNCTION("""COMPUTED_VALUE"""),"TV Series 2006–2007)")</f>
        <v>TV Series 2006–2007)</v>
      </c>
    </row>
    <row r="781" spans="1:5" ht="13" x14ac:dyDescent="0.15">
      <c r="A781" s="5" t="s">
        <v>498</v>
      </c>
      <c r="D781" t="str">
        <f ca="1">IFERROR(__xludf.DUMMYFUNCTION("split(A781,""("")"),"DC Super Hero Girls ")</f>
        <v xml:space="preserve">DC Super Hero Girls </v>
      </c>
      <c r="E781" t="str">
        <f ca="1">IFERROR(__xludf.DUMMYFUNCTION("""COMPUTED_VALUE"""),"TV Series 2015– )")</f>
        <v>TV Series 2015– )</v>
      </c>
    </row>
    <row r="782" spans="1:5" ht="13" x14ac:dyDescent="0.15">
      <c r="A782" s="5" t="s">
        <v>17</v>
      </c>
      <c r="D782" t="str">
        <f ca="1">IFERROR(__xludf.DUMMYFUNCTION("split(A782,""("")"),"DC's Legends of Tomorrow ")</f>
        <v xml:space="preserve">DC's Legends of Tomorrow </v>
      </c>
      <c r="E782" t="str">
        <f ca="1">IFERROR(__xludf.DUMMYFUNCTION("""COMPUTED_VALUE"""),"TV Series 2016– )")</f>
        <v>TV Series 2016– )</v>
      </c>
    </row>
    <row r="783" spans="1:5" ht="13" x14ac:dyDescent="0.15">
      <c r="A783" s="5" t="s">
        <v>1302</v>
      </c>
      <c r="D783" t="str">
        <f ca="1">IFERROR(__xludf.DUMMYFUNCTION("split(A783,""("")"),"DCI Banks ")</f>
        <v xml:space="preserve">DCI Banks </v>
      </c>
      <c r="E783" t="str">
        <f ca="1">IFERROR(__xludf.DUMMYFUNCTION("""COMPUTED_VALUE"""),"TV Series 2010–2016)")</f>
        <v>TV Series 2010–2016)</v>
      </c>
    </row>
    <row r="784" spans="1:5" ht="13" x14ac:dyDescent="0.15">
      <c r="A784" s="5" t="s">
        <v>1303</v>
      </c>
      <c r="D784" t="str">
        <f ca="1">IFERROR(__xludf.DUMMYFUNCTION("split(A784,""("")"),"De la B a la Z ")</f>
        <v xml:space="preserve">De la B a la Z </v>
      </c>
      <c r="E784" t="str">
        <f ca="1">IFERROR(__xludf.DUMMYFUNCTION("""COMPUTED_VALUE"""),"TV Series 2011– )")</f>
        <v>TV Series 2011– )</v>
      </c>
    </row>
    <row r="785" spans="1:5" ht="13" x14ac:dyDescent="0.15">
      <c r="A785" s="5" t="s">
        <v>1304</v>
      </c>
      <c r="D785" t="str">
        <f ca="1">IFERROR(__xludf.DUMMYFUNCTION("split(A785,""("")"),"Dead at 21 ")</f>
        <v xml:space="preserve">Dead at 21 </v>
      </c>
      <c r="E785" t="str">
        <f ca="1">IFERROR(__xludf.DUMMYFUNCTION("""COMPUTED_VALUE"""),"TV Series 1994– )")</f>
        <v>TV Series 1994– )</v>
      </c>
    </row>
    <row r="786" spans="1:5" ht="13" x14ac:dyDescent="0.15">
      <c r="A786" s="5" t="s">
        <v>1305</v>
      </c>
      <c r="D786" t="str">
        <f ca="1">IFERROR(__xludf.DUMMYFUNCTION("split(A786,""("")"),"Dead Like Me ")</f>
        <v xml:space="preserve">Dead Like Me </v>
      </c>
      <c r="E786" t="str">
        <f ca="1">IFERROR(__xludf.DUMMYFUNCTION("""COMPUTED_VALUE"""),"TV Series 2003–2004)")</f>
        <v>TV Series 2003–2004)</v>
      </c>
    </row>
    <row r="787" spans="1:5" ht="13" x14ac:dyDescent="0.15">
      <c r="A787" s="5" t="s">
        <v>1306</v>
      </c>
      <c r="D787" t="str">
        <f ca="1">IFERROR(__xludf.DUMMYFUNCTION("split(A787,""("")"),"Dead Man's Gun ")</f>
        <v xml:space="preserve">Dead Man's Gun </v>
      </c>
      <c r="E787" t="str">
        <f ca="1">IFERROR(__xludf.DUMMYFUNCTION("""COMPUTED_VALUE"""),"TV Series 1997–1999)")</f>
        <v>TV Series 1997–1999)</v>
      </c>
    </row>
    <row r="788" spans="1:5" ht="13" x14ac:dyDescent="0.15">
      <c r="A788" s="5" t="s">
        <v>1307</v>
      </c>
      <c r="D788" t="str">
        <f ca="1">IFERROR(__xludf.DUMMYFUNCTION("split(A788,""("")"),"Dead of Summer ")</f>
        <v xml:space="preserve">Dead of Summer </v>
      </c>
      <c r="E788" t="str">
        <f ca="1">IFERROR(__xludf.DUMMYFUNCTION("""COMPUTED_VALUE"""),"TV Series 2016)")</f>
        <v>TV Series 2016)</v>
      </c>
    </row>
    <row r="789" spans="1:5" ht="13" x14ac:dyDescent="0.15">
      <c r="A789" s="5" t="s">
        <v>1308</v>
      </c>
      <c r="D789" t="str">
        <f ca="1">IFERROR(__xludf.DUMMYFUNCTION("split(A789,""("")"),"Dead Silent ")</f>
        <v xml:space="preserve">Dead Silent </v>
      </c>
      <c r="E789" t="str">
        <f ca="1">IFERROR(__xludf.DUMMYFUNCTION("""COMPUTED_VALUE"""),"TV Series 2016– )")</f>
        <v>TV Series 2016– )</v>
      </c>
    </row>
    <row r="790" spans="1:5" ht="13" x14ac:dyDescent="0.15">
      <c r="A790" s="5" t="s">
        <v>343</v>
      </c>
      <c r="D790" t="str">
        <f ca="1">IFERROR(__xludf.DUMMYFUNCTION("split(A790,""("")"),"Dead to Me ")</f>
        <v xml:space="preserve">Dead to Me </v>
      </c>
      <c r="E790" t="str">
        <f ca="1">IFERROR(__xludf.DUMMYFUNCTION("""COMPUTED_VALUE"""),"TV Series 2019– )")</f>
        <v>TV Series 2019– )</v>
      </c>
    </row>
    <row r="791" spans="1:5" ht="13" x14ac:dyDescent="0.15">
      <c r="A791" s="5" t="s">
        <v>1309</v>
      </c>
      <c r="D791" t="str">
        <f ca="1">IFERROR(__xludf.DUMMYFUNCTION("split(A791,""("")"),"Deadbeat ")</f>
        <v xml:space="preserve">Deadbeat </v>
      </c>
      <c r="E791" t="str">
        <f ca="1">IFERROR(__xludf.DUMMYFUNCTION("""COMPUTED_VALUE"""),"TV Series 2014–2016)")</f>
        <v>TV Series 2014–2016)</v>
      </c>
    </row>
    <row r="792" spans="1:5" ht="13" x14ac:dyDescent="0.15">
      <c r="A792" s="5" t="s">
        <v>1310</v>
      </c>
      <c r="D792" t="str">
        <f ca="1">IFERROR(__xludf.DUMMYFUNCTION("split(A792,""("")"),"Deadliest Catch ")</f>
        <v xml:space="preserve">Deadliest Catch </v>
      </c>
      <c r="E792" t="str">
        <f ca="1">IFERROR(__xludf.DUMMYFUNCTION("""COMPUTED_VALUE"""),"TV Series 2005– )")</f>
        <v>TV Series 2005– )</v>
      </c>
    </row>
    <row r="793" spans="1:5" ht="13" x14ac:dyDescent="0.15">
      <c r="A793" s="5" t="s">
        <v>559</v>
      </c>
      <c r="D793" t="str">
        <f ca="1">IFERROR(__xludf.DUMMYFUNCTION("split(A793,""("")"),"Deadline: Crime with Tamron Hall ")</f>
        <v xml:space="preserve">Deadline: Crime with Tamron Hall </v>
      </c>
      <c r="E793" t="str">
        <f ca="1">IFERROR(__xludf.DUMMYFUNCTION("""COMPUTED_VALUE"""),"TV Series 2013– )")</f>
        <v>TV Series 2013– )</v>
      </c>
    </row>
    <row r="794" spans="1:5" ht="13" x14ac:dyDescent="0.15">
      <c r="A794" s="5" t="s">
        <v>1311</v>
      </c>
      <c r="D794" t="str">
        <f ca="1">IFERROR(__xludf.DUMMYFUNCTION("split(A794,""("")"),"Deadly Affairs ")</f>
        <v xml:space="preserve">Deadly Affairs </v>
      </c>
      <c r="E794" t="str">
        <f ca="1">IFERROR(__xludf.DUMMYFUNCTION("""COMPUTED_VALUE"""),"TV Series 2012– )")</f>
        <v>TV Series 2012– )</v>
      </c>
    </row>
    <row r="795" spans="1:5" ht="13" x14ac:dyDescent="0.15">
      <c r="A795" s="5" t="s">
        <v>1312</v>
      </c>
      <c r="D795" t="str">
        <f ca="1">IFERROR(__xludf.DUMMYFUNCTION("split(A795,""("")"),"Deadly Nightmares ")</f>
        <v xml:space="preserve">Deadly Nightmares </v>
      </c>
      <c r="E795" t="str">
        <f ca="1">IFERROR(__xludf.DUMMYFUNCTION("""COMPUTED_VALUE"""),"TV Series 1983–1991)")</f>
        <v>TV Series 1983–1991)</v>
      </c>
    </row>
    <row r="796" spans="1:5" ht="13" x14ac:dyDescent="0.15">
      <c r="A796" s="5" t="s">
        <v>1313</v>
      </c>
      <c r="D796" t="str">
        <f ca="1">IFERROR(__xludf.DUMMYFUNCTION("split(A796,""("")"),"Deadly Rain ")</f>
        <v xml:space="preserve">Deadly Rain </v>
      </c>
      <c r="E796" t="str">
        <f ca="1">IFERROR(__xludf.DUMMYFUNCTION("""COMPUTED_VALUE"""),"TV Series 2015– )")</f>
        <v>TV Series 2015– )</v>
      </c>
    </row>
    <row r="797" spans="1:5" ht="13" x14ac:dyDescent="0.15">
      <c r="A797" s="5" t="s">
        <v>1314</v>
      </c>
      <c r="D797" t="str">
        <f ca="1">IFERROR(__xludf.DUMMYFUNCTION("split(A797,""("")"),"Deadly Sins ")</f>
        <v xml:space="preserve">Deadly Sins </v>
      </c>
      <c r="E797" t="str">
        <f ca="1">IFERROR(__xludf.DUMMYFUNCTION("""COMPUTED_VALUE"""),"TV Series 2012– )")</f>
        <v>TV Series 2012– )</v>
      </c>
    </row>
    <row r="798" spans="1:5" ht="13" x14ac:dyDescent="0.15">
      <c r="A798" s="5" t="s">
        <v>1315</v>
      </c>
      <c r="D798" t="str">
        <f ca="1">IFERROR(__xludf.DUMMYFUNCTION("split(A798,""("")"),"Deadly Women ")</f>
        <v xml:space="preserve">Deadly Women </v>
      </c>
      <c r="E798" t="str">
        <f ca="1">IFERROR(__xludf.DUMMYFUNCTION("""COMPUTED_VALUE"""),"TV Series 2008– )")</f>
        <v>TV Series 2008– )</v>
      </c>
    </row>
    <row r="799" spans="1:5" ht="13" x14ac:dyDescent="0.15">
      <c r="A799" s="5" t="s">
        <v>1316</v>
      </c>
      <c r="D799" t="str">
        <f ca="1">IFERROR(__xludf.DUMMYFUNCTION("split(A799,""("")"),"Deadwind ")</f>
        <v xml:space="preserve">Deadwind </v>
      </c>
      <c r="E799" t="str">
        <f ca="1">IFERROR(__xludf.DUMMYFUNCTION("""COMPUTED_VALUE"""),"TV Series 2018–2020)")</f>
        <v>TV Series 2018–2020)</v>
      </c>
    </row>
    <row r="800" spans="1:5" ht="13" x14ac:dyDescent="0.15">
      <c r="A800" s="5" t="s">
        <v>675</v>
      </c>
      <c r="D800" t="str">
        <f ca="1">IFERROR(__xludf.DUMMYFUNCTION("split(A800,""("")"),"Deadwood ")</f>
        <v xml:space="preserve">Deadwood </v>
      </c>
      <c r="E800" t="str">
        <f ca="1">IFERROR(__xludf.DUMMYFUNCTION("""COMPUTED_VALUE"""),"TV Series 2004–2006)")</f>
        <v>TV Series 2004–2006)</v>
      </c>
    </row>
    <row r="801" spans="1:5" ht="13" x14ac:dyDescent="0.15">
      <c r="A801" s="5" t="s">
        <v>1317</v>
      </c>
      <c r="D801" t="str">
        <f ca="1">IFERROR(__xludf.DUMMYFUNCTION("split(A801,""("")"),"Deal with It ")</f>
        <v xml:space="preserve">Deal with It </v>
      </c>
      <c r="E801" t="str">
        <f ca="1">IFERROR(__xludf.DUMMYFUNCTION("""COMPUTED_VALUE"""),"TV Series 2013– )")</f>
        <v>TV Series 2013– )</v>
      </c>
    </row>
    <row r="802" spans="1:5" ht="13" x14ac:dyDescent="0.15">
      <c r="A802" s="5" t="s">
        <v>187</v>
      </c>
      <c r="D802" t="str">
        <f ca="1">IFERROR(__xludf.DUMMYFUNCTION("split(A802,""("")"),"Dear White People ")</f>
        <v xml:space="preserve">Dear White People </v>
      </c>
      <c r="E802" t="str">
        <f ca="1">IFERROR(__xludf.DUMMYFUNCTION("""COMPUTED_VALUE"""),"TV Series 2017– )")</f>
        <v>TV Series 2017– )</v>
      </c>
    </row>
    <row r="803" spans="1:5" ht="13" x14ac:dyDescent="0.15">
      <c r="A803" s="5" t="s">
        <v>1318</v>
      </c>
      <c r="D803" t="str">
        <f ca="1">IFERROR(__xludf.DUMMYFUNCTION("split(A803,""("")"),"Death in Paradise ")</f>
        <v xml:space="preserve">Death in Paradise </v>
      </c>
      <c r="E803" t="str">
        <f ca="1">IFERROR(__xludf.DUMMYFUNCTION("""COMPUTED_VALUE"""),"TV Series 2011– )")</f>
        <v>TV Series 2011– )</v>
      </c>
    </row>
    <row r="804" spans="1:5" ht="13" x14ac:dyDescent="0.15">
      <c r="A804" s="5" t="s">
        <v>1319</v>
      </c>
      <c r="D804" t="str">
        <f ca="1">IFERROR(__xludf.DUMMYFUNCTION("split(A804,""("")"),"Death Note ")</f>
        <v xml:space="preserve">Death Note </v>
      </c>
      <c r="E804" t="str">
        <f ca="1">IFERROR(__xludf.DUMMYFUNCTION("""COMPUTED_VALUE"""),"TV Series 2006–2007)")</f>
        <v>TV Series 2006–2007)</v>
      </c>
    </row>
    <row r="805" spans="1:5" ht="13" x14ac:dyDescent="0.15">
      <c r="A805" s="5" t="s">
        <v>1320</v>
      </c>
      <c r="D805" t="str">
        <f ca="1">IFERROR(__xludf.DUMMYFUNCTION("split(A805,""("")"),"Deathly Spirits ")</f>
        <v xml:space="preserve">Deathly Spirits </v>
      </c>
      <c r="E805" t="str">
        <f ca="1">IFERROR(__xludf.DUMMYFUNCTION("""COMPUTED_VALUE"""),"TV Series 2015– )")</f>
        <v>TV Series 2015– )</v>
      </c>
    </row>
    <row r="806" spans="1:5" ht="13" x14ac:dyDescent="0.15">
      <c r="A806" s="5" t="s">
        <v>1321</v>
      </c>
      <c r="D806" t="str">
        <f ca="1">IFERROR(__xludf.DUMMYFUNCTION("split(A806,""("")"),"Decker ")</f>
        <v xml:space="preserve">Decker </v>
      </c>
      <c r="E806" t="str">
        <f ca="1">IFERROR(__xludf.DUMMYFUNCTION("""COMPUTED_VALUE"""),"TV Series 2014– )")</f>
        <v>TV Series 2014– )</v>
      </c>
    </row>
    <row r="807" spans="1:5" ht="13" x14ac:dyDescent="0.15">
      <c r="A807" s="5" t="s">
        <v>1322</v>
      </c>
      <c r="D807" t="str">
        <f ca="1">IFERROR(__xludf.DUMMYFUNCTION("split(A807,""("")"),"Decoded ")</f>
        <v xml:space="preserve">Decoded </v>
      </c>
      <c r="E807" t="str">
        <f ca="1">IFERROR(__xludf.DUMMYFUNCTION("""COMPUTED_VALUE"""),"TV Series 2010– )")</f>
        <v>TV Series 2010– )</v>
      </c>
    </row>
    <row r="808" spans="1:5" ht="13" x14ac:dyDescent="0.15">
      <c r="A808" s="5" t="s">
        <v>1323</v>
      </c>
      <c r="D808" t="str">
        <f ca="1">IFERROR(__xludf.DUMMYFUNCTION("split(A808,""("")"),"Deep State ")</f>
        <v xml:space="preserve">Deep State </v>
      </c>
      <c r="E808" t="str">
        <f ca="1">IFERROR(__xludf.DUMMYFUNCTION("""COMPUTED_VALUE"""),"TV Series 2018– )")</f>
        <v>TV Series 2018– )</v>
      </c>
    </row>
    <row r="809" spans="1:5" ht="13" x14ac:dyDescent="0.15">
      <c r="A809" s="5" t="s">
        <v>1324</v>
      </c>
      <c r="D809" t="str">
        <f ca="1">IFERROR(__xludf.DUMMYFUNCTION("split(A809,""("")"),"Defending the Guilty ")</f>
        <v xml:space="preserve">Defending the Guilty </v>
      </c>
      <c r="E809" t="str">
        <f ca="1">IFERROR(__xludf.DUMMYFUNCTION("""COMPUTED_VALUE"""),"TV Mini-Series 2018– )")</f>
        <v>TV Mini-Series 2018– )</v>
      </c>
    </row>
    <row r="810" spans="1:5" ht="13" x14ac:dyDescent="0.15">
      <c r="A810" s="5" t="s">
        <v>1325</v>
      </c>
      <c r="D810" t="str">
        <f ca="1">IFERROR(__xludf.DUMMYFUNCTION("split(A810,""("")"),"Defiance ")</f>
        <v xml:space="preserve">Defiance </v>
      </c>
      <c r="E810" t="str">
        <f ca="1">IFERROR(__xludf.DUMMYFUNCTION("""COMPUTED_VALUE"""),"TV Series 2013–2015)")</f>
        <v>TV Series 2013–2015)</v>
      </c>
    </row>
    <row r="811" spans="1:5" ht="13" x14ac:dyDescent="0.15">
      <c r="A811" s="5" t="s">
        <v>1326</v>
      </c>
      <c r="D811" t="str">
        <f ca="1">IFERROR(__xludf.DUMMYFUNCTION("split(A811,""("")"),"Defying Gravity ")</f>
        <v xml:space="preserve">Defying Gravity </v>
      </c>
      <c r="E811" t="str">
        <f ca="1">IFERROR(__xludf.DUMMYFUNCTION("""COMPUTED_VALUE"""),"TV Series 2009)")</f>
        <v>TV Series 2009)</v>
      </c>
    </row>
    <row r="812" spans="1:5" ht="13" x14ac:dyDescent="0.15">
      <c r="A812" s="5" t="s">
        <v>560</v>
      </c>
      <c r="D812" t="str">
        <f ca="1">IFERROR(__xludf.DUMMYFUNCTION("split(A812,""("")"),"Degrassi High ")</f>
        <v xml:space="preserve">Degrassi High </v>
      </c>
      <c r="E812" t="str">
        <f ca="1">IFERROR(__xludf.DUMMYFUNCTION("""COMPUTED_VALUE"""),"TV Series 1987–1991)")</f>
        <v>TV Series 1987–1991)</v>
      </c>
    </row>
    <row r="813" spans="1:5" ht="13" x14ac:dyDescent="0.15">
      <c r="A813" s="5" t="s">
        <v>561</v>
      </c>
      <c r="D813" t="str">
        <f ca="1">IFERROR(__xludf.DUMMYFUNCTION("split(A813,""("")"),"Degrassi: The Next Generation ")</f>
        <v xml:space="preserve">Degrassi: The Next Generation </v>
      </c>
      <c r="E813" t="str">
        <f ca="1">IFERROR(__xludf.DUMMYFUNCTION("""COMPUTED_VALUE"""),"TV Series 2001–2015)")</f>
        <v>TV Series 2001–2015)</v>
      </c>
    </row>
    <row r="814" spans="1:5" ht="13" x14ac:dyDescent="0.15">
      <c r="A814" s="5" t="s">
        <v>1327</v>
      </c>
      <c r="D814" t="str">
        <f ca="1">IFERROR(__xludf.DUMMYFUNCTION("split(A814,""("")"),"Dejiny udatného ceského národa ")</f>
        <v xml:space="preserve">Dejiny udatného ceského národa </v>
      </c>
      <c r="E814" t="str">
        <f ca="1">IFERROR(__xludf.DUMMYFUNCTION("""COMPUTED_VALUE"""),"TV Series 2010–2012)")</f>
        <v>TV Series 2010–2012)</v>
      </c>
    </row>
    <row r="815" spans="1:5" ht="13" x14ac:dyDescent="0.15">
      <c r="A815" s="5" t="s">
        <v>1328</v>
      </c>
      <c r="D815" t="str">
        <f ca="1">IFERROR(__xludf.DUMMYFUNCTION("split(A815,""("")"),"Delicious ")</f>
        <v xml:space="preserve">Delicious </v>
      </c>
      <c r="E815" t="str">
        <f ca="1">IFERROR(__xludf.DUMMYFUNCTION("""COMPUTED_VALUE"""),"TV Series 2016– )")</f>
        <v>TV Series 2016– )</v>
      </c>
    </row>
    <row r="816" spans="1:5" ht="13" x14ac:dyDescent="0.15">
      <c r="A816" s="5" t="s">
        <v>1329</v>
      </c>
      <c r="D816" t="str">
        <f ca="1">IFERROR(__xludf.DUMMYFUNCTION("split(A816,""("")"),"Deliver Me ")</f>
        <v xml:space="preserve">Deliver Me </v>
      </c>
      <c r="E816" t="str">
        <f ca="1">IFERROR(__xludf.DUMMYFUNCTION("""COMPUTED_VALUE"""),"TV Series 2008– )")</f>
        <v>TV Series 2008– )</v>
      </c>
    </row>
    <row r="817" spans="1:5" ht="13" x14ac:dyDescent="0.15">
      <c r="A817" s="5" t="s">
        <v>1330</v>
      </c>
      <c r="D817" t="str">
        <f ca="1">IFERROR(__xludf.DUMMYFUNCTION("split(A817,""("")"),"Delocated ")</f>
        <v xml:space="preserve">Delocated </v>
      </c>
      <c r="E817" t="str">
        <f ca="1">IFERROR(__xludf.DUMMYFUNCTION("""COMPUTED_VALUE"""),"TV Series 2009–2013)")</f>
        <v>TV Series 2009–2013)</v>
      </c>
    </row>
    <row r="818" spans="1:5" ht="13" x14ac:dyDescent="0.15">
      <c r="A818" s="5" t="s">
        <v>1331</v>
      </c>
      <c r="D818" t="str">
        <f ca="1">IFERROR(__xludf.DUMMYFUNCTION("split(A818,""("")"),"Dendy Memories ")</f>
        <v xml:space="preserve">Dendy Memories </v>
      </c>
      <c r="E818" t="str">
        <f ca="1">IFERROR(__xludf.DUMMYFUNCTION("""COMPUTED_VALUE"""),"TV Series 2012– )")</f>
        <v>TV Series 2012– )</v>
      </c>
    </row>
    <row r="819" spans="1:5" ht="13" x14ac:dyDescent="0.15">
      <c r="A819" s="5" t="s">
        <v>1332</v>
      </c>
      <c r="D819" t="str">
        <f ca="1">IFERROR(__xludf.DUMMYFUNCTION("split(A819,""("")"),"Dennis &amp; Gnasher ")</f>
        <v xml:space="preserve">Dennis &amp; Gnasher </v>
      </c>
      <c r="E819" t="str">
        <f ca="1">IFERROR(__xludf.DUMMYFUNCTION("""COMPUTED_VALUE"""),"TV Series 2009–2013)")</f>
        <v>TV Series 2009–2013)</v>
      </c>
    </row>
    <row r="820" spans="1:5" ht="13" x14ac:dyDescent="0.15">
      <c r="A820" s="5" t="s">
        <v>100</v>
      </c>
      <c r="D820" t="str">
        <f ca="1">IFERROR(__xludf.DUMMYFUNCTION("split(A820,""("")"),"Dennis the Menace ")</f>
        <v xml:space="preserve">Dennis the Menace </v>
      </c>
      <c r="E820" t="str">
        <f ca="1">IFERROR(__xludf.DUMMYFUNCTION("""COMPUTED_VALUE"""),"TV Series 1996–1998)")</f>
        <v>TV Series 1996–1998)</v>
      </c>
    </row>
    <row r="821" spans="1:5" ht="13" x14ac:dyDescent="0.15">
      <c r="A821" s="5" t="s">
        <v>1333</v>
      </c>
      <c r="D821" t="str">
        <f ca="1">IFERROR(__xludf.DUMMYFUNCTION("split(A821,""("")"),"Derek Acorah's Ghost Towns ")</f>
        <v xml:space="preserve">Derek Acorah's Ghost Towns </v>
      </c>
      <c r="E821" t="str">
        <f ca="1">IFERROR(__xludf.DUMMYFUNCTION("""COMPUTED_VALUE"""),"TV Series 2005– )")</f>
        <v>TV Series 2005– )</v>
      </c>
    </row>
    <row r="822" spans="1:5" ht="13" x14ac:dyDescent="0.15">
      <c r="A822" s="5" t="s">
        <v>1334</v>
      </c>
      <c r="D822" t="str">
        <f ca="1">IFERROR(__xludf.DUMMYFUNCTION("split(A822,""("")"),"Derek and Simon: The Show ")</f>
        <v xml:space="preserve">Derek and Simon: The Show </v>
      </c>
      <c r="E822" t="str">
        <f ca="1">IFERROR(__xludf.DUMMYFUNCTION("""COMPUTED_VALUE"""),"TV Series 2007– )")</f>
        <v>TV Series 2007– )</v>
      </c>
    </row>
    <row r="823" spans="1:5" ht="13" x14ac:dyDescent="0.15">
      <c r="A823" s="5" t="s">
        <v>1335</v>
      </c>
      <c r="D823" t="str">
        <f ca="1">IFERROR(__xludf.DUMMYFUNCTION("split(A823,""("")"),"Derren Brown: Trick of the Mind ")</f>
        <v xml:space="preserve">Derren Brown: Trick of the Mind </v>
      </c>
      <c r="E823" t="str">
        <f ca="1">IFERROR(__xludf.DUMMYFUNCTION("""COMPUTED_VALUE"""),"TV Series 2004– )")</f>
        <v>TV Series 2004– )</v>
      </c>
    </row>
    <row r="824" spans="1:5" ht="13" x14ac:dyDescent="0.15">
      <c r="A824" s="5" t="s">
        <v>1336</v>
      </c>
      <c r="D824" t="str">
        <f ca="1">IFERROR(__xludf.DUMMYFUNCTION("split(A824,""("")"),"Derry Girls ")</f>
        <v xml:space="preserve">Derry Girls </v>
      </c>
      <c r="E824" t="str">
        <f ca="1">IFERROR(__xludf.DUMMYFUNCTION("""COMPUTED_VALUE"""),"TV Series 2017– )")</f>
        <v>TV Series 2017– )</v>
      </c>
    </row>
    <row r="825" spans="1:5" ht="13" x14ac:dyDescent="0.15">
      <c r="A825" s="5" t="s">
        <v>1337</v>
      </c>
      <c r="D825" t="str">
        <f ca="1">IFERROR(__xludf.DUMMYFUNCTION("split(A825,""("")"),"Designated Survivor ")</f>
        <v xml:space="preserve">Designated Survivor </v>
      </c>
      <c r="E825" t="str">
        <f ca="1">IFERROR(__xludf.DUMMYFUNCTION("""COMPUTED_VALUE"""),"TV Series 2016–2019)")</f>
        <v>TV Series 2016–2019)</v>
      </c>
    </row>
    <row r="826" spans="1:5" ht="13" x14ac:dyDescent="0.15">
      <c r="A826" s="5" t="s">
        <v>1338</v>
      </c>
      <c r="D826" t="str">
        <f ca="1">IFERROR(__xludf.DUMMYFUNCTION("split(A826,""("")"),"Desiring God ")</f>
        <v xml:space="preserve">Desiring God </v>
      </c>
      <c r="E826" t="str">
        <f ca="1">IFERROR(__xludf.DUMMYFUNCTION("""COMPUTED_VALUE"""),"TV Series 2003– )")</f>
        <v>TV Series 2003– )</v>
      </c>
    </row>
    <row r="827" spans="1:5" ht="13" x14ac:dyDescent="0.15">
      <c r="A827" s="5" t="s">
        <v>1339</v>
      </c>
      <c r="D827" t="str">
        <f ca="1">IFERROR(__xludf.DUMMYFUNCTION("split(A827,""("")"),"Desperate Housewives ")</f>
        <v xml:space="preserve">Desperate Housewives </v>
      </c>
      <c r="E827" t="str">
        <f ca="1">IFERROR(__xludf.DUMMYFUNCTION("""COMPUTED_VALUE"""),"TV Series 2004–2012)")</f>
        <v>TV Series 2004–2012)</v>
      </c>
    </row>
    <row r="828" spans="1:5" ht="13" x14ac:dyDescent="0.15">
      <c r="A828" s="5" t="s">
        <v>1340</v>
      </c>
      <c r="D828" t="str">
        <f ca="1">IFERROR(__xludf.DUMMYFUNCTION("split(A828,""("")"),"Destinos: An Introduction to Spanish ")</f>
        <v xml:space="preserve">Destinos: An Introduction to Spanish </v>
      </c>
      <c r="E828" t="str">
        <f ca="1">IFERROR(__xludf.DUMMYFUNCTION("""COMPUTED_VALUE"""),"TV Series 1992– )")</f>
        <v>TV Series 1992– )</v>
      </c>
    </row>
    <row r="829" spans="1:5" ht="13" x14ac:dyDescent="0.15">
      <c r="A829" s="5" t="s">
        <v>1341</v>
      </c>
      <c r="D829" t="str">
        <f ca="1">IFERROR(__xludf.DUMMYFUNCTION("split(A829,""("")"),"Destiny Love ")</f>
        <v xml:space="preserve">Destiny Love </v>
      </c>
      <c r="E829" t="str">
        <f ca="1">IFERROR(__xludf.DUMMYFUNCTION("""COMPUTED_VALUE"""),"TV Series 2008– )")</f>
        <v>TV Series 2008– )</v>
      </c>
    </row>
    <row r="830" spans="1:5" ht="13" x14ac:dyDescent="0.15">
      <c r="A830" s="5" t="s">
        <v>1342</v>
      </c>
      <c r="D830" t="str">
        <f ca="1">IFERROR(__xludf.DUMMYFUNCTION("split(A830,""("")"),"Destiny of the Shrine Maiden ")</f>
        <v xml:space="preserve">Destiny of the Shrine Maiden </v>
      </c>
      <c r="E830" t="str">
        <f ca="1">IFERROR(__xludf.DUMMYFUNCTION("""COMPUTED_VALUE"""),"TV Series 2004– )")</f>
        <v>TV Series 2004– )</v>
      </c>
    </row>
    <row r="831" spans="1:5" ht="13" x14ac:dyDescent="0.15">
      <c r="A831" s="5" t="s">
        <v>1343</v>
      </c>
      <c r="D831" t="str">
        <f ca="1">IFERROR(__xludf.DUMMYFUNCTION("split(A831,""("")"),"Det gode liv ")</f>
        <v xml:space="preserve">Det gode liv </v>
      </c>
      <c r="E831" t="str">
        <f ca="1">IFERROR(__xludf.DUMMYFUNCTION("""COMPUTED_VALUE"""),"TV Series 2005– )")</f>
        <v>TV Series 2005– )</v>
      </c>
    </row>
    <row r="832" spans="1:5" ht="13" x14ac:dyDescent="0.15">
      <c r="A832" s="5" t="s">
        <v>1344</v>
      </c>
      <c r="D832" t="str">
        <f ca="1">IFERROR(__xludf.DUMMYFUNCTION("split(A832,""("")"),"Detective Conan ")</f>
        <v xml:space="preserve">Detective Conan </v>
      </c>
      <c r="E832" t="str">
        <f ca="1">IFERROR(__xludf.DUMMYFUNCTION("""COMPUTED_VALUE"""),"TV Series 1996– )")</f>
        <v>TV Series 1996– )</v>
      </c>
    </row>
    <row r="833" spans="1:5" ht="13" x14ac:dyDescent="0.15">
      <c r="A833" s="5" t="s">
        <v>1345</v>
      </c>
      <c r="D833" t="str">
        <f ca="1">IFERROR(__xludf.DUMMYFUNCTION("split(A833,""("")"),"Detectorists ")</f>
        <v xml:space="preserve">Detectorists </v>
      </c>
      <c r="E833" t="str">
        <f ca="1">IFERROR(__xludf.DUMMYFUNCTION("""COMPUTED_VALUE"""),"TV Series 2014– )")</f>
        <v>TV Series 2014– )</v>
      </c>
    </row>
    <row r="834" spans="1:5" ht="13" x14ac:dyDescent="0.15">
      <c r="A834" s="5" t="s">
        <v>1346</v>
      </c>
      <c r="D834" t="str">
        <f ca="1">IFERROR(__xludf.DUMMYFUNCTION("split(A834,""("")"),"Deteqtivebi ")</f>
        <v xml:space="preserve">Deteqtivebi </v>
      </c>
      <c r="E834" t="str">
        <f ca="1">IFERROR(__xludf.DUMMYFUNCTION("""COMPUTED_VALUE"""),"TV Series 2010– )")</f>
        <v>TV Series 2010– )</v>
      </c>
    </row>
    <row r="835" spans="1:5" ht="13" x14ac:dyDescent="0.15">
      <c r="A835" s="5" t="s">
        <v>1347</v>
      </c>
      <c r="D835" t="str">
        <f ca="1">IFERROR(__xludf.DUMMYFUNCTION("split(A835,""("")"),"Deutschland 83 ")</f>
        <v xml:space="preserve">Deutschland 83 </v>
      </c>
      <c r="E835" t="str">
        <f ca="1">IFERROR(__xludf.DUMMYFUNCTION("""COMPUTED_VALUE"""),"TV Series 2015)")</f>
        <v>TV Series 2015)</v>
      </c>
    </row>
    <row r="836" spans="1:5" ht="13" x14ac:dyDescent="0.15">
      <c r="A836" s="5" t="s">
        <v>562</v>
      </c>
      <c r="D836" t="str">
        <f ca="1">IFERROR(__xludf.DUMMYFUNCTION("split(A836,""("")"),"Deutschland 86 ")</f>
        <v xml:space="preserve">Deutschland 86 </v>
      </c>
      <c r="E836" t="str">
        <f ca="1">IFERROR(__xludf.DUMMYFUNCTION("""COMPUTED_VALUE"""),"TV Series 2018)")</f>
        <v>TV Series 2018)</v>
      </c>
    </row>
    <row r="837" spans="1:5" ht="13" x14ac:dyDescent="0.15">
      <c r="A837" s="5" t="s">
        <v>1348</v>
      </c>
      <c r="D837" t="str">
        <f ca="1">IFERROR(__xludf.DUMMYFUNCTION("split(A837,""("")"),"Development Hell ")</f>
        <v xml:space="preserve">Development Hell </v>
      </c>
      <c r="E837" t="str">
        <f ca="1">IFERROR(__xludf.DUMMYFUNCTION("""COMPUTED_VALUE"""),"TV Series 2013– )")</f>
        <v>TV Series 2013– )</v>
      </c>
    </row>
    <row r="838" spans="1:5" ht="13" x14ac:dyDescent="0.15">
      <c r="A838" s="5" t="s">
        <v>1349</v>
      </c>
      <c r="D838" t="str">
        <f ca="1">IFERROR(__xludf.DUMMYFUNCTION("split(A838,""("")"),"Devious Maids ")</f>
        <v xml:space="preserve">Devious Maids </v>
      </c>
      <c r="E838" t="str">
        <f ca="1">IFERROR(__xludf.DUMMYFUNCTION("""COMPUTED_VALUE"""),"TV Series 2013–2016)")</f>
        <v>TV Series 2013–2016)</v>
      </c>
    </row>
    <row r="839" spans="1:5" ht="13" x14ac:dyDescent="0.15">
      <c r="A839" s="5" t="s">
        <v>1350</v>
      </c>
      <c r="D839" t="str">
        <f ca="1">IFERROR(__xludf.DUMMYFUNCTION("split(A839,""("")"),"Dexter ")</f>
        <v xml:space="preserve">Dexter </v>
      </c>
      <c r="E839" t="str">
        <f ca="1">IFERROR(__xludf.DUMMYFUNCTION("""COMPUTED_VALUE"""),"TV Series 2006–2013)")</f>
        <v>TV Series 2006–2013)</v>
      </c>
    </row>
    <row r="840" spans="1:5" ht="13" x14ac:dyDescent="0.15">
      <c r="A840" s="5" t="s">
        <v>1351</v>
      </c>
      <c r="D840" t="str">
        <f ca="1">IFERROR(__xludf.DUMMYFUNCTION("split(A840,""("")"),"Dexter's Laboratory ")</f>
        <v xml:space="preserve">Dexter's Laboratory </v>
      </c>
      <c r="E840" t="str">
        <f ca="1">IFERROR(__xludf.DUMMYFUNCTION("""COMPUTED_VALUE"""),"TV Series 1996–2003)")</f>
        <v>TV Series 1996–2003)</v>
      </c>
    </row>
    <row r="841" spans="1:5" ht="13" x14ac:dyDescent="0.15">
      <c r="A841" s="5" t="s">
        <v>344</v>
      </c>
      <c r="D841" t="str">
        <f ca="1">IFERROR(__xludf.DUMMYFUNCTION("split(A841,""("")"),"Dharma &amp; Greg ")</f>
        <v xml:space="preserve">Dharma &amp; Greg </v>
      </c>
      <c r="E841" t="str">
        <f ca="1">IFERROR(__xludf.DUMMYFUNCTION("""COMPUTED_VALUE"""),"TV Series 1997–2002)")</f>
        <v>TV Series 1997–2002)</v>
      </c>
    </row>
    <row r="842" spans="1:5" ht="13" x14ac:dyDescent="0.15">
      <c r="A842" s="5" t="s">
        <v>1352</v>
      </c>
      <c r="D842" t="str">
        <f ca="1">IFERROR(__xludf.DUMMYFUNCTION("split(A842,""("")"),"Di Gi Charat Nyo ")</f>
        <v xml:space="preserve">Di Gi Charat Nyo </v>
      </c>
      <c r="E842" t="str">
        <f ca="1">IFERROR(__xludf.DUMMYFUNCTION("""COMPUTED_VALUE"""),"TV Series 2003–2004)")</f>
        <v>TV Series 2003–2004)</v>
      </c>
    </row>
    <row r="843" spans="1:5" ht="13" x14ac:dyDescent="0.15">
      <c r="A843" s="5" t="s">
        <v>1353</v>
      </c>
      <c r="D843" t="str">
        <f ca="1">IFERROR(__xludf.DUMMYFUNCTION("split(A843,""("")"),"Diablero ")</f>
        <v xml:space="preserve">Diablero </v>
      </c>
      <c r="E843" t="str">
        <f ca="1">IFERROR(__xludf.DUMMYFUNCTION("""COMPUTED_VALUE"""),"TV Series 2018– )")</f>
        <v>TV Series 2018– )</v>
      </c>
    </row>
    <row r="844" spans="1:5" ht="13" x14ac:dyDescent="0.15">
      <c r="A844" s="5" t="s">
        <v>1354</v>
      </c>
      <c r="D844" t="str">
        <f ca="1">IFERROR(__xludf.DUMMYFUNCTION("split(A844,""("")"),"Diagnosis Murder ")</f>
        <v xml:space="preserve">Diagnosis Murder </v>
      </c>
      <c r="E844" t="str">
        <f ca="1">IFERROR(__xludf.DUMMYFUNCTION("""COMPUTED_VALUE"""),"TV Series 1993–2001)")</f>
        <v>TV Series 1993–2001)</v>
      </c>
    </row>
    <row r="845" spans="1:5" ht="13" x14ac:dyDescent="0.15">
      <c r="A845" s="5" t="s">
        <v>1355</v>
      </c>
      <c r="D845" t="str">
        <f ca="1">IFERROR(__xludf.DUMMYFUNCTION("split(A845,""("")"),"Dial 4 Detective ")</f>
        <v xml:space="preserve">Dial 4 Detective </v>
      </c>
      <c r="E845" t="str">
        <f ca="1">IFERROR(__xludf.DUMMYFUNCTION("""COMPUTED_VALUE"""),"TV Series 2014– )")</f>
        <v>TV Series 2014– )</v>
      </c>
    </row>
    <row r="846" spans="1:5" ht="13" x14ac:dyDescent="0.15">
      <c r="A846" s="5" t="s">
        <v>1356</v>
      </c>
      <c r="D846" t="str">
        <f ca="1">IFERROR(__xludf.DUMMYFUNCTION("split(A846,""("")"),"Diaries from Wonderland ")</f>
        <v xml:space="preserve">Diaries from Wonderland </v>
      </c>
      <c r="E846" t="str">
        <f ca="1">IFERROR(__xludf.DUMMYFUNCTION("""COMPUTED_VALUE"""),"TV Series 2014– )")</f>
        <v>TV Series 2014– )</v>
      </c>
    </row>
    <row r="847" spans="1:5" ht="13" x14ac:dyDescent="0.15">
      <c r="A847" s="5" t="s">
        <v>1357</v>
      </c>
      <c r="D847" t="str">
        <f ca="1">IFERROR(__xludf.DUMMYFUNCTION("split(A847,""("")"),"Dickens ")</f>
        <v xml:space="preserve">Dickens </v>
      </c>
      <c r="E847" t="str">
        <f ca="1">IFERROR(__xludf.DUMMYFUNCTION("""COMPUTED_VALUE"""),"TV Series 2002– )")</f>
        <v>TV Series 2002– )</v>
      </c>
    </row>
    <row r="848" spans="1:5" ht="13" x14ac:dyDescent="0.15">
      <c r="A848" s="5" t="s">
        <v>1358</v>
      </c>
      <c r="D848" t="str">
        <f ca="1">IFERROR(__xludf.DUMMYFUNCTION("split(A848,""("")"),"Dickensian ")</f>
        <v xml:space="preserve">Dickensian </v>
      </c>
      <c r="E848" t="str">
        <f ca="1">IFERROR(__xludf.DUMMYFUNCTION("""COMPUTED_VALUE"""),"TV Series 2015–2016)")</f>
        <v>TV Series 2015–2016)</v>
      </c>
    </row>
    <row r="849" spans="1:5" ht="13" x14ac:dyDescent="0.15">
      <c r="A849" s="5" t="s">
        <v>1359</v>
      </c>
      <c r="D849" t="str">
        <f ca="1">IFERROR(__xludf.DUMMYFUNCTION("split(A849,""("")"),"Dickinson ")</f>
        <v xml:space="preserve">Dickinson </v>
      </c>
      <c r="E849" t="str">
        <f ca="1">IFERROR(__xludf.DUMMYFUNCTION("""COMPUTED_VALUE"""),"TV Series 2019– )")</f>
        <v>TV Series 2019– )</v>
      </c>
    </row>
    <row r="850" spans="1:5" ht="13" x14ac:dyDescent="0.15">
      <c r="A850" s="5" t="s">
        <v>1360</v>
      </c>
      <c r="D850" t="str">
        <f ca="1">IFERROR(__xludf.DUMMYFUNCTION("split(A850,""("")"),"Dickinson's Real Deal ")</f>
        <v xml:space="preserve">Dickinson's Real Deal </v>
      </c>
      <c r="E850" t="str">
        <f ca="1">IFERROR(__xludf.DUMMYFUNCTION("""COMPUTED_VALUE"""),"TV Series 2006– )")</f>
        <v>TV Series 2006– )</v>
      </c>
    </row>
    <row r="851" spans="1:5" ht="13" x14ac:dyDescent="0.15">
      <c r="A851" s="5" t="s">
        <v>1361</v>
      </c>
      <c r="D851" t="str">
        <f ca="1">IFERROR(__xludf.DUMMYFUNCTION("split(A851,""("")"),"Dicte: Crime Reporter ")</f>
        <v xml:space="preserve">Dicte: Crime Reporter </v>
      </c>
      <c r="E851" t="str">
        <f ca="1">IFERROR(__xludf.DUMMYFUNCTION("""COMPUTED_VALUE"""),"TV Series 2012–2016)")</f>
        <v>TV Series 2012–2016)</v>
      </c>
    </row>
    <row r="852" spans="1:5" ht="13" x14ac:dyDescent="0.15">
      <c r="A852" s="5" t="s">
        <v>1362</v>
      </c>
      <c r="D852" t="str">
        <f ca="1">IFERROR(__xludf.DUMMYFUNCTION("split(A852,""("")"),"Diddy Movies ")</f>
        <v xml:space="preserve">Diddy Movies </v>
      </c>
      <c r="E852" t="str">
        <f ca="1">IFERROR(__xludf.DUMMYFUNCTION("""COMPUTED_VALUE"""),"TV Series 2012– )")</f>
        <v>TV Series 2012– )</v>
      </c>
    </row>
    <row r="853" spans="1:5" ht="13" x14ac:dyDescent="0.15">
      <c r="A853" s="5" t="s">
        <v>1363</v>
      </c>
      <c r="D853" t="str">
        <f ca="1">IFERROR(__xludf.DUMMYFUNCTION("split(A853,""("")"),"Die FallersEine Schwarzwaldfamilie ")</f>
        <v xml:space="preserve">Die FallersEine Schwarzwaldfamilie </v>
      </c>
      <c r="E853" t="str">
        <f ca="1">IFERROR(__xludf.DUMMYFUNCTION("""COMPUTED_VALUE"""),"TV Series 1994– )")</f>
        <v>TV Series 1994– )</v>
      </c>
    </row>
    <row r="854" spans="1:5" ht="13" x14ac:dyDescent="0.15">
      <c r="A854" s="5" t="s">
        <v>1364</v>
      </c>
      <c r="D854" t="str">
        <f ca="1">IFERROR(__xludf.DUMMYFUNCTION("split(A854,""("")"),"Diese Drombuschs ")</f>
        <v xml:space="preserve">Diese Drombuschs </v>
      </c>
      <c r="E854" t="str">
        <f ca="1">IFERROR(__xludf.DUMMYFUNCTION("""COMPUTED_VALUE"""),"TV Series 1983–1994)")</f>
        <v>TV Series 1983–1994)</v>
      </c>
    </row>
    <row r="855" spans="1:5" ht="13" x14ac:dyDescent="0.15">
      <c r="A855" s="5" t="s">
        <v>1365</v>
      </c>
      <c r="D855" t="str">
        <f ca="1">IFERROR(__xludf.DUMMYFUNCTION("split(A855,""("")"),"Dietland ")</f>
        <v xml:space="preserve">Dietland </v>
      </c>
      <c r="E855" t="str">
        <f ca="1">IFERROR(__xludf.DUMMYFUNCTION("""COMPUTED_VALUE"""),"TV Series 2018)")</f>
        <v>TV Series 2018)</v>
      </c>
    </row>
    <row r="856" spans="1:5" ht="13" x14ac:dyDescent="0.15">
      <c r="A856" s="5" t="s">
        <v>1366</v>
      </c>
      <c r="D856" t="str">
        <f ca="1">IFERROR(__xludf.DUMMYFUNCTION("split(A856,""("")"),"Digby Dragon ")</f>
        <v xml:space="preserve">Digby Dragon </v>
      </c>
      <c r="E856" t="str">
        <f ca="1">IFERROR(__xludf.DUMMYFUNCTION("""COMPUTED_VALUE"""),"TV Series 2016– )")</f>
        <v>TV Series 2016– )</v>
      </c>
    </row>
    <row r="857" spans="1:5" ht="13" x14ac:dyDescent="0.15">
      <c r="A857" s="5" t="s">
        <v>1367</v>
      </c>
      <c r="D857" t="str">
        <f ca="1">IFERROR(__xludf.DUMMYFUNCTION("split(A857,""("")"),"Digimon: Digital Monsters ")</f>
        <v xml:space="preserve">Digimon: Digital Monsters </v>
      </c>
      <c r="E857" t="str">
        <f ca="1">IFERROR(__xludf.DUMMYFUNCTION("""COMPUTED_VALUE"""),"TV Series 1999–2003)")</f>
        <v>TV Series 1999–2003)</v>
      </c>
    </row>
    <row r="858" spans="1:5" ht="13" x14ac:dyDescent="0.15">
      <c r="A858" s="5" t="s">
        <v>1368</v>
      </c>
      <c r="D858" t="str">
        <f ca="1">IFERROR(__xludf.DUMMYFUNCTION("split(A858,""("")"),"Dil Kya Karay ")</f>
        <v xml:space="preserve">Dil Kya Karay </v>
      </c>
      <c r="E858" t="str">
        <f ca="1">IFERROR(__xludf.DUMMYFUNCTION("""COMPUTED_VALUE"""),"TV Series 2019)")</f>
        <v>TV Series 2019)</v>
      </c>
    </row>
    <row r="859" spans="1:5" ht="13" x14ac:dyDescent="0.15">
      <c r="A859" s="5" t="s">
        <v>121</v>
      </c>
      <c r="D859" t="str">
        <f ca="1">IFERROR(__xludf.DUMMYFUNCTION("split(A859,""("")"),"Dilbert ")</f>
        <v xml:space="preserve">Dilbert </v>
      </c>
      <c r="E859" t="str">
        <f ca="1">IFERROR(__xludf.DUMMYFUNCTION("""COMPUTED_VALUE"""),"TV Series 1999–2000)")</f>
        <v>TV Series 1999–2000)</v>
      </c>
    </row>
    <row r="860" spans="1:5" ht="13" x14ac:dyDescent="0.15">
      <c r="A860" s="5" t="s">
        <v>1369</v>
      </c>
      <c r="D860" t="str">
        <f ca="1">IFERROR(__xludf.DUMMYFUNCTION("split(A860,""("")"),"Dimension 404 ")</f>
        <v xml:space="preserve">Dimension 404 </v>
      </c>
      <c r="E860" t="str">
        <f ca="1">IFERROR(__xludf.DUMMYFUNCTION("""COMPUTED_VALUE"""),"TV Series 2017– )")</f>
        <v>TV Series 2017– )</v>
      </c>
    </row>
    <row r="861" spans="1:5" ht="13" x14ac:dyDescent="0.15">
      <c r="A861" s="5" t="s">
        <v>1370</v>
      </c>
      <c r="D861" t="str">
        <f ca="1">IFERROR(__xludf.DUMMYFUNCTION("split(A861,""("")"),"Diners, Drive-ins and Dives ")</f>
        <v xml:space="preserve">Diners, Drive-ins and Dives </v>
      </c>
      <c r="E861" t="str">
        <f ca="1">IFERROR(__xludf.DUMMYFUNCTION("""COMPUTED_VALUE"""),"TV Series 2006– )")</f>
        <v>TV Series 2006– )</v>
      </c>
    </row>
    <row r="862" spans="1:5" ht="13" x14ac:dyDescent="0.15">
      <c r="A862" s="5" t="s">
        <v>1371</v>
      </c>
      <c r="D862" t="str">
        <f ca="1">IFERROR(__xludf.DUMMYFUNCTION("split(A862,""("")"),"Dinner at Tiffani's ")</f>
        <v xml:space="preserve">Dinner at Tiffani's </v>
      </c>
      <c r="E862" t="str">
        <f ca="1">IFERROR(__xludf.DUMMYFUNCTION("""COMPUTED_VALUE"""),"TV Series 2014– )")</f>
        <v>TV Series 2014– )</v>
      </c>
    </row>
    <row r="863" spans="1:5" ht="13" x14ac:dyDescent="0.15">
      <c r="A863" s="5" t="s">
        <v>1372</v>
      </c>
      <c r="D863" t="str">
        <f ca="1">IFERROR(__xludf.DUMMYFUNCTION("split(A863,""("")"),"Dinner Date ")</f>
        <v xml:space="preserve">Dinner Date </v>
      </c>
      <c r="E863" t="str">
        <f ca="1">IFERROR(__xludf.DUMMYFUNCTION("""COMPUTED_VALUE"""),"TV Series 2010–2017)")</f>
        <v>TV Series 2010–2017)</v>
      </c>
    </row>
    <row r="864" spans="1:5" ht="13" x14ac:dyDescent="0.15">
      <c r="A864" s="5" t="s">
        <v>1373</v>
      </c>
      <c r="D864" t="str">
        <f ca="1">IFERROR(__xludf.DUMMYFUNCTION("split(A864,""("")"),"Dinnerladies ")</f>
        <v xml:space="preserve">Dinnerladies </v>
      </c>
      <c r="E864" t="str">
        <f ca="1">IFERROR(__xludf.DUMMYFUNCTION("""COMPUTED_VALUE"""),"TV Series 1998–2000)")</f>
        <v>TV Series 1998–2000)</v>
      </c>
    </row>
    <row r="865" spans="1:5" ht="13" x14ac:dyDescent="0.15">
      <c r="A865" s="5" t="s">
        <v>1374</v>
      </c>
      <c r="D865" t="str">
        <f ca="1">IFERROR(__xludf.DUMMYFUNCTION("split(A865,""("")"),"Dino Dan ")</f>
        <v xml:space="preserve">Dino Dan </v>
      </c>
      <c r="E865" t="str">
        <f ca="1">IFERROR(__xludf.DUMMYFUNCTION("""COMPUTED_VALUE"""),"TV Series 2010– )")</f>
        <v>TV Series 2010– )</v>
      </c>
    </row>
    <row r="866" spans="1:5" ht="13" x14ac:dyDescent="0.15">
      <c r="A866" s="5" t="s">
        <v>1375</v>
      </c>
      <c r="D866" t="str">
        <f ca="1">IFERROR(__xludf.DUMMYFUNCTION("split(A866,""("")"),"Dinosaur King ")</f>
        <v xml:space="preserve">Dinosaur King </v>
      </c>
      <c r="E866" t="str">
        <f ca="1">IFERROR(__xludf.DUMMYFUNCTION("""COMPUTED_VALUE"""),"TV Series 2007–2008)")</f>
        <v>TV Series 2007–2008)</v>
      </c>
    </row>
    <row r="867" spans="1:5" ht="13" x14ac:dyDescent="0.15">
      <c r="A867" s="5" t="s">
        <v>1376</v>
      </c>
      <c r="D867" t="str">
        <f ca="1">IFERROR(__xludf.DUMMYFUNCTION("split(A867,""("")"),"Dinosaur Train ")</f>
        <v xml:space="preserve">Dinosaur Train </v>
      </c>
      <c r="E867" t="str">
        <f ca="1">IFERROR(__xludf.DUMMYFUNCTION("""COMPUTED_VALUE"""),"TV Series 2009–2019)")</f>
        <v>TV Series 2009–2019)</v>
      </c>
    </row>
    <row r="868" spans="1:5" ht="13" x14ac:dyDescent="0.15">
      <c r="A868" s="5" t="s">
        <v>1377</v>
      </c>
      <c r="D868" t="str">
        <f ca="1">IFERROR(__xludf.DUMMYFUNCTION("split(A868,""("")"),"Dinosaurs ")</f>
        <v xml:space="preserve">Dinosaurs </v>
      </c>
      <c r="E868" t="str">
        <f ca="1">IFERROR(__xludf.DUMMYFUNCTION("""COMPUTED_VALUE"""),"TV Series 1991–1994)")</f>
        <v>TV Series 1991–1994)</v>
      </c>
    </row>
    <row r="869" spans="1:5" ht="13" x14ac:dyDescent="0.15">
      <c r="A869" s="5" t="s">
        <v>1378</v>
      </c>
      <c r="D869" t="str">
        <f ca="1">IFERROR(__xludf.DUMMYFUNCTION("split(A869,""("")"),"Dinotopia ")</f>
        <v xml:space="preserve">Dinotopia </v>
      </c>
      <c r="E869" t="str">
        <f ca="1">IFERROR(__xludf.DUMMYFUNCTION("""COMPUTED_VALUE"""),"TV Series 2002–2003)")</f>
        <v>TV Series 2002–2003)</v>
      </c>
    </row>
    <row r="870" spans="1:5" ht="13" x14ac:dyDescent="0.15">
      <c r="A870" s="5" t="s">
        <v>1379</v>
      </c>
      <c r="D870" t="str">
        <f ca="1">IFERROR(__xludf.DUMMYFUNCTION("split(A870,""("")"),"Dinotrux ")</f>
        <v xml:space="preserve">Dinotrux </v>
      </c>
      <c r="E870" t="str">
        <f ca="1">IFERROR(__xludf.DUMMYFUNCTION("""COMPUTED_VALUE"""),"TV Series 2015–2017)")</f>
        <v>TV Series 2015–2017)</v>
      </c>
    </row>
    <row r="871" spans="1:5" ht="13" x14ac:dyDescent="0.15">
      <c r="A871" s="5" t="s">
        <v>1380</v>
      </c>
      <c r="D871" t="str">
        <f ca="1">IFERROR(__xludf.DUMMYFUNCTION("split(A871,""("")"),"Dirty Jobs ")</f>
        <v xml:space="preserve">Dirty Jobs </v>
      </c>
      <c r="E871" t="str">
        <f ca="1">IFERROR(__xludf.DUMMYFUNCTION("""COMPUTED_VALUE"""),"TV Series 2005–2012)")</f>
        <v>TV Series 2005–2012)</v>
      </c>
    </row>
    <row r="872" spans="1:5" ht="13" x14ac:dyDescent="0.15">
      <c r="A872" s="5" t="s">
        <v>12</v>
      </c>
      <c r="D872" t="str">
        <f ca="1">IFERROR(__xludf.DUMMYFUNCTION("split(A872,""("")"),"Dirty John ")</f>
        <v xml:space="preserve">Dirty John </v>
      </c>
      <c r="E872" t="str">
        <f ca="1">IFERROR(__xludf.DUMMYFUNCTION("""COMPUTED_VALUE"""),"TV Series)")</f>
        <v>TV Series)</v>
      </c>
    </row>
    <row r="873" spans="1:5" ht="13" x14ac:dyDescent="0.15">
      <c r="A873" s="5" t="s">
        <v>1381</v>
      </c>
      <c r="D873" t="str">
        <f ca="1">IFERROR(__xludf.DUMMYFUNCTION("split(A873,""("")"),"Dirty Money ")</f>
        <v xml:space="preserve">Dirty Money </v>
      </c>
      <c r="E873" t="str">
        <f ca="1">IFERROR(__xludf.DUMMYFUNCTION("""COMPUTED_VALUE"""),"TV Series 2018– )")</f>
        <v>TV Series 2018– )</v>
      </c>
    </row>
    <row r="874" spans="1:5" ht="13" x14ac:dyDescent="0.15">
      <c r="A874" s="5" t="s">
        <v>1382</v>
      </c>
      <c r="D874" t="str">
        <f ca="1">IFERROR(__xludf.DUMMYFUNCTION("split(A874,""("")"),"Dirty Sanchez ")</f>
        <v xml:space="preserve">Dirty Sanchez </v>
      </c>
      <c r="E874" t="str">
        <f ca="1">IFERROR(__xludf.DUMMYFUNCTION("""COMPUTED_VALUE"""),"TV Series 2002– )")</f>
        <v>TV Series 2002– )</v>
      </c>
    </row>
    <row r="875" spans="1:5" ht="13" x14ac:dyDescent="0.15">
      <c r="A875" s="5" t="s">
        <v>1383</v>
      </c>
      <c r="D875" t="str">
        <f ca="1">IFERROR(__xludf.DUMMYFUNCTION("split(A875,""("")"),"Dirty Santa ")</f>
        <v xml:space="preserve">Dirty Santa </v>
      </c>
      <c r="E875" t="str">
        <f ca="1">IFERROR(__xludf.DUMMYFUNCTION("""COMPUTED_VALUE"""),"TV Series 2014– )")</f>
        <v>TV Series 2014– )</v>
      </c>
    </row>
    <row r="876" spans="1:5" ht="13" x14ac:dyDescent="0.15">
      <c r="A876" s="5" t="s">
        <v>1384</v>
      </c>
      <c r="D876" t="str">
        <f ca="1">IFERROR(__xludf.DUMMYFUNCTION("split(A876,""("")"),"Disappeared ")</f>
        <v xml:space="preserve">Disappeared </v>
      </c>
      <c r="E876" t="str">
        <f ca="1">IFERROR(__xludf.DUMMYFUNCTION("""COMPUTED_VALUE"""),"TV Series 2009–2018)")</f>
        <v>TV Series 2009–2018)</v>
      </c>
    </row>
    <row r="877" spans="1:5" ht="13" x14ac:dyDescent="0.15">
      <c r="A877" s="5" t="s">
        <v>1385</v>
      </c>
      <c r="D877" t="str">
        <f ca="1">IFERROR(__xludf.DUMMYFUNCTION("split(A877,""("")"),"Discovery TRVLR ")</f>
        <v xml:space="preserve">Discovery TRVLR </v>
      </c>
      <c r="E877" t="str">
        <f ca="1">IFERROR(__xludf.DUMMYFUNCTION("""COMPUTED_VALUE"""),"TV Series 2017–2018)")</f>
        <v>TV Series 2017–2018)</v>
      </c>
    </row>
    <row r="878" spans="1:5" ht="13" x14ac:dyDescent="0.15">
      <c r="A878" s="5" t="s">
        <v>1386</v>
      </c>
      <c r="D878" t="str">
        <f ca="1">IFERROR(__xludf.DUMMYFUNCTION("split(A878,""("")"),"Disney's Fairy Tale Weddings ")</f>
        <v xml:space="preserve">Disney's Fairy Tale Weddings </v>
      </c>
      <c r="E878" t="str">
        <f ca="1">IFERROR(__xludf.DUMMYFUNCTION("""COMPUTED_VALUE"""),"TV Series 2017– )")</f>
        <v>TV Series 2017– )</v>
      </c>
    </row>
    <row r="879" spans="1:5" ht="13" x14ac:dyDescent="0.15">
      <c r="A879" s="5" t="s">
        <v>1387</v>
      </c>
      <c r="D879" t="str">
        <f ca="1">IFERROR(__xludf.DUMMYFUNCTION("split(A879,""("")"),"Divorce ")</f>
        <v xml:space="preserve">Divorce </v>
      </c>
      <c r="E879" t="str">
        <f ca="1">IFERROR(__xludf.DUMMYFUNCTION("""COMPUTED_VALUE"""),"TV Series 2016– )")</f>
        <v>TV Series 2016– )</v>
      </c>
    </row>
    <row r="880" spans="1:5" ht="13" x14ac:dyDescent="0.15">
      <c r="A880" s="5" t="s">
        <v>1388</v>
      </c>
      <c r="D880" t="str">
        <f ca="1">IFERROR(__xludf.DUMMYFUNCTION("split(A880,""("")"),"Do No Harm ")</f>
        <v xml:space="preserve">Do No Harm </v>
      </c>
      <c r="E880" t="str">
        <f ca="1">IFERROR(__xludf.DUMMYFUNCTION("""COMPUTED_VALUE"""),"TV Series 2013)")</f>
        <v>TV Series 2013)</v>
      </c>
    </row>
    <row r="881" spans="1:5" ht="13" x14ac:dyDescent="0.15">
      <c r="A881" s="5" t="s">
        <v>1389</v>
      </c>
      <c r="D881" t="str">
        <f ca="1">IFERROR(__xludf.DUMMYFUNCTION("split(A881,""("")"),"Do Not Forget ")</f>
        <v xml:space="preserve">Do Not Forget </v>
      </c>
      <c r="E881" t="str">
        <f ca="1">IFERROR(__xludf.DUMMYFUNCTION("""COMPUTED_VALUE"""),"TV Series 2005– )")</f>
        <v>TV Series 2005– )</v>
      </c>
    </row>
    <row r="882" spans="1:5" ht="13" x14ac:dyDescent="0.15">
      <c r="A882" s="5" t="s">
        <v>1390</v>
      </c>
      <c r="D882" t="str">
        <f ca="1">IFERROR(__xludf.DUMMYFUNCTION("split(A882,""("")"),"Doble kara ")</f>
        <v xml:space="preserve">Doble kara </v>
      </c>
      <c r="E882" t="str">
        <f ca="1">IFERROR(__xludf.DUMMYFUNCTION("""COMPUTED_VALUE"""),"TV Series 2015–2017)")</f>
        <v>TV Series 2015–2017)</v>
      </c>
    </row>
    <row r="883" spans="1:5" ht="13" x14ac:dyDescent="0.15">
      <c r="A883" s="5" t="s">
        <v>1391</v>
      </c>
      <c r="D883" t="str">
        <f ca="1">IFERROR(__xludf.DUMMYFUNCTION("split(A883,""("")"),"Doc McStuffins ")</f>
        <v xml:space="preserve">Doc McStuffins </v>
      </c>
      <c r="E883" t="str">
        <f ca="1">IFERROR(__xludf.DUMMYFUNCTION("""COMPUTED_VALUE"""),"TV Series 2012– )")</f>
        <v>TV Series 2012– )</v>
      </c>
    </row>
    <row r="884" spans="1:5" ht="13" x14ac:dyDescent="0.15">
      <c r="A884" s="5" t="s">
        <v>1392</v>
      </c>
      <c r="D884" t="str">
        <f ca="1">IFERROR(__xludf.DUMMYFUNCTION("split(A884,""("")"),"Doctor Doctor ")</f>
        <v xml:space="preserve">Doctor Doctor </v>
      </c>
      <c r="E884" t="str">
        <f ca="1">IFERROR(__xludf.DUMMYFUNCTION("""COMPUTED_VALUE"""),"TV Series 2016– )")</f>
        <v>TV Series 2016– )</v>
      </c>
    </row>
    <row r="885" spans="1:5" ht="13" x14ac:dyDescent="0.15">
      <c r="A885" s="5" t="s">
        <v>1393</v>
      </c>
      <c r="D885" t="str">
        <f ca="1">IFERROR(__xludf.DUMMYFUNCTION("split(A885,""("")"),"Doctor Foster ")</f>
        <v xml:space="preserve">Doctor Foster </v>
      </c>
      <c r="E885" t="str">
        <f ca="1">IFERROR(__xludf.DUMMYFUNCTION("""COMPUTED_VALUE"""),"TV Series 2015– )")</f>
        <v>TV Series 2015– )</v>
      </c>
    </row>
    <row r="886" spans="1:5" ht="13" x14ac:dyDescent="0.15">
      <c r="A886" s="5" t="s">
        <v>563</v>
      </c>
      <c r="D886" t="str">
        <f ca="1">IFERROR(__xludf.DUMMYFUNCTION("split(A886,""("")"),"Doctor Who ")</f>
        <v xml:space="preserve">Doctor Who </v>
      </c>
      <c r="E886" t="str">
        <f ca="1">IFERROR(__xludf.DUMMYFUNCTION("""COMPUTED_VALUE"""),"TV Series 2005– )")</f>
        <v>TV Series 2005– )</v>
      </c>
    </row>
    <row r="887" spans="1:5" ht="13" x14ac:dyDescent="0.15">
      <c r="A887" s="5" t="s">
        <v>564</v>
      </c>
      <c r="D887" t="str">
        <f ca="1">IFERROR(__xludf.DUMMYFUNCTION("split(A887,""("")"),"Doctor Who: Devious ")</f>
        <v xml:space="preserve">Doctor Who: Devious </v>
      </c>
      <c r="E887" t="str">
        <f ca="1">IFERROR(__xludf.DUMMYFUNCTION("""COMPUTED_VALUE"""),"TV Series 2018– )")</f>
        <v>TV Series 2018– )</v>
      </c>
    </row>
    <row r="888" spans="1:5" ht="13" x14ac:dyDescent="0.15">
      <c r="A888" s="5" t="s">
        <v>1394</v>
      </c>
      <c r="D888" t="str">
        <f ca="1">IFERROR(__xludf.DUMMYFUNCTION("split(A888,""("")"),"Does Someone Have to Go? ")</f>
        <v xml:space="preserve">Does Someone Have to Go? </v>
      </c>
      <c r="E888" t="str">
        <f ca="1">IFERROR(__xludf.DUMMYFUNCTION("""COMPUTED_VALUE"""),"TV Series 2013– )")</f>
        <v>TV Series 2013– )</v>
      </c>
    </row>
    <row r="889" spans="1:5" ht="13" x14ac:dyDescent="0.15">
      <c r="A889" s="5" t="s">
        <v>1395</v>
      </c>
      <c r="D889" t="str">
        <f ca="1">IFERROR(__xludf.DUMMYFUNCTION("split(A889,""("")"),"Dog Bites Man ")</f>
        <v xml:space="preserve">Dog Bites Man </v>
      </c>
      <c r="E889" t="str">
        <f ca="1">IFERROR(__xludf.DUMMYFUNCTION("""COMPUTED_VALUE"""),"TV Series 2006– )")</f>
        <v>TV Series 2006– )</v>
      </c>
    </row>
    <row r="890" spans="1:5" ht="13" x14ac:dyDescent="0.15">
      <c r="A890" s="5" t="s">
        <v>1396</v>
      </c>
      <c r="D890" t="str">
        <f ca="1">IFERROR(__xludf.DUMMYFUNCTION("split(A890,""("")"),"Dog Whisperer with Cesar Millan ")</f>
        <v xml:space="preserve">Dog Whisperer with Cesar Millan </v>
      </c>
      <c r="E890" t="str">
        <f ca="1">IFERROR(__xludf.DUMMYFUNCTION("""COMPUTED_VALUE"""),"TV Series 2004–2016)")</f>
        <v>TV Series 2004–2016)</v>
      </c>
    </row>
    <row r="891" spans="1:5" ht="13" x14ac:dyDescent="0.15">
      <c r="A891" s="5" t="s">
        <v>1397</v>
      </c>
      <c r="D891" t="str">
        <f ca="1">IFERROR(__xludf.DUMMYFUNCTION("split(A891,""("")"),"Dog with a Blog ")</f>
        <v xml:space="preserve">Dog with a Blog </v>
      </c>
      <c r="E891" t="str">
        <f ca="1">IFERROR(__xludf.DUMMYFUNCTION("""COMPUTED_VALUE"""),"TV Series 2012–2015)")</f>
        <v>TV Series 2012–2015)</v>
      </c>
    </row>
    <row r="892" spans="1:5" ht="13" x14ac:dyDescent="0.15">
      <c r="A892" s="5" t="s">
        <v>208</v>
      </c>
      <c r="D892" t="str">
        <f ca="1">IFERROR(__xludf.DUMMYFUNCTION("split(A892,""("")"),"Doggy Fizzle Televizzle ")</f>
        <v xml:space="preserve">Doggy Fizzle Televizzle </v>
      </c>
      <c r="E892" t="str">
        <f ca="1">IFERROR(__xludf.DUMMYFUNCTION("""COMPUTED_VALUE"""),"TV Series 2002–2003)")</f>
        <v>TV Series 2002–2003)</v>
      </c>
    </row>
    <row r="893" spans="1:5" ht="13" x14ac:dyDescent="0.15">
      <c r="A893" s="5" t="s">
        <v>1398</v>
      </c>
      <c r="D893" t="str">
        <f ca="1">IFERROR(__xludf.DUMMYFUNCTION("split(A893,""("")"),"Dogs in the City ")</f>
        <v xml:space="preserve">Dogs in the City </v>
      </c>
      <c r="E893" t="str">
        <f ca="1">IFERROR(__xludf.DUMMYFUNCTION("""COMPUTED_VALUE"""),"TV Series 2012– )")</f>
        <v>TV Series 2012– )</v>
      </c>
    </row>
    <row r="894" spans="1:5" ht="13" x14ac:dyDescent="0.15">
      <c r="A894" s="5" t="s">
        <v>1399</v>
      </c>
      <c r="D894" t="str">
        <f ca="1">IFERROR(__xludf.DUMMYFUNCTION("split(A894,""("")"),"Doktor Martin ")</f>
        <v xml:space="preserve">Doktor Martin </v>
      </c>
      <c r="E894" t="str">
        <f ca="1">IFERROR(__xludf.DUMMYFUNCTION("""COMPUTED_VALUE"""),"TV Series 2015– )")</f>
        <v>TV Series 2015– )</v>
      </c>
    </row>
    <row r="895" spans="1:5" ht="13" x14ac:dyDescent="0.15">
      <c r="A895" s="5" t="s">
        <v>1400</v>
      </c>
      <c r="D895" t="str">
        <f ca="1">IFERROR(__xludf.DUMMYFUNCTION("split(A895,""("")"),"Dolgaya doroga v dyunakh ")</f>
        <v xml:space="preserve">Dolgaya doroga v dyunakh </v>
      </c>
      <c r="E895" t="str">
        <f ca="1">IFERROR(__xludf.DUMMYFUNCTION("""COMPUTED_VALUE"""),"TV Series 1980– )")</f>
        <v>TV Series 1980– )</v>
      </c>
    </row>
    <row r="896" spans="1:5" ht="13" x14ac:dyDescent="0.15">
      <c r="A896" s="5" t="s">
        <v>1401</v>
      </c>
      <c r="D896" t="str">
        <f ca="1">IFERROR(__xludf.DUMMYFUNCTION("split(A896,""("")"),"Dollface ")</f>
        <v xml:space="preserve">Dollface </v>
      </c>
      <c r="E896" t="str">
        <f ca="1">IFERROR(__xludf.DUMMYFUNCTION("""COMPUTED_VALUE"""),"TV Series 2019– )")</f>
        <v>TV Series 2019– )</v>
      </c>
    </row>
    <row r="897" spans="1:5" ht="13" x14ac:dyDescent="0.15">
      <c r="A897" s="5" t="s">
        <v>1402</v>
      </c>
      <c r="D897" t="str">
        <f ca="1">IFERROR(__xludf.DUMMYFUNCTION("split(A897,""("")"),"Dollhouse ")</f>
        <v xml:space="preserve">Dollhouse </v>
      </c>
      <c r="E897" t="str">
        <f ca="1">IFERROR(__xludf.DUMMYFUNCTION("""COMPUTED_VALUE"""),"TV Series 2009–2010)")</f>
        <v>TV Series 2009–2010)</v>
      </c>
    </row>
    <row r="898" spans="1:5" ht="13" x14ac:dyDescent="0.15">
      <c r="A898" s="5" t="s">
        <v>1403</v>
      </c>
      <c r="D898" t="str">
        <f ca="1">IFERROR(__xludf.DUMMYFUNCTION("split(A898,""("")"),"Dolmen ")</f>
        <v xml:space="preserve">Dolmen </v>
      </c>
      <c r="E898" t="str">
        <f ca="1">IFERROR(__xludf.DUMMYFUNCTION("""COMPUTED_VALUE"""),"TV Series 2005– )")</f>
        <v>TV Series 2005– )</v>
      </c>
    </row>
    <row r="899" spans="1:5" ht="13" x14ac:dyDescent="0.15">
      <c r="A899" s="5" t="s">
        <v>1404</v>
      </c>
      <c r="D899" t="str">
        <f ca="1">IFERROR(__xludf.DUMMYFUNCTION("split(A899,""("")"),"Domi Novak ")</f>
        <v xml:space="preserve">Domi Novak </v>
      </c>
      <c r="E899" t="str">
        <f ca="1">IFERROR(__xludf.DUMMYFUNCTION("""COMPUTED_VALUE"""),"TV Series 2013– )")</f>
        <v>TV Series 2013– )</v>
      </c>
    </row>
    <row r="900" spans="1:5" ht="13" x14ac:dyDescent="0.15">
      <c r="A900" s="5" t="s">
        <v>1405</v>
      </c>
      <c r="D900" t="str">
        <f ca="1">IFERROR(__xludf.DUMMYFUNCTION("split(A900,""("")"),"Dominion ")</f>
        <v xml:space="preserve">Dominion </v>
      </c>
      <c r="E900" t="str">
        <f ca="1">IFERROR(__xludf.DUMMYFUNCTION("""COMPUTED_VALUE"""),"TV Series 2014–2015)")</f>
        <v>TV Series 2014–2015)</v>
      </c>
    </row>
    <row r="901" spans="1:5" ht="13" x14ac:dyDescent="0.15">
      <c r="A901" s="5" t="s">
        <v>1406</v>
      </c>
      <c r="D901" t="str">
        <f ca="1">IFERROR(__xludf.DUMMYFUNCTION("split(A901,""("")"),"Don't Be Tardy... ")</f>
        <v xml:space="preserve">Don't Be Tardy... </v>
      </c>
      <c r="E901" t="str">
        <f ca="1">IFERROR(__xludf.DUMMYFUNCTION("""COMPUTED_VALUE"""),"TV Series 2012– )")</f>
        <v>TV Series 2012– )</v>
      </c>
    </row>
    <row r="902" spans="1:5" ht="13" x14ac:dyDescent="0.15">
      <c r="A902" s="5" t="s">
        <v>565</v>
      </c>
      <c r="D902" t="str">
        <f ca="1">IFERROR(__xludf.DUMMYFUNCTION("split(A902,""("")"),"Don't mess with an angel ")</f>
        <v xml:space="preserve">Don't mess with an angel </v>
      </c>
      <c r="E902" t="str">
        <f ca="1">IFERROR(__xludf.DUMMYFUNCTION("""COMPUTED_VALUE"""),"TV Series 2008–2009)")</f>
        <v>TV Series 2008–2009)</v>
      </c>
    </row>
    <row r="903" spans="1:5" ht="13" x14ac:dyDescent="0.15">
      <c r="A903" s="5" t="s">
        <v>1407</v>
      </c>
      <c r="D903" t="str">
        <f ca="1">IFERROR(__xludf.DUMMYFUNCTION("split(A903,""("")"),"Don't Tell the Bride ")</f>
        <v xml:space="preserve">Don't Tell the Bride </v>
      </c>
      <c r="E903" t="str">
        <f ca="1">IFERROR(__xludf.DUMMYFUNCTION("""COMPUTED_VALUE"""),"TV Series 2007– )")</f>
        <v>TV Series 2007– )</v>
      </c>
    </row>
    <row r="904" spans="1:5" ht="13" x14ac:dyDescent="0.15">
      <c r="A904" s="5" t="s">
        <v>1408</v>
      </c>
      <c r="D904" t="str">
        <f ca="1">IFERROR(__xludf.DUMMYFUNCTION("split(A904,""("")"),"Doogie Howser, M.D. ")</f>
        <v xml:space="preserve">Doogie Howser, M.D. </v>
      </c>
      <c r="E904" t="str">
        <f ca="1">IFERROR(__xludf.DUMMYFUNCTION("""COMPUTED_VALUE"""),"TV Series 1989–1993)")</f>
        <v>TV Series 1989–1993)</v>
      </c>
    </row>
    <row r="905" spans="1:5" ht="13" x14ac:dyDescent="0.15">
      <c r="A905" s="5" t="s">
        <v>47</v>
      </c>
      <c r="D905" t="str">
        <f ca="1">IFERROR(__xludf.DUMMYFUNCTION("split(A905,""("")"),"Doom Patrol ")</f>
        <v xml:space="preserve">Doom Patrol </v>
      </c>
      <c r="E905" t="str">
        <f ca="1">IFERROR(__xludf.DUMMYFUNCTION("""COMPUTED_VALUE"""),"TV Series 2019– )")</f>
        <v>TV Series 2019– )</v>
      </c>
    </row>
    <row r="906" spans="1:5" ht="13" x14ac:dyDescent="0.15">
      <c r="A906" s="5" t="s">
        <v>1409</v>
      </c>
      <c r="D906" t="str">
        <f ca="1">IFERROR(__xludf.DUMMYFUNCTION("split(A906,""("")"),"Dope ")</f>
        <v xml:space="preserve">Dope </v>
      </c>
      <c r="E906" t="str">
        <f ca="1">IFERROR(__xludf.DUMMYFUNCTION("""COMPUTED_VALUE"""),"TV Series 2017– )")</f>
        <v>TV Series 2017– )</v>
      </c>
    </row>
    <row r="907" spans="1:5" ht="13" x14ac:dyDescent="0.15">
      <c r="A907" s="5" t="s">
        <v>122</v>
      </c>
      <c r="D907" t="str">
        <f ca="1">IFERROR(__xludf.DUMMYFUNCTION("split(A907,""("")"),"Dora the Explorer ")</f>
        <v xml:space="preserve">Dora the Explorer </v>
      </c>
      <c r="E907" t="str">
        <f ca="1">IFERROR(__xludf.DUMMYFUNCTION("""COMPUTED_VALUE"""),"TV Series 2000–2019)")</f>
        <v>TV Series 2000–2019)</v>
      </c>
    </row>
    <row r="908" spans="1:5" ht="13" x14ac:dyDescent="0.15">
      <c r="A908" s="5" t="s">
        <v>1410</v>
      </c>
      <c r="D908" t="str">
        <f ca="1">IFERROR(__xludf.DUMMYFUNCTION("split(A908,""("")"),"Doraemon ")</f>
        <v xml:space="preserve">Doraemon </v>
      </c>
      <c r="E908" t="str">
        <f ca="1">IFERROR(__xludf.DUMMYFUNCTION("""COMPUTED_VALUE"""),"TV Series 2005– )")</f>
        <v>TV Series 2005– )</v>
      </c>
    </row>
    <row r="909" spans="1:5" ht="13" x14ac:dyDescent="0.15">
      <c r="A909" s="5" t="s">
        <v>1411</v>
      </c>
      <c r="D909" t="str">
        <f ca="1">IFERROR(__xludf.DUMMYFUNCTION("split(A909,""("")"),"Dormitoryo ")</f>
        <v xml:space="preserve">Dormitoryo </v>
      </c>
      <c r="E909" t="str">
        <f ca="1">IFERROR(__xludf.DUMMYFUNCTION("""COMPUTED_VALUE"""),"TV Series 2013– )")</f>
        <v>TV Series 2013– )</v>
      </c>
    </row>
    <row r="910" spans="1:5" ht="13" x14ac:dyDescent="0.15">
      <c r="A910" s="5" t="s">
        <v>33</v>
      </c>
      <c r="D910" t="str">
        <f ca="1">IFERROR(__xludf.DUMMYFUNCTION("split(A910,""("")"),"Dorothy and the Wizard of Oz ")</f>
        <v xml:space="preserve">Dorothy and the Wizard of Oz </v>
      </c>
      <c r="E910" t="str">
        <f ca="1">IFERROR(__xludf.DUMMYFUNCTION("""COMPUTED_VALUE"""),"TV Series 2017– )")</f>
        <v>TV Series 2017– )</v>
      </c>
    </row>
    <row r="911" spans="1:5" ht="13" x14ac:dyDescent="0.15">
      <c r="A911" s="5" t="s">
        <v>1412</v>
      </c>
      <c r="D911" t="str">
        <f ca="1">IFERROR(__xludf.DUMMYFUNCTION("split(A911,""("")"),"Dotto! Koni-chan ")</f>
        <v xml:space="preserve">Dotto! Koni-chan </v>
      </c>
      <c r="E911" t="str">
        <f ca="1">IFERROR(__xludf.DUMMYFUNCTION("""COMPUTED_VALUE"""),"TV Series 2000)")</f>
        <v>TV Series 2000)</v>
      </c>
    </row>
    <row r="912" spans="1:5" ht="13" x14ac:dyDescent="0.15">
      <c r="A912" s="5" t="s">
        <v>1413</v>
      </c>
      <c r="D912" t="str">
        <f ca="1">IFERROR(__xludf.DUMMYFUNCTION("split(A912,""("")"),"Double Exposure ")</f>
        <v xml:space="preserve">Double Exposure </v>
      </c>
      <c r="E912" t="str">
        <f ca="1">IFERROR(__xludf.DUMMYFUNCTION("""COMPUTED_VALUE"""),"TV Series 1997– )")</f>
        <v>TV Series 1997– )</v>
      </c>
    </row>
    <row r="913" spans="1:5" ht="13" x14ac:dyDescent="0.15">
      <c r="A913" s="5" t="s">
        <v>1414</v>
      </c>
      <c r="D913" t="str">
        <f ca="1">IFERROR(__xludf.DUMMYFUNCTION("split(A913,""("")"),"Double Your House for Half the Money ")</f>
        <v xml:space="preserve">Double Your House for Half the Money </v>
      </c>
      <c r="E913" t="str">
        <f ca="1">IFERROR(__xludf.DUMMYFUNCTION("""COMPUTED_VALUE"""),"TV Series 2012– )")</f>
        <v>TV Series 2012– )</v>
      </c>
    </row>
    <row r="914" spans="1:5" ht="13" x14ac:dyDescent="0.15">
      <c r="A914" s="5" t="s">
        <v>1415</v>
      </c>
      <c r="D914" t="str">
        <f ca="1">IFERROR(__xludf.DUMMYFUNCTION("split(A914,""("")"),"Down to Earth ")</f>
        <v xml:space="preserve">Down to Earth </v>
      </c>
      <c r="E914" t="str">
        <f ca="1">IFERROR(__xludf.DUMMYFUNCTION("""COMPUTED_VALUE"""),"TV Series 2000–2005)")</f>
        <v>TV Series 2000–2005)</v>
      </c>
    </row>
    <row r="915" spans="1:5" ht="13" x14ac:dyDescent="0.15">
      <c r="A915" s="5" t="s">
        <v>1416</v>
      </c>
      <c r="D915" t="str">
        <f ca="1">IFERROR(__xludf.DUMMYFUNCTION("split(A915,""("")"),"Downton Abbey ")</f>
        <v xml:space="preserve">Downton Abbey </v>
      </c>
      <c r="E915" t="str">
        <f ca="1">IFERROR(__xludf.DUMMYFUNCTION("""COMPUTED_VALUE"""),"TV Series 2010–2015)")</f>
        <v>TV Series 2010–2015)</v>
      </c>
    </row>
    <row r="916" spans="1:5" ht="13" x14ac:dyDescent="0.15">
      <c r="A916" s="5" t="s">
        <v>1417</v>
      </c>
      <c r="D916" t="str">
        <f ca="1">IFERROR(__xludf.DUMMYFUNCTION("split(A916,""("")"),"Dr. 90210 ")</f>
        <v xml:space="preserve">Dr. 90210 </v>
      </c>
      <c r="E916" t="str">
        <f ca="1">IFERROR(__xludf.DUMMYFUNCTION("""COMPUTED_VALUE"""),"TV Series 2004– )")</f>
        <v>TV Series 2004– )</v>
      </c>
    </row>
    <row r="917" spans="1:5" ht="13" x14ac:dyDescent="0.15">
      <c r="A917" s="5" t="s">
        <v>1418</v>
      </c>
      <c r="D917" t="str">
        <f ca="1">IFERROR(__xludf.DUMMYFUNCTION("split(A917,""("")"),"Dr. Kent Hovind Q&amp;A ")</f>
        <v xml:space="preserve">Dr. Kent Hovind Q&amp;A </v>
      </c>
      <c r="E917" t="str">
        <f ca="1">IFERROR(__xludf.DUMMYFUNCTION("""COMPUTED_VALUE"""),"TV Series 2015– )")</f>
        <v>TV Series 2015– )</v>
      </c>
    </row>
    <row r="918" spans="1:5" ht="13" x14ac:dyDescent="0.15">
      <c r="A918" s="5" t="s">
        <v>1419</v>
      </c>
      <c r="D918" t="str">
        <f ca="1">IFERROR(__xludf.DUMMYFUNCTION("split(A918,""("")"),"Dr. Pimple Popper ")</f>
        <v xml:space="preserve">Dr. Pimple Popper </v>
      </c>
      <c r="E918" t="str">
        <f ca="1">IFERROR(__xludf.DUMMYFUNCTION("""COMPUTED_VALUE"""),"TV Series 2018– )")</f>
        <v>TV Series 2018– )</v>
      </c>
    </row>
    <row r="919" spans="1:5" ht="13" x14ac:dyDescent="0.15">
      <c r="A919" s="5" t="s">
        <v>1420</v>
      </c>
      <c r="D919" t="str">
        <f ca="1">IFERROR(__xludf.DUMMYFUNCTION("split(A919,""("")"),"Dr. Slump ")</f>
        <v xml:space="preserve">Dr. Slump </v>
      </c>
      <c r="E919" t="str">
        <f ca="1">IFERROR(__xludf.DUMMYFUNCTION("""COMPUTED_VALUE"""),"TV Series 1981– )")</f>
        <v>TV Series 1981– )</v>
      </c>
    </row>
    <row r="920" spans="1:5" ht="13" x14ac:dyDescent="0.15">
      <c r="A920" s="5" t="s">
        <v>57</v>
      </c>
      <c r="D920" t="str">
        <f ca="1">IFERROR(__xludf.DUMMYFUNCTION("split(A920,""("")"),"Dracula ")</f>
        <v xml:space="preserve">Dracula </v>
      </c>
      <c r="E920" t="str">
        <f ca="1">IFERROR(__xludf.DUMMYFUNCTION("""COMPUTED_VALUE"""),"TV Series 2013–2014)")</f>
        <v>TV Series 2013–2014)</v>
      </c>
    </row>
    <row r="921" spans="1:5" ht="13" x14ac:dyDescent="0.15">
      <c r="A921" s="5" t="s">
        <v>58</v>
      </c>
      <c r="D921" t="str">
        <f ca="1">IFERROR(__xludf.DUMMYFUNCTION("split(A921,""("")"),"Dragon Ball ")</f>
        <v xml:space="preserve">Dragon Ball </v>
      </c>
      <c r="E921" t="str">
        <f ca="1">IFERROR(__xludf.DUMMYFUNCTION("""COMPUTED_VALUE"""),"TV Series 1995–2003)")</f>
        <v>TV Series 1995–2003)</v>
      </c>
    </row>
    <row r="922" spans="1:5" ht="13" x14ac:dyDescent="0.15">
      <c r="A922" s="5" t="s">
        <v>59</v>
      </c>
      <c r="D922" t="str">
        <f ca="1">IFERROR(__xludf.DUMMYFUNCTION("split(A922,""("")"),"Dragon Ball Super ")</f>
        <v xml:space="preserve">Dragon Ball Super </v>
      </c>
      <c r="E922" t="str">
        <f ca="1">IFERROR(__xludf.DUMMYFUNCTION("""COMPUTED_VALUE"""),"TV Series 2015–2018)")</f>
        <v>TV Series 2015–2018)</v>
      </c>
    </row>
    <row r="923" spans="1:5" ht="13" x14ac:dyDescent="0.15">
      <c r="A923" s="5" t="s">
        <v>60</v>
      </c>
      <c r="D923" t="str">
        <f ca="1">IFERROR(__xludf.DUMMYFUNCTION("split(A923,""("")"),"Dragon Ball Z ")</f>
        <v xml:space="preserve">Dragon Ball Z </v>
      </c>
      <c r="E923" t="str">
        <f ca="1">IFERROR(__xludf.DUMMYFUNCTION("""COMPUTED_VALUE"""),"TV Series 1989–1996)")</f>
        <v>TV Series 1989–1996)</v>
      </c>
    </row>
    <row r="924" spans="1:5" ht="13" x14ac:dyDescent="0.15">
      <c r="A924" s="5" t="s">
        <v>61</v>
      </c>
      <c r="D924" t="str">
        <f ca="1">IFERROR(__xludf.DUMMYFUNCTION("split(A924,""("")"),"Dragon Ball Z ")</f>
        <v xml:space="preserve">Dragon Ball Z </v>
      </c>
      <c r="E924" t="str">
        <f ca="1">IFERROR(__xludf.DUMMYFUNCTION("""COMPUTED_VALUE"""),"TV Series 1996–2003)")</f>
        <v>TV Series 1996–2003)</v>
      </c>
    </row>
    <row r="925" spans="1:5" ht="13" x14ac:dyDescent="0.15">
      <c r="A925" s="5" t="s">
        <v>62</v>
      </c>
      <c r="D925" t="str">
        <f ca="1">IFERROR(__xludf.DUMMYFUNCTION("split(A925,""("")"),"Dragon Flyz ")</f>
        <v xml:space="preserve">Dragon Flyz </v>
      </c>
      <c r="E925" t="str">
        <f ca="1">IFERROR(__xludf.DUMMYFUNCTION("""COMPUTED_VALUE"""),"TV Series 1996– )")</f>
        <v>TV Series 1996– )</v>
      </c>
    </row>
    <row r="926" spans="1:5" ht="13" x14ac:dyDescent="0.15">
      <c r="A926" s="5" t="s">
        <v>1421</v>
      </c>
      <c r="D926" t="str">
        <f ca="1">IFERROR(__xludf.DUMMYFUNCTION("split(A926,""("")"),"Drake &amp; Josh ")</f>
        <v xml:space="preserve">Drake &amp; Josh </v>
      </c>
      <c r="E926" t="str">
        <f ca="1">IFERROR(__xludf.DUMMYFUNCTION("""COMPUTED_VALUE"""),"TV Series 2004–2007)")</f>
        <v>TV Series 2004–2007)</v>
      </c>
    </row>
    <row r="927" spans="1:5" ht="13" x14ac:dyDescent="0.15">
      <c r="A927" s="5" t="s">
        <v>1422</v>
      </c>
      <c r="D927" t="str">
        <f ca="1">IFERROR(__xludf.DUMMYFUNCTION("split(A927,""("")"),"Drawn Together ")</f>
        <v xml:space="preserve">Drawn Together </v>
      </c>
      <c r="E927" t="str">
        <f ca="1">IFERROR(__xludf.DUMMYFUNCTION("""COMPUTED_VALUE"""),"TV Series 2004–2007)")</f>
        <v>TV Series 2004–2007)</v>
      </c>
    </row>
    <row r="928" spans="1:5" ht="13" x14ac:dyDescent="0.15">
      <c r="A928" s="5" t="s">
        <v>1423</v>
      </c>
      <c r="D928" t="str">
        <f ca="1">IFERROR(__xludf.DUMMYFUNCTION("split(A928,""("")"),"Dream High ")</f>
        <v xml:space="preserve">Dream High </v>
      </c>
      <c r="E928" t="str">
        <f ca="1">IFERROR(__xludf.DUMMYFUNCTION("""COMPUTED_VALUE"""),"TV Series 2011– )")</f>
        <v>TV Series 2011– )</v>
      </c>
    </row>
    <row r="929" spans="1:5" ht="13" x14ac:dyDescent="0.15">
      <c r="A929" s="5" t="s">
        <v>1424</v>
      </c>
      <c r="D929" t="str">
        <f ca="1">IFERROR(__xludf.DUMMYFUNCTION("split(A929,""("")"),"Drive ")</f>
        <v xml:space="preserve">Drive </v>
      </c>
      <c r="E929" t="str">
        <f ca="1">IFERROR(__xludf.DUMMYFUNCTION("""COMPUTED_VALUE"""),"TV Series 2007– )")</f>
        <v>TV Series 2007– )</v>
      </c>
    </row>
    <row r="930" spans="1:5" ht="13" x14ac:dyDescent="0.15">
      <c r="A930" s="5" t="s">
        <v>1425</v>
      </c>
      <c r="D930" t="str">
        <f ca="1">IFERROR(__xludf.DUMMYFUNCTION("split(A930,""("")"),"Drive in ")</f>
        <v xml:space="preserve">Drive in </v>
      </c>
      <c r="E930" t="str">
        <f ca="1">IFERROR(__xludf.DUMMYFUNCTION("""COMPUTED_VALUE"""),"TV Series 1983–1988)")</f>
        <v>TV Series 1983–1988)</v>
      </c>
    </row>
    <row r="931" spans="1:5" ht="13" x14ac:dyDescent="0.15">
      <c r="A931" s="5" t="s">
        <v>1426</v>
      </c>
      <c r="D931" t="str">
        <f ca="1">IFERROR(__xludf.DUMMYFUNCTION("split(A931,""("")"),"Drop Dead Diva ")</f>
        <v xml:space="preserve">Drop Dead Diva </v>
      </c>
      <c r="E931" t="str">
        <f ca="1">IFERROR(__xludf.DUMMYFUNCTION("""COMPUTED_VALUE"""),"TV Series 2009–2014)")</f>
        <v>TV Series 2009–2014)</v>
      </c>
    </row>
    <row r="932" spans="1:5" ht="13" x14ac:dyDescent="0.15">
      <c r="A932" s="5" t="s">
        <v>1427</v>
      </c>
      <c r="D932" t="str">
        <f ca="1">IFERROR(__xludf.DUMMYFUNCTION("split(A932,""("")"),"Drug Lords ")</f>
        <v xml:space="preserve">Drug Lords </v>
      </c>
      <c r="E932" t="str">
        <f ca="1">IFERROR(__xludf.DUMMYFUNCTION("""COMPUTED_VALUE"""),"TV Series 2018– )")</f>
        <v>TV Series 2018– )</v>
      </c>
    </row>
    <row r="933" spans="1:5" ht="13" x14ac:dyDescent="0.15">
      <c r="A933" s="5" t="s">
        <v>1428</v>
      </c>
      <c r="D933" t="str">
        <f ca="1">IFERROR(__xludf.DUMMYFUNCTION("split(A933,""("")"),"Drugs, Inc. ")</f>
        <v xml:space="preserve">Drugs, Inc. </v>
      </c>
      <c r="E933" t="str">
        <f ca="1">IFERROR(__xludf.DUMMYFUNCTION("""COMPUTED_VALUE"""),"TV Series 2010– )")</f>
        <v>TV Series 2010– )</v>
      </c>
    </row>
    <row r="934" spans="1:5" ht="13" x14ac:dyDescent="0.15">
      <c r="A934" s="5" t="s">
        <v>1429</v>
      </c>
      <c r="D934" t="str">
        <f ca="1">IFERROR(__xludf.DUMMYFUNCTION("split(A934,""("")"),"Drunk History ")</f>
        <v xml:space="preserve">Drunk History </v>
      </c>
      <c r="E934" t="str">
        <f ca="1">IFERROR(__xludf.DUMMYFUNCTION("""COMPUTED_VALUE"""),"TV Series 2007–2011)")</f>
        <v>TV Series 2007–2011)</v>
      </c>
    </row>
    <row r="935" spans="1:5" ht="13" x14ac:dyDescent="0.15">
      <c r="A935" s="5" t="s">
        <v>566</v>
      </c>
      <c r="D935" t="str">
        <f ca="1">IFERROR(__xludf.DUMMYFUNCTION("split(A935,""("")"),"Drunk History ")</f>
        <v xml:space="preserve">Drunk History </v>
      </c>
      <c r="E935" t="str">
        <f ca="1">IFERROR(__xludf.DUMMYFUNCTION("""COMPUTED_VALUE"""),"TV Series 2013– )")</f>
        <v>TV Series 2013– )</v>
      </c>
    </row>
    <row r="936" spans="1:5" ht="13" x14ac:dyDescent="0.15">
      <c r="A936" s="5" t="s">
        <v>1430</v>
      </c>
      <c r="D936" t="str">
        <f ca="1">IFERROR(__xludf.DUMMYFUNCTION("split(A936,""("")"),"Duck Dodgers ")</f>
        <v xml:space="preserve">Duck Dodgers </v>
      </c>
      <c r="E936" t="str">
        <f ca="1">IFERROR(__xludf.DUMMYFUNCTION("""COMPUTED_VALUE"""),"TV Series 2003–2005)")</f>
        <v>TV Series 2003–2005)</v>
      </c>
    </row>
    <row r="937" spans="1:5" ht="13" x14ac:dyDescent="0.15">
      <c r="A937" s="5" t="s">
        <v>1431</v>
      </c>
      <c r="D937" t="str">
        <f ca="1">IFERROR(__xludf.DUMMYFUNCTION("split(A937,""("")"),"Duckie ")</f>
        <v xml:space="preserve">Duckie </v>
      </c>
      <c r="E937" t="str">
        <f ca="1">IFERROR(__xludf.DUMMYFUNCTION("""COMPUTED_VALUE"""),"TV Series 2016– )")</f>
        <v>TV Series 2016– )</v>
      </c>
    </row>
    <row r="938" spans="1:5" ht="13" x14ac:dyDescent="0.15">
      <c r="A938" s="5" t="s">
        <v>1432</v>
      </c>
      <c r="D938" t="str">
        <f ca="1">IFERROR(__xludf.DUMMYFUNCTION("split(A938,""("")"),"Duckman: Private Dick/Family Man ")</f>
        <v xml:space="preserve">Duckman: Private Dick/Family Man </v>
      </c>
      <c r="E938" t="str">
        <f ca="1">IFERROR(__xludf.DUMMYFUNCTION("""COMPUTED_VALUE"""),"TV Series 1994–1997)")</f>
        <v>TV Series 1994–1997)</v>
      </c>
    </row>
    <row r="939" spans="1:5" ht="13" x14ac:dyDescent="0.15">
      <c r="A939" s="5" t="s">
        <v>499</v>
      </c>
      <c r="D939" t="str">
        <f ca="1">IFERROR(__xludf.DUMMYFUNCTION("split(A939,""("")"),"DuckTales ")</f>
        <v xml:space="preserve">DuckTales </v>
      </c>
      <c r="E939" t="str">
        <f ca="1">IFERROR(__xludf.DUMMYFUNCTION("""COMPUTED_VALUE"""),"TV Series 1987–1990)")</f>
        <v>TV Series 1987–1990)</v>
      </c>
    </row>
    <row r="940" spans="1:5" ht="13" x14ac:dyDescent="0.15">
      <c r="A940" s="5" t="s">
        <v>500</v>
      </c>
      <c r="D940" t="str">
        <f ca="1">IFERROR(__xludf.DUMMYFUNCTION("split(A940,""("")"),"DuckTales ")</f>
        <v xml:space="preserve">DuckTales </v>
      </c>
      <c r="E940" t="str">
        <f ca="1">IFERROR(__xludf.DUMMYFUNCTION("""COMPUTED_VALUE"""),"TV Series 2017– )")</f>
        <v>TV Series 2017– )</v>
      </c>
    </row>
    <row r="941" spans="1:5" ht="13" x14ac:dyDescent="0.15">
      <c r="A941" s="5" t="s">
        <v>1433</v>
      </c>
      <c r="D941" t="str">
        <f ca="1">IFERROR(__xludf.DUMMYFUNCTION("split(A941,""("")"),"Duel Masters ")</f>
        <v xml:space="preserve">Duel Masters </v>
      </c>
      <c r="E941" t="str">
        <f ca="1">IFERROR(__xludf.DUMMYFUNCTION("""COMPUTED_VALUE"""),"TV Series 2004– )")</f>
        <v>TV Series 2004– )</v>
      </c>
    </row>
    <row r="942" spans="1:5" ht="13" x14ac:dyDescent="0.15">
      <c r="A942" s="5" t="s">
        <v>1434</v>
      </c>
      <c r="D942" t="str">
        <f ca="1">IFERROR(__xludf.DUMMYFUNCTION("split(A942,""("")"),"Duets ")</f>
        <v xml:space="preserve">Duets </v>
      </c>
      <c r="E942" t="str">
        <f ca="1">IFERROR(__xludf.DUMMYFUNCTION("""COMPUTED_VALUE"""),"TV Series 2012)")</f>
        <v>TV Series 2012)</v>
      </c>
    </row>
    <row r="943" spans="1:5" ht="13" x14ac:dyDescent="0.15">
      <c r="A943" s="5" t="s">
        <v>501</v>
      </c>
      <c r="D943" t="str">
        <f ca="1">IFERROR(__xludf.DUMMYFUNCTION("split(A943,""("")"),"Dungeons &amp; Dragons ")</f>
        <v xml:space="preserve">Dungeons &amp; Dragons </v>
      </c>
      <c r="E943" t="str">
        <f ca="1">IFERROR(__xludf.DUMMYFUNCTION("""COMPUTED_VALUE"""),"TV Series 1983–1985)")</f>
        <v>TV Series 1983–1985)</v>
      </c>
    </row>
    <row r="944" spans="1:5" ht="13" x14ac:dyDescent="0.15">
      <c r="A944" s="5" t="s">
        <v>1435</v>
      </c>
      <c r="D944" t="str">
        <f ca="1">IFERROR(__xludf.DUMMYFUNCTION("split(A944,""("")"),"Durarara!! ")</f>
        <v xml:space="preserve">Durarara!! </v>
      </c>
      <c r="E944" t="str">
        <f ca="1">IFERROR(__xludf.DUMMYFUNCTION("""COMPUTED_VALUE"""),"TV Series 2010)")</f>
        <v>TV Series 2010)</v>
      </c>
    </row>
    <row r="945" spans="1:5" ht="13" x14ac:dyDescent="0.15">
      <c r="A945" s="5" t="s">
        <v>1436</v>
      </c>
      <c r="D945" t="str">
        <f ca="1">IFERROR(__xludf.DUMMYFUNCTION("split(A945,""("")"),"Durham County ")</f>
        <v xml:space="preserve">Durham County </v>
      </c>
      <c r="E945" t="str">
        <f ca="1">IFERROR(__xludf.DUMMYFUNCTION("""COMPUTED_VALUE"""),"TV Series 2007– )")</f>
        <v>TV Series 2007– )</v>
      </c>
    </row>
    <row r="946" spans="1:5" ht="13" x14ac:dyDescent="0.15">
      <c r="A946" s="5" t="s">
        <v>1437</v>
      </c>
      <c r="D946" t="str">
        <f ca="1">IFERROR(__xludf.DUMMYFUNCTION("split(A946,""("")"),"Duty of Facebook ")</f>
        <v xml:space="preserve">Duty of Facebook </v>
      </c>
      <c r="E946" t="str">
        <f ca="1">IFERROR(__xludf.DUMMYFUNCTION("""COMPUTED_VALUE"""),"TV Series 2014– )")</f>
        <v>TV Series 2014– )</v>
      </c>
    </row>
    <row r="947" spans="1:5" ht="13" x14ac:dyDescent="0.15">
      <c r="A947" s="5" t="s">
        <v>1438</v>
      </c>
      <c r="D947" t="str">
        <f ca="1">IFERROR(__xludf.DUMMYFUNCTION("split(A947,""("")"),"Dva tátové ")</f>
        <v xml:space="preserve">Dva tátové </v>
      </c>
      <c r="E947" t="str">
        <f ca="1">IFERROR(__xludf.DUMMYFUNCTION("""COMPUTED_VALUE"""),"TV Series 2018– )")</f>
        <v>TV Series 2018– )</v>
      </c>
    </row>
    <row r="948" spans="1:5" ht="13" x14ac:dyDescent="0.15">
      <c r="A948" s="5" t="s">
        <v>1439</v>
      </c>
      <c r="D948" t="str">
        <f ca="1">IFERROR(__xludf.DUMMYFUNCTION("split(A948,""("")"),"Dying to Belong ")</f>
        <v xml:space="preserve">Dying to Belong </v>
      </c>
      <c r="E948" t="str">
        <f ca="1">IFERROR(__xludf.DUMMYFUNCTION("""COMPUTED_VALUE"""),"TV Series 2018– )")</f>
        <v>TV Series 2018– )</v>
      </c>
    </row>
    <row r="949" spans="1:5" ht="13" x14ac:dyDescent="0.15">
      <c r="A949" s="5" t="s">
        <v>1440</v>
      </c>
      <c r="D949" t="str">
        <f ca="1">IFERROR(__xludf.DUMMYFUNCTION("split(A949,""("")"),"Dynamo: Magician Impossible ")</f>
        <v xml:space="preserve">Dynamo: Magician Impossible </v>
      </c>
      <c r="E949" t="str">
        <f ca="1">IFERROR(__xludf.DUMMYFUNCTION("""COMPUTED_VALUE"""),"TV Series 2011–2014)")</f>
        <v>TV Series 2011–2014)</v>
      </c>
    </row>
    <row r="950" spans="1:5" ht="13" x14ac:dyDescent="0.15">
      <c r="A950" s="5" t="s">
        <v>249</v>
      </c>
      <c r="D950" t="str">
        <f ca="1">IFERROR(__xludf.DUMMYFUNCTION("split(A950,""("")"),"Dynasty ")</f>
        <v xml:space="preserve">Dynasty </v>
      </c>
      <c r="E950" t="str">
        <f ca="1">IFERROR(__xludf.DUMMYFUNCTION("""COMPUTED_VALUE"""),"TV Series 1981–1989)")</f>
        <v>TV Series 1981–1989)</v>
      </c>
    </row>
    <row r="951" spans="1:5" ht="13" x14ac:dyDescent="0.15">
      <c r="A951" s="5" t="s">
        <v>567</v>
      </c>
      <c r="D951" t="str">
        <f ca="1">IFERROR(__xludf.DUMMYFUNCTION("split(A951,""("")"),"Dynasty ")</f>
        <v xml:space="preserve">Dynasty </v>
      </c>
      <c r="E951" t="str">
        <f ca="1">IFERROR(__xludf.DUMMYFUNCTION("""COMPUTED_VALUE"""),"TV Series 2017– )")</f>
        <v>TV Series 2017– )</v>
      </c>
    </row>
    <row r="952" spans="1:5" ht="13" x14ac:dyDescent="0.15">
      <c r="A952" s="5" t="s">
        <v>1441</v>
      </c>
      <c r="D952" t="str">
        <f ca="1">IFERROR(__xludf.DUMMYFUNCTION("split(A952,""("")"),"E! True Hollywood Story ")</f>
        <v xml:space="preserve">E! True Hollywood Story </v>
      </c>
      <c r="E952" t="str">
        <f ca="1">IFERROR(__xludf.DUMMYFUNCTION("""COMPUTED_VALUE"""),"TV Series 1996– )")</f>
        <v>TV Series 1996– )</v>
      </c>
    </row>
    <row r="953" spans="1:5" ht="13" x14ac:dyDescent="0.15">
      <c r="A953" s="5" t="s">
        <v>1442</v>
      </c>
      <c r="D953" t="str">
        <f ca="1">IFERROR(__xludf.DUMMYFUNCTION("split(A953,""("")"),"E/R ")</f>
        <v xml:space="preserve">E/R </v>
      </c>
      <c r="E953" t="str">
        <f ca="1">IFERROR(__xludf.DUMMYFUNCTION("""COMPUTED_VALUE"""),"TV Series 1984–1985)")</f>
        <v>TV Series 1984–1985)</v>
      </c>
    </row>
    <row r="954" spans="1:5" ht="13" x14ac:dyDescent="0.15">
      <c r="A954" s="5" t="s">
        <v>1443</v>
      </c>
      <c r="D954" t="str">
        <f ca="1">IFERROR(__xludf.DUMMYFUNCTION("split(A954,""("")"),"EastEnders ")</f>
        <v xml:space="preserve">EastEnders </v>
      </c>
      <c r="E954" t="str">
        <f ca="1">IFERROR(__xludf.DUMMYFUNCTION("""COMPUTED_VALUE"""),"TV Series 1985– )")</f>
        <v>TV Series 1985– )</v>
      </c>
    </row>
    <row r="955" spans="1:5" ht="13" x14ac:dyDescent="0.15">
      <c r="A955" s="5" t="s">
        <v>1444</v>
      </c>
      <c r="D955" t="str">
        <f ca="1">IFERROR(__xludf.DUMMYFUNCTION("split(A955,""("")"),"Eastsiders ")</f>
        <v xml:space="preserve">Eastsiders </v>
      </c>
      <c r="E955" t="str">
        <f ca="1">IFERROR(__xludf.DUMMYFUNCTION("""COMPUTED_VALUE"""),"TV Series 2012– )")</f>
        <v>TV Series 2012– )</v>
      </c>
    </row>
    <row r="956" spans="1:5" ht="13" x14ac:dyDescent="0.15">
      <c r="A956" s="5" t="s">
        <v>1445</v>
      </c>
      <c r="D956" t="str">
        <f ca="1">IFERROR(__xludf.DUMMYFUNCTION("split(A956,""("")"),"Eaux troubles du crime ")</f>
        <v xml:space="preserve">Eaux troubles du crime </v>
      </c>
      <c r="E956" t="str">
        <f ca="1">IFERROR(__xludf.DUMMYFUNCTION("""COMPUTED_VALUE"""),"TV Series 2007– )")</f>
        <v>TV Series 2007– )</v>
      </c>
    </row>
    <row r="957" spans="1:5" ht="13" x14ac:dyDescent="0.15">
      <c r="A957" s="5" t="s">
        <v>1446</v>
      </c>
      <c r="D957" t="str">
        <f ca="1">IFERROR(__xludf.DUMMYFUNCTION("split(A957,""("")"),"ECW Wrestling TNN ")</f>
        <v xml:space="preserve">ECW Wrestling TNN </v>
      </c>
      <c r="E957" t="str">
        <f ca="1">IFERROR(__xludf.DUMMYFUNCTION("""COMPUTED_VALUE"""),"TV Series 1999– )")</f>
        <v>TV Series 1999– )</v>
      </c>
    </row>
    <row r="958" spans="1:5" ht="13" x14ac:dyDescent="0.15">
      <c r="A958" s="5" t="s">
        <v>1447</v>
      </c>
      <c r="D958" t="str">
        <f ca="1">IFERROR(__xludf.DUMMYFUNCTION("split(A958,""("")"),"Ed ")</f>
        <v xml:space="preserve">Ed </v>
      </c>
      <c r="E958" t="str">
        <f ca="1">IFERROR(__xludf.DUMMYFUNCTION("""COMPUTED_VALUE"""),"TV Series 2000–2004)")</f>
        <v>TV Series 2000–2004)</v>
      </c>
    </row>
    <row r="959" spans="1:5" ht="13" x14ac:dyDescent="0.15">
      <c r="A959" s="5" t="s">
        <v>1448</v>
      </c>
      <c r="D959" t="str">
        <f ca="1">IFERROR(__xludf.DUMMYFUNCTION("split(A959,""("")"),"Ed, Edd n Eddy ")</f>
        <v xml:space="preserve">Ed, Edd n Eddy </v>
      </c>
      <c r="E959" t="str">
        <f ca="1">IFERROR(__xludf.DUMMYFUNCTION("""COMPUTED_VALUE"""),"TV Series 1999–2008)")</f>
        <v>TV Series 1999–2008)</v>
      </c>
    </row>
    <row r="960" spans="1:5" ht="13" x14ac:dyDescent="0.15">
      <c r="A960" s="5" t="s">
        <v>1449</v>
      </c>
      <c r="D960" t="str">
        <f ca="1">IFERROR(__xludf.DUMMYFUNCTION("split(A960,""("")"),"Eda, ya lyublyu tebya! ")</f>
        <v xml:space="preserve">Eda, ya lyublyu tebya! </v>
      </c>
      <c r="E960" t="str">
        <f ca="1">IFERROR(__xludf.DUMMYFUNCTION("""COMPUTED_VALUE"""),"TV Series 2015– )")</f>
        <v>TV Series 2015– )</v>
      </c>
    </row>
    <row r="961" spans="1:5" ht="13" x14ac:dyDescent="0.15">
      <c r="A961" s="5" t="s">
        <v>1450</v>
      </c>
      <c r="D961" t="str">
        <f ca="1">IFERROR(__xludf.DUMMYFUNCTION("split(A961,""("")"),"Eden ")</f>
        <v xml:space="preserve">Eden </v>
      </c>
      <c r="E961" t="str">
        <f ca="1">IFERROR(__xludf.DUMMYFUNCTION("""COMPUTED_VALUE"""),"TV Series 1993– )")</f>
        <v>TV Series 1993– )</v>
      </c>
    </row>
    <row r="962" spans="1:5" ht="13" x14ac:dyDescent="0.15">
      <c r="A962" s="5" t="s">
        <v>1451</v>
      </c>
      <c r="D962" t="str">
        <f ca="1">IFERROR(__xludf.DUMMYFUNCTION("split(A962,""("")"),"Eden of the East ")</f>
        <v xml:space="preserve">Eden of the East </v>
      </c>
      <c r="E962" t="str">
        <f ca="1">IFERROR(__xludf.DUMMYFUNCTION("""COMPUTED_VALUE"""),"TV Series 2009)")</f>
        <v>TV Series 2009)</v>
      </c>
    </row>
    <row r="963" spans="1:5" ht="13" x14ac:dyDescent="0.15">
      <c r="A963" s="5" t="s">
        <v>1452</v>
      </c>
      <c r="D963" t="str">
        <f ca="1">IFERROR(__xludf.DUMMYFUNCTION("split(A963,""("")"),"Eden's Bowy ")</f>
        <v xml:space="preserve">Eden's Bowy </v>
      </c>
      <c r="E963" t="str">
        <f ca="1">IFERROR(__xludf.DUMMYFUNCTION("""COMPUTED_VALUE"""),"TV Series 1999– )")</f>
        <v>TV Series 1999– )</v>
      </c>
    </row>
    <row r="964" spans="1:5" ht="13" x14ac:dyDescent="0.15">
      <c r="A964" s="5" t="s">
        <v>1453</v>
      </c>
      <c r="D964" t="str">
        <f ca="1">IFERROR(__xludf.DUMMYFUNCTION("split(A964,""("")"),"Edge of Desire ")</f>
        <v xml:space="preserve">Edge of Desire </v>
      </c>
      <c r="E964" t="str">
        <f ca="1">IFERROR(__xludf.DUMMYFUNCTION("""COMPUTED_VALUE"""),"TV Series 2017)")</f>
        <v>TV Series 2017)</v>
      </c>
    </row>
    <row r="965" spans="1:5" ht="13" x14ac:dyDescent="0.15">
      <c r="A965" s="5" t="s">
        <v>1454</v>
      </c>
      <c r="D965" t="str">
        <f ca="1">IFERROR(__xludf.DUMMYFUNCTION("split(A965,""("")"),"El auténtico Rodrigo Leal ")</f>
        <v xml:space="preserve">El auténtico Rodrigo Leal </v>
      </c>
      <c r="E965" t="str">
        <f ca="1">IFERROR(__xludf.DUMMYFUNCTION("""COMPUTED_VALUE"""),"TV Series 2005)")</f>
        <v>TV Series 2005)</v>
      </c>
    </row>
    <row r="966" spans="1:5" ht="13" x14ac:dyDescent="0.15">
      <c r="A966" s="5" t="s">
        <v>1455</v>
      </c>
      <c r="D966" t="str">
        <f ca="1">IFERROR(__xludf.DUMMYFUNCTION("split(A966,""("")"),"El Cazador de la Bruja ")</f>
        <v xml:space="preserve">El Cazador de la Bruja </v>
      </c>
      <c r="E966" t="str">
        <f ca="1">IFERROR(__xludf.DUMMYFUNCTION("""COMPUTED_VALUE"""),"TV Series 2007– )")</f>
        <v>TV Series 2007– )</v>
      </c>
    </row>
    <row r="967" spans="1:5" ht="13" x14ac:dyDescent="0.15">
      <c r="A967" s="5" t="s">
        <v>209</v>
      </c>
      <c r="D967" t="str">
        <f ca="1">IFERROR(__xludf.DUMMYFUNCTION("split(A967,""("")"),"El Chapo ")</f>
        <v xml:space="preserve">El Chapo </v>
      </c>
      <c r="E967" t="str">
        <f ca="1">IFERROR(__xludf.DUMMYFUNCTION("""COMPUTED_VALUE"""),"TV Series 2017– )")</f>
        <v>TV Series 2017– )</v>
      </c>
    </row>
    <row r="968" spans="1:5" ht="13" x14ac:dyDescent="0.15">
      <c r="A968" s="5" t="s">
        <v>1456</v>
      </c>
      <c r="D968" t="str">
        <f ca="1">IFERROR(__xludf.DUMMYFUNCTION("split(A968,""("")"),"El Peyero Enmascarado ")</f>
        <v xml:space="preserve">El Peyero Enmascarado </v>
      </c>
      <c r="E968" t="str">
        <f ca="1">IFERROR(__xludf.DUMMYFUNCTION("""COMPUTED_VALUE"""),"TV Series 2013)")</f>
        <v>TV Series 2013)</v>
      </c>
    </row>
    <row r="969" spans="1:5" ht="13" x14ac:dyDescent="0.15">
      <c r="A969" s="5" t="s">
        <v>1457</v>
      </c>
      <c r="D969" t="str">
        <f ca="1">IFERROR(__xludf.DUMMYFUNCTION("split(A969,""("")"),"El privilegio de amar ")</f>
        <v xml:space="preserve">El privilegio de amar </v>
      </c>
      <c r="E969" t="str">
        <f ca="1">IFERROR(__xludf.DUMMYFUNCTION("""COMPUTED_VALUE"""),"TV Series 1998–1999)")</f>
        <v>TV Series 1998–1999)</v>
      </c>
    </row>
    <row r="970" spans="1:5" ht="13" x14ac:dyDescent="0.15">
      <c r="A970" s="5" t="s">
        <v>1458</v>
      </c>
      <c r="D970" t="str">
        <f ca="1">IFERROR(__xludf.DUMMYFUNCTION("split(A970,""("")"),"El Rostro de la Venganza ")</f>
        <v xml:space="preserve">El Rostro de la Venganza </v>
      </c>
      <c r="E970" t="str">
        <f ca="1">IFERROR(__xludf.DUMMYFUNCTION("""COMPUTED_VALUE"""),"TV Series 2012– )")</f>
        <v>TV Series 2012– )</v>
      </c>
    </row>
    <row r="971" spans="1:5" ht="13" x14ac:dyDescent="0.15">
      <c r="A971" s="5" t="s">
        <v>1459</v>
      </c>
      <c r="D971" t="str">
        <f ca="1">IFERROR(__xludf.DUMMYFUNCTION("split(A971,""("")"),"El secreto de Puente Viejo ")</f>
        <v xml:space="preserve">El secreto de Puente Viejo </v>
      </c>
      <c r="E971" t="str">
        <f ca="1">IFERROR(__xludf.DUMMYFUNCTION("""COMPUTED_VALUE"""),"TV Series 2011– )")</f>
        <v>TV Series 2011– )</v>
      </c>
    </row>
    <row r="972" spans="1:5" ht="13" x14ac:dyDescent="0.15">
      <c r="A972" s="5" t="s">
        <v>1460</v>
      </c>
      <c r="D972" t="str">
        <f ca="1">IFERROR(__xludf.DUMMYFUNCTION("split(A972,""("")"),"El Señor de la Querencia ")</f>
        <v xml:space="preserve">El Señor de la Querencia </v>
      </c>
      <c r="E972" t="str">
        <f ca="1">IFERROR(__xludf.DUMMYFUNCTION("""COMPUTED_VALUE"""),"TV Series 2008)")</f>
        <v>TV Series 2008)</v>
      </c>
    </row>
    <row r="973" spans="1:5" ht="13" x14ac:dyDescent="0.15">
      <c r="A973" s="5" t="s">
        <v>1461</v>
      </c>
      <c r="D973" t="str">
        <f ca="1">IFERROR(__xludf.DUMMYFUNCTION("split(A973,""("")"),"El Shahroura ")</f>
        <v xml:space="preserve">El Shahroura </v>
      </c>
      <c r="E973" t="str">
        <f ca="1">IFERROR(__xludf.DUMMYFUNCTION("""COMPUTED_VALUE"""),"TV Series 2011– )")</f>
        <v>TV Series 2011– )</v>
      </c>
    </row>
    <row r="974" spans="1:5" ht="13" x14ac:dyDescent="0.15">
      <c r="A974" s="7" t="s">
        <v>1462</v>
      </c>
      <c r="D974" t="str">
        <f ca="1">IFERROR(__xludf.DUMMYFUNCTION("split(A974,""("")"),"El Show de Marquez &amp; Montero and Company ")</f>
        <v xml:space="preserve">El Show de Marquez &amp; Montero and Company </v>
      </c>
      <c r="E974" t="str">
        <f ca="1">IFERROR(__xludf.DUMMYFUNCTION("""COMPUTED_VALUE"""),"TV Series 2015)")</f>
        <v>TV Series 2015)</v>
      </c>
    </row>
    <row r="975" spans="1:5" ht="13" x14ac:dyDescent="0.15">
      <c r="A975" s="5" t="s">
        <v>1463</v>
      </c>
      <c r="D975" t="str">
        <f ca="1">IFERROR(__xludf.DUMMYFUNCTION("split(A975,""("")"),"El siguiente programa ")</f>
        <v xml:space="preserve">El siguiente programa </v>
      </c>
      <c r="E975" t="str">
        <f ca="1">IFERROR(__xludf.DUMMYFUNCTION("""COMPUTED_VALUE"""),"TV Series 1997–2000)")</f>
        <v>TV Series 1997–2000)</v>
      </c>
    </row>
    <row r="976" spans="1:5" ht="13" x14ac:dyDescent="0.15">
      <c r="A976" s="5" t="s">
        <v>63</v>
      </c>
      <c r="D976" t="str">
        <f ca="1">IFERROR(__xludf.DUMMYFUNCTION("split(A976,""("")"),"Elementary ")</f>
        <v xml:space="preserve">Elementary </v>
      </c>
      <c r="E976" t="str">
        <f ca="1">IFERROR(__xludf.DUMMYFUNCTION("""COMPUTED_VALUE"""),"TV Series 2012–2019)")</f>
        <v>TV Series 2012–2019)</v>
      </c>
    </row>
    <row r="977" spans="1:5" ht="13" x14ac:dyDescent="0.15">
      <c r="A977" s="5" t="s">
        <v>1464</v>
      </c>
      <c r="D977" t="str">
        <f ca="1">IFERROR(__xludf.DUMMYFUNCTION("split(A977,""("")"),"Eleventh Hour ")</f>
        <v xml:space="preserve">Eleventh Hour </v>
      </c>
      <c r="E977" t="str">
        <f ca="1">IFERROR(__xludf.DUMMYFUNCTION("""COMPUTED_VALUE"""),"TV Series 2008–2009)")</f>
        <v>TV Series 2008–2009)</v>
      </c>
    </row>
    <row r="978" spans="1:5" ht="13" x14ac:dyDescent="0.15">
      <c r="A978" s="5" t="s">
        <v>1465</v>
      </c>
      <c r="D978" t="str">
        <f ca="1">IFERROR(__xludf.DUMMYFUNCTION("split(A978,""("")"),"Eli Roth's History of Horror ")</f>
        <v xml:space="preserve">Eli Roth's History of Horror </v>
      </c>
      <c r="E978" t="str">
        <f ca="1">IFERROR(__xludf.DUMMYFUNCTION("""COMPUTED_VALUE"""),"TV Series 2018)")</f>
        <v>TV Series 2018)</v>
      </c>
    </row>
    <row r="979" spans="1:5" ht="13" x14ac:dyDescent="0.15">
      <c r="A979" s="5" t="s">
        <v>1466</v>
      </c>
      <c r="D979" t="str">
        <f ca="1">IFERROR(__xludf.DUMMYFUNCTION("split(A979,""("")"),"Elisa di Rivombrosa ")</f>
        <v xml:space="preserve">Elisa di Rivombrosa </v>
      </c>
      <c r="E979" t="str">
        <f ca="1">IFERROR(__xludf.DUMMYFUNCTION("""COMPUTED_VALUE"""),"TV Series 2003– )")</f>
        <v>TV Series 2003– )</v>
      </c>
    </row>
    <row r="980" spans="1:5" ht="13" x14ac:dyDescent="0.15">
      <c r="A980" s="5" t="s">
        <v>1467</v>
      </c>
      <c r="D980" t="str">
        <f ca="1">IFERROR(__xludf.DUMMYFUNCTION("split(A980,""("")"),"Elite ")</f>
        <v xml:space="preserve">Elite </v>
      </c>
      <c r="E980" t="str">
        <f ca="1">IFERROR(__xludf.DUMMYFUNCTION("""COMPUTED_VALUE"""),"TV Series 2018– )")</f>
        <v>TV Series 2018– )</v>
      </c>
    </row>
    <row r="981" spans="1:5" ht="13" x14ac:dyDescent="0.15">
      <c r="A981" s="5" t="s">
        <v>1468</v>
      </c>
      <c r="D981" t="str">
        <f ca="1">IFERROR(__xludf.DUMMYFUNCTION("split(A981,""("")"),"Ellen ")</f>
        <v xml:space="preserve">Ellen </v>
      </c>
      <c r="E981" t="str">
        <f ca="1">IFERROR(__xludf.DUMMYFUNCTION("""COMPUTED_VALUE"""),"TV Series 1994–1998)")</f>
        <v>TV Series 1994–1998)</v>
      </c>
    </row>
    <row r="982" spans="1:5" ht="13" x14ac:dyDescent="0.15">
      <c r="A982" s="5" t="s">
        <v>1469</v>
      </c>
      <c r="D982" t="str">
        <f ca="1">IFERROR(__xludf.DUMMYFUNCTION("split(A982,""("")"),"Elly &amp; Jools ")</f>
        <v xml:space="preserve">Elly &amp; Jools </v>
      </c>
      <c r="E982" t="str">
        <f ca="1">IFERROR(__xludf.DUMMYFUNCTION("""COMPUTED_VALUE"""),"TV Series 1990)")</f>
        <v>TV Series 1990)</v>
      </c>
    </row>
    <row r="983" spans="1:5" ht="13" x14ac:dyDescent="0.15">
      <c r="A983" s="5" t="s">
        <v>1470</v>
      </c>
      <c r="D983" t="str">
        <f ca="1">IFERROR(__xludf.DUMMYFUNCTION("split(A983,""("")"),"Emil Fitness ")</f>
        <v xml:space="preserve">Emil Fitness </v>
      </c>
      <c r="E983" t="str">
        <f ca="1">IFERROR(__xludf.DUMMYFUNCTION("""COMPUTED_VALUE"""),"TV Series 2016– )")</f>
        <v>TV Series 2016– )</v>
      </c>
    </row>
    <row r="984" spans="1:5" ht="13" x14ac:dyDescent="0.15">
      <c r="A984" s="5" t="s">
        <v>1471</v>
      </c>
      <c r="D984" t="str">
        <f ca="1">IFERROR(__xludf.DUMMYFUNCTION("split(A984,""("")"),"Empire ")</f>
        <v xml:space="preserve">Empire </v>
      </c>
      <c r="E984" t="str">
        <f ca="1">IFERROR(__xludf.DUMMYFUNCTION("""COMPUTED_VALUE"""),"TV Series 2014–2015)")</f>
        <v>TV Series 2014–2015)</v>
      </c>
    </row>
    <row r="985" spans="1:5" ht="13" x14ac:dyDescent="0.15">
      <c r="A985" s="5" t="s">
        <v>180</v>
      </c>
      <c r="D985" t="str">
        <f ca="1">IFERROR(__xludf.DUMMYFUNCTION("split(A985,""("")"),"Empire ")</f>
        <v xml:space="preserve">Empire </v>
      </c>
      <c r="E985" t="str">
        <f ca="1">IFERROR(__xludf.DUMMYFUNCTION("""COMPUTED_VALUE"""),"TV Series 2015– )")</f>
        <v>TV Series 2015– )</v>
      </c>
    </row>
    <row r="986" spans="1:5" ht="13" x14ac:dyDescent="0.15">
      <c r="A986" s="5" t="s">
        <v>1472</v>
      </c>
      <c r="D986" t="str">
        <f ca="1">IFERROR(__xludf.DUMMYFUNCTION("split(A986,""("")"),"Empty Nest ")</f>
        <v xml:space="preserve">Empty Nest </v>
      </c>
      <c r="E986" t="str">
        <f ca="1">IFERROR(__xludf.DUMMYFUNCTION("""COMPUTED_VALUE"""),"TV Series 1988–1995)")</f>
        <v>TV Series 1988–1995)</v>
      </c>
    </row>
    <row r="987" spans="1:5" ht="13" x14ac:dyDescent="0.15">
      <c r="A987" s="5" t="s">
        <v>1473</v>
      </c>
      <c r="D987" t="str">
        <f ca="1">IFERROR(__xludf.DUMMYFUNCTION("split(A987,""("")"),"En prácticas ")</f>
        <v xml:space="preserve">En prácticas </v>
      </c>
      <c r="E987" t="str">
        <f ca="1">IFERROR(__xludf.DUMMYFUNCTION("""COMPUTED_VALUE"""),"TV Series 2010– )")</f>
        <v>TV Series 2010– )</v>
      </c>
    </row>
    <row r="988" spans="1:5" ht="13" x14ac:dyDescent="0.15">
      <c r="A988" s="5" t="s">
        <v>1474</v>
      </c>
      <c r="D988" t="str">
        <f ca="1">IFERROR(__xludf.DUMMYFUNCTION("split(A988,""("")"),"Encore! ")</f>
        <v xml:space="preserve">Encore! </v>
      </c>
      <c r="E988" t="str">
        <f ca="1">IFERROR(__xludf.DUMMYFUNCTION("""COMPUTED_VALUE"""),"TV Series 2017– )")</f>
        <v>TV Series 2017– )</v>
      </c>
    </row>
    <row r="989" spans="1:5" ht="13" x14ac:dyDescent="0.15">
      <c r="A989" s="5" t="s">
        <v>1475</v>
      </c>
      <c r="D989" t="str">
        <f ca="1">IFERROR(__xludf.DUMMYFUNCTION("split(A989,""("")"),"Enlightened ")</f>
        <v xml:space="preserve">Enlightened </v>
      </c>
      <c r="E989" t="str">
        <f ca="1">IFERROR(__xludf.DUMMYFUNCTION("""COMPUTED_VALUE"""),"TV Series 2011–2013)")</f>
        <v>TV Series 2011–2013)</v>
      </c>
    </row>
    <row r="990" spans="1:5" ht="13" x14ac:dyDescent="0.15">
      <c r="A990" s="5" t="s">
        <v>1476</v>
      </c>
      <c r="D990" t="str">
        <f ca="1">IFERROR(__xludf.DUMMYFUNCTION("split(A990,""("")"),"Enterprice ")</f>
        <v xml:space="preserve">Enterprice </v>
      </c>
      <c r="E990" t="str">
        <f ca="1">IFERROR(__xludf.DUMMYFUNCTION("""COMPUTED_VALUE"""),"TV Movie 2017)")</f>
        <v>TV Movie 2017)</v>
      </c>
    </row>
    <row r="991" spans="1:5" ht="13" x14ac:dyDescent="0.15">
      <c r="A991" s="5" t="s">
        <v>1477</v>
      </c>
      <c r="D991" t="str">
        <f ca="1">IFERROR(__xludf.DUMMYFUNCTION("split(A991,""("")"),"Entourage ")</f>
        <v xml:space="preserve">Entourage </v>
      </c>
      <c r="E991" t="str">
        <f ca="1">IFERROR(__xludf.DUMMYFUNCTION("""COMPUTED_VALUE"""),"TV Series 2004–2011)")</f>
        <v>TV Series 2004–2011)</v>
      </c>
    </row>
    <row r="992" spans="1:5" ht="13" x14ac:dyDescent="0.15">
      <c r="A992" s="5" t="s">
        <v>1478</v>
      </c>
      <c r="D992" t="str">
        <f ca="1">IFERROR(__xludf.DUMMYFUNCTION("split(A992,""("")"),"Epic Meal Empire ")</f>
        <v xml:space="preserve">Epic Meal Empire </v>
      </c>
      <c r="E992" t="str">
        <f ca="1">IFERROR(__xludf.DUMMYFUNCTION("""COMPUTED_VALUE"""),"TV Series 2014– )")</f>
        <v>TV Series 2014– )</v>
      </c>
    </row>
    <row r="993" spans="1:5" ht="13" x14ac:dyDescent="0.15">
      <c r="A993" s="5" t="s">
        <v>1479</v>
      </c>
      <c r="D993" t="str">
        <f ca="1">IFERROR(__xludf.DUMMYFUNCTION("split(A993,""("")"),"Episodes ")</f>
        <v xml:space="preserve">Episodes </v>
      </c>
      <c r="E993" t="str">
        <f ca="1">IFERROR(__xludf.DUMMYFUNCTION("""COMPUTED_VALUE"""),"TV Series 2011–2017)")</f>
        <v>TV Series 2011–2017)</v>
      </c>
    </row>
    <row r="994" spans="1:5" ht="13" x14ac:dyDescent="0.15">
      <c r="A994" s="5" t="s">
        <v>1480</v>
      </c>
      <c r="D994" t="str">
        <f ca="1">IFERROR(__xludf.DUMMYFUNCTION("split(A994,""("")"),"Epitafios ")</f>
        <v xml:space="preserve">Epitafios </v>
      </c>
      <c r="E994" t="str">
        <f ca="1">IFERROR(__xludf.DUMMYFUNCTION("""COMPUTED_VALUE"""),"TV Series 2004– )")</f>
        <v>TV Series 2004– )</v>
      </c>
    </row>
    <row r="995" spans="1:5" ht="13" x14ac:dyDescent="0.15">
      <c r="A995" s="5" t="s">
        <v>1481</v>
      </c>
      <c r="D995" t="str">
        <f ca="1">IFERROR(__xludf.DUMMYFUNCTION("split(A995,""("")"),"ER ")</f>
        <v xml:space="preserve">ER </v>
      </c>
      <c r="E995" t="str">
        <f ca="1">IFERROR(__xludf.DUMMYFUNCTION("""COMPUTED_VALUE"""),"TV Series 1994–2009)")</f>
        <v>TV Series 1994–2009)</v>
      </c>
    </row>
    <row r="996" spans="1:5" ht="13" x14ac:dyDescent="0.15">
      <c r="A996" s="5" t="s">
        <v>1482</v>
      </c>
      <c r="D996" t="str">
        <f ca="1">IFERROR(__xludf.DUMMYFUNCTION("split(A996,""("")"),"Ergo Proxy ")</f>
        <v xml:space="preserve">Ergo Proxy </v>
      </c>
      <c r="E996" t="str">
        <f ca="1">IFERROR(__xludf.DUMMYFUNCTION("""COMPUTED_VALUE"""),"TV Series 2006)")</f>
        <v>TV Series 2006)</v>
      </c>
    </row>
    <row r="997" spans="1:5" ht="13" x14ac:dyDescent="0.15">
      <c r="A997" s="5" t="s">
        <v>1483</v>
      </c>
      <c r="D997" t="str">
        <f ca="1">IFERROR(__xludf.DUMMYFUNCTION("split(A997,""("")"),"Erotic Confessions ")</f>
        <v xml:space="preserve">Erotic Confessions </v>
      </c>
      <c r="E997" t="str">
        <f ca="1">IFERROR(__xludf.DUMMYFUNCTION("""COMPUTED_VALUE"""),"TV Series 1994– )")</f>
        <v>TV Series 1994– )</v>
      </c>
    </row>
    <row r="998" spans="1:5" ht="13" x14ac:dyDescent="0.15">
      <c r="A998" s="5" t="s">
        <v>1484</v>
      </c>
      <c r="D998" t="str">
        <f ca="1">IFERROR(__xludf.DUMMYFUNCTION("split(A998,""("")"),"Escaflowne ")</f>
        <v xml:space="preserve">Escaflowne </v>
      </c>
      <c r="E998" t="str">
        <f ca="1">IFERROR(__xludf.DUMMYFUNCTION("""COMPUTED_VALUE"""),"TV Series 1996– )")</f>
        <v>TV Series 1996– )</v>
      </c>
    </row>
    <row r="999" spans="1:5" ht="13" x14ac:dyDescent="0.15">
      <c r="A999" s="5" t="s">
        <v>1485</v>
      </c>
      <c r="D999" t="str">
        <f ca="1">IFERROR(__xludf.DUMMYFUNCTION("split(A999,""("")"),"Escape Routes ")</f>
        <v xml:space="preserve">Escape Routes </v>
      </c>
      <c r="E999" t="str">
        <f ca="1">IFERROR(__xludf.DUMMYFUNCTION("""COMPUTED_VALUE"""),"TV Series 2012)")</f>
        <v>TV Series 2012)</v>
      </c>
    </row>
    <row r="1000" spans="1:5" ht="13" x14ac:dyDescent="0.15">
      <c r="A1000" s="5" t="s">
        <v>1486</v>
      </c>
      <c r="D1000" t="str">
        <f ca="1">IFERROR(__xludf.DUMMYFUNCTION("split(A1000,""("")"),"Escape to River Cottage ")</f>
        <v xml:space="preserve">Escape to River Cottage </v>
      </c>
      <c r="E1000" t="str">
        <f ca="1">IFERROR(__xludf.DUMMYFUNCTION("""COMPUTED_VALUE"""),"TV Series 1999)")</f>
        <v>TV Series 1999)</v>
      </c>
    </row>
    <row r="1001" spans="1:5" ht="13" x14ac:dyDescent="0.15">
      <c r="A1001" s="5" t="s">
        <v>1487</v>
      </c>
      <c r="D1001" t="str">
        <f ca="1">IFERROR(__xludf.DUMMYFUNCTION("split(A1001,""("")"),"Escape to the Chateau ")</f>
        <v xml:space="preserve">Escape to the Chateau </v>
      </c>
      <c r="E1001" t="str">
        <f ca="1">IFERROR(__xludf.DUMMYFUNCTION("""COMPUTED_VALUE"""),"TV Series 2016–2018)")</f>
        <v>TV Series 2016–2018)</v>
      </c>
    </row>
    <row r="1002" spans="1:5" ht="13" x14ac:dyDescent="0.15">
      <c r="A1002" s="5" t="s">
        <v>1488</v>
      </c>
      <c r="D1002" t="str">
        <f ca="1">IFERROR(__xludf.DUMMYFUNCTION("split(A1002,""("")"),"Etaten ")</f>
        <v xml:space="preserve">Etaten </v>
      </c>
      <c r="E1002" t="str">
        <f ca="1">IFERROR(__xludf.DUMMYFUNCTION("""COMPUTED_VALUE"""),"TV Series 2006– )")</f>
        <v>TV Series 2006– )</v>
      </c>
    </row>
    <row r="1003" spans="1:5" ht="13" x14ac:dyDescent="0.15">
      <c r="A1003" s="5" t="s">
        <v>568</v>
      </c>
      <c r="D1003" t="str">
        <f ca="1">IFERROR(__xludf.DUMMYFUNCTION("split(A1003,""("")"),"Euphoria ")</f>
        <v xml:space="preserve">Euphoria </v>
      </c>
      <c r="E1003" t="str">
        <f ca="1">IFERROR(__xludf.DUMMYFUNCTION("""COMPUTED_VALUE"""),"TV Series 2019– )")</f>
        <v>TV Series 2019– )</v>
      </c>
    </row>
    <row r="1004" spans="1:5" ht="13" x14ac:dyDescent="0.15">
      <c r="A1004" s="5" t="s">
        <v>1489</v>
      </c>
      <c r="D1004" t="str">
        <f ca="1">IFERROR(__xludf.DUMMYFUNCTION("split(A1004,""("")"),"Eureka ")</f>
        <v xml:space="preserve">Eureka </v>
      </c>
      <c r="E1004" t="str">
        <f ca="1">IFERROR(__xludf.DUMMYFUNCTION("""COMPUTED_VALUE"""),"TV Series 2006–2012)")</f>
        <v>TV Series 2006–2012)</v>
      </c>
    </row>
    <row r="1005" spans="1:5" ht="13" x14ac:dyDescent="0.15">
      <c r="A1005" s="5" t="s">
        <v>1490</v>
      </c>
      <c r="D1005" t="str">
        <f ca="1">IFERROR(__xludf.DUMMYFUNCTION("split(A1005,""("")"),"Eurotrash ")</f>
        <v xml:space="preserve">Eurotrash </v>
      </c>
      <c r="E1005" t="str">
        <f ca="1">IFERROR(__xludf.DUMMYFUNCTION("""COMPUTED_VALUE"""),"TV Series 1993–2016)")</f>
        <v>TV Series 1993–2016)</v>
      </c>
    </row>
    <row r="1006" spans="1:5" ht="13" x14ac:dyDescent="0.15">
      <c r="A1006" s="5" t="s">
        <v>1491</v>
      </c>
      <c r="D1006" t="str">
        <f ca="1">IFERROR(__xludf.DUMMYFUNCTION("split(A1006,""("")"),"Eve ")</f>
        <v xml:space="preserve">Eve </v>
      </c>
      <c r="E1006" t="str">
        <f ca="1">IFERROR(__xludf.DUMMYFUNCTION("""COMPUTED_VALUE"""),"TV Series 2015– )")</f>
        <v>TV Series 2015– )</v>
      </c>
    </row>
    <row r="1007" spans="1:5" ht="13" x14ac:dyDescent="0.15">
      <c r="A1007" s="5" t="s">
        <v>1492</v>
      </c>
      <c r="D1007" t="str">
        <f ca="1">IFERROR(__xludf.DUMMYFUNCTION("split(A1007,""("")"),"Even Stevens ")</f>
        <v xml:space="preserve">Even Stevens </v>
      </c>
      <c r="E1007" t="str">
        <f ca="1">IFERROR(__xludf.DUMMYFUNCTION("""COMPUTED_VALUE"""),"TV Series 2000–2003)")</f>
        <v>TV Series 2000–2003)</v>
      </c>
    </row>
    <row r="1008" spans="1:5" ht="13" x14ac:dyDescent="0.15">
      <c r="A1008" s="5" t="s">
        <v>1493</v>
      </c>
      <c r="D1008" t="str">
        <f ca="1">IFERROR(__xludf.DUMMYFUNCTION("split(A1008,""("")"),"Ever Decreasing Circles ")</f>
        <v xml:space="preserve">Ever Decreasing Circles </v>
      </c>
      <c r="E1008" t="str">
        <f ca="1">IFERROR(__xludf.DUMMYFUNCTION("""COMPUTED_VALUE"""),"TV Series 1984–1989)")</f>
        <v>TV Series 1984–1989)</v>
      </c>
    </row>
    <row r="1009" spans="1:5" ht="13" x14ac:dyDescent="0.15">
      <c r="A1009" s="5" t="s">
        <v>1494</v>
      </c>
      <c r="D1009" t="str">
        <f ca="1">IFERROR(__xludf.DUMMYFUNCTION("split(A1009,""("")"),"Every Witch Way ")</f>
        <v xml:space="preserve">Every Witch Way </v>
      </c>
      <c r="E1009" t="str">
        <f ca="1">IFERROR(__xludf.DUMMYFUNCTION("""COMPUTED_VALUE"""),"TV Series 2014–2018)")</f>
        <v>TV Series 2014–2018)</v>
      </c>
    </row>
    <row r="1010" spans="1:5" ht="13" x14ac:dyDescent="0.15">
      <c r="A1010" s="5" t="s">
        <v>181</v>
      </c>
      <c r="D1010" t="str">
        <f ca="1">IFERROR(__xludf.DUMMYFUNCTION("split(A1010,""("")"),"Everybody Hates Chris ")</f>
        <v xml:space="preserve">Everybody Hates Chris </v>
      </c>
      <c r="E1010" t="str">
        <f ca="1">IFERROR(__xludf.DUMMYFUNCTION("""COMPUTED_VALUE"""),"TV Series 2005–2009)")</f>
        <v>TV Series 2005–2009)</v>
      </c>
    </row>
    <row r="1011" spans="1:5" ht="13" x14ac:dyDescent="0.15">
      <c r="A1011" s="5" t="s">
        <v>1495</v>
      </c>
      <c r="D1011" t="str">
        <f ca="1">IFERROR(__xludf.DUMMYFUNCTION("split(A1011,""("")"),"Everybody Loves Raymond ")</f>
        <v xml:space="preserve">Everybody Loves Raymond </v>
      </c>
      <c r="E1011" t="str">
        <f ca="1">IFERROR(__xludf.DUMMYFUNCTION("""COMPUTED_VALUE"""),"TV Series 1996–2005)")</f>
        <v>TV Series 1996–2005)</v>
      </c>
    </row>
    <row r="1012" spans="1:5" ht="13" x14ac:dyDescent="0.15">
      <c r="A1012" s="5" t="s">
        <v>1496</v>
      </c>
      <c r="D1012" t="str">
        <f ca="1">IFERROR(__xludf.DUMMYFUNCTION("split(A1012,""("")"),"Everything Sucks! ")</f>
        <v xml:space="preserve">Everything Sucks! </v>
      </c>
      <c r="E1012" t="str">
        <f ca="1">IFERROR(__xludf.DUMMYFUNCTION("""COMPUTED_VALUE"""),"TV Series 2018)")</f>
        <v>TV Series 2018)</v>
      </c>
    </row>
    <row r="1013" spans="1:5" ht="13" x14ac:dyDescent="0.15">
      <c r="A1013" s="5" t="s">
        <v>1497</v>
      </c>
      <c r="D1013" t="str">
        <f ca="1">IFERROR(__xludf.DUMMYFUNCTION("split(A1013,""("")"),"Everything Wrong with... ")</f>
        <v xml:space="preserve">Everything Wrong with... </v>
      </c>
      <c r="E1013" t="str">
        <f ca="1">IFERROR(__xludf.DUMMYFUNCTION("""COMPUTED_VALUE"""),"TV Series 2012– )")</f>
        <v>TV Series 2012– )</v>
      </c>
    </row>
    <row r="1014" spans="1:5" ht="13" x14ac:dyDescent="0.15">
      <c r="A1014" s="5" t="s">
        <v>1498</v>
      </c>
      <c r="D1014" t="str">
        <f ca="1">IFERROR(__xludf.DUMMYFUNCTION("split(A1014,""("")"),"Everything's Rosie ")</f>
        <v xml:space="preserve">Everything's Rosie </v>
      </c>
      <c r="E1014" t="str">
        <f ca="1">IFERROR(__xludf.DUMMYFUNCTION("""COMPUTED_VALUE"""),"TV Series 2010– )")</f>
        <v>TV Series 2010– )</v>
      </c>
    </row>
    <row r="1015" spans="1:5" ht="13" x14ac:dyDescent="0.15">
      <c r="A1015" s="5" t="s">
        <v>1499</v>
      </c>
      <c r="D1015" t="str">
        <f ca="1">IFERROR(__xludf.DUMMYFUNCTION("split(A1015,""("")"),"Evil Con Carne ")</f>
        <v xml:space="preserve">Evil Con Carne </v>
      </c>
      <c r="E1015" t="str">
        <f ca="1">IFERROR(__xludf.DUMMYFUNCTION("""COMPUTED_VALUE"""),"TV Series 2003–2004)")</f>
        <v>TV Series 2003–2004)</v>
      </c>
    </row>
    <row r="1016" spans="1:5" ht="13" x14ac:dyDescent="0.15">
      <c r="A1016" s="5" t="s">
        <v>1500</v>
      </c>
      <c r="D1016" t="str">
        <f ca="1">IFERROR(__xludf.DUMMYFUNCTION("split(A1016,""("")"),"Evil Twins ")</f>
        <v xml:space="preserve">Evil Twins </v>
      </c>
      <c r="E1016" t="str">
        <f ca="1">IFERROR(__xludf.DUMMYFUNCTION("""COMPUTED_VALUE"""),"TV Series 2012– )")</f>
        <v>TV Series 2012– )</v>
      </c>
    </row>
    <row r="1017" spans="1:5" ht="13" x14ac:dyDescent="0.15">
      <c r="A1017" s="5" t="s">
        <v>401</v>
      </c>
      <c r="D1017" t="str">
        <f ca="1">IFERROR(__xludf.DUMMYFUNCTION("split(A1017,""("")"),"Ewoks ")</f>
        <v xml:space="preserve">Ewoks </v>
      </c>
      <c r="E1017" t="str">
        <f ca="1">IFERROR(__xludf.DUMMYFUNCTION("""COMPUTED_VALUE"""),"TV Series 1985–1987)")</f>
        <v>TV Series 1985–1987)</v>
      </c>
    </row>
    <row r="1018" spans="1:5" ht="13" x14ac:dyDescent="0.15">
      <c r="A1018" s="5" t="s">
        <v>1501</v>
      </c>
      <c r="D1018" t="str">
        <f ca="1">IFERROR(__xludf.DUMMYFUNCTION("split(A1018,""("")"),"Ex on the Beach ")</f>
        <v xml:space="preserve">Ex on the Beach </v>
      </c>
      <c r="E1018" t="str">
        <f ca="1">IFERROR(__xludf.DUMMYFUNCTION("""COMPUTED_VALUE"""),"TV Series 2014–2018)")</f>
        <v>TV Series 2014–2018)</v>
      </c>
    </row>
    <row r="1019" spans="1:5" ht="13" x14ac:dyDescent="0.15">
      <c r="A1019" s="5" t="s">
        <v>569</v>
      </c>
      <c r="D1019" t="str">
        <f ca="1">IFERROR(__xludf.DUMMYFUNCTION("split(A1019,""("")"),"Ex on the Beach ")</f>
        <v xml:space="preserve">Ex on the Beach </v>
      </c>
      <c r="E1019" t="str">
        <f ca="1">IFERROR(__xludf.DUMMYFUNCTION("""COMPUTED_VALUE"""),"TV Series 2018– )")</f>
        <v>TV Series 2018– )</v>
      </c>
    </row>
    <row r="1020" spans="1:5" ht="13" x14ac:dyDescent="0.15">
      <c r="A1020" s="5" t="s">
        <v>1502</v>
      </c>
      <c r="D1020" t="str">
        <f ca="1">IFERROR(__xludf.DUMMYFUNCTION("split(A1020,""("")"),"Excel Saga ")</f>
        <v xml:space="preserve">Excel Saga </v>
      </c>
      <c r="E1020" t="str">
        <f ca="1">IFERROR(__xludf.DUMMYFUNCTION("""COMPUTED_VALUE"""),"TV Series 1999–2001)")</f>
        <v>TV Series 1999–2001)</v>
      </c>
    </row>
    <row r="1021" spans="1:5" ht="13" x14ac:dyDescent="0.15">
      <c r="A1021" s="5" t="s">
        <v>1503</v>
      </c>
      <c r="D1021" t="str">
        <f ca="1">IFERROR(__xludf.DUMMYFUNCTION("split(A1021,""("")"),"Exit 57 ")</f>
        <v xml:space="preserve">Exit 57 </v>
      </c>
      <c r="E1021" t="str">
        <f ca="1">IFERROR(__xludf.DUMMYFUNCTION("""COMPUTED_VALUE"""),"TV Series 1995–1996)")</f>
        <v>TV Series 1995–1996)</v>
      </c>
    </row>
    <row r="1022" spans="1:5" ht="13" x14ac:dyDescent="0.15">
      <c r="A1022" s="5" t="s">
        <v>1504</v>
      </c>
      <c r="D1022" t="str">
        <f ca="1">IFERROR(__xludf.DUMMYFUNCTION("split(A1022,""("")"),"Expedition Overland ")</f>
        <v xml:space="preserve">Expedition Overland </v>
      </c>
      <c r="E1022" t="str">
        <f ca="1">IFERROR(__xludf.DUMMYFUNCTION("""COMPUTED_VALUE"""),"TV Series 2013– )")</f>
        <v>TV Series 2013– )</v>
      </c>
    </row>
    <row r="1023" spans="1:5" ht="13" x14ac:dyDescent="0.15">
      <c r="A1023" s="5" t="s">
        <v>1505</v>
      </c>
      <c r="D1023" t="str">
        <f ca="1">IFERROR(__xludf.DUMMYFUNCTION("split(A1023,""("")"),"Exploring China: A Culinary Adventure ")</f>
        <v xml:space="preserve">Exploring China: A Culinary Adventure </v>
      </c>
      <c r="E1023" t="str">
        <f ca="1">IFERROR(__xludf.DUMMYFUNCTION("""COMPUTED_VALUE"""),"TV Series 2012– )")</f>
        <v>TV Series 2012– )</v>
      </c>
    </row>
    <row r="1024" spans="1:5" ht="13" x14ac:dyDescent="0.15">
      <c r="A1024" s="5" t="s">
        <v>172</v>
      </c>
      <c r="D1024" t="str">
        <f ca="1">IFERROR(__xludf.DUMMYFUNCTION("split(A1024,""("")"),"Extant ")</f>
        <v xml:space="preserve">Extant </v>
      </c>
      <c r="E1024" t="str">
        <f ca="1">IFERROR(__xludf.DUMMYFUNCTION("""COMPUTED_VALUE"""),"TV Series 2014–2015)")</f>
        <v>TV Series 2014–2015)</v>
      </c>
    </row>
    <row r="1025" spans="1:5" ht="13" x14ac:dyDescent="0.15">
      <c r="A1025" s="5" t="s">
        <v>1506</v>
      </c>
      <c r="D1025" t="str">
        <f ca="1">IFERROR(__xludf.DUMMYFUNCTION("split(A1025,""("")"),"Extras ")</f>
        <v xml:space="preserve">Extras </v>
      </c>
      <c r="E1025" t="str">
        <f ca="1">IFERROR(__xludf.DUMMYFUNCTION("""COMPUTED_VALUE"""),"TV Series 2005–2007)")</f>
        <v>TV Series 2005–2007)</v>
      </c>
    </row>
    <row r="1026" spans="1:5" ht="13" x14ac:dyDescent="0.15">
      <c r="A1026" s="5" t="s">
        <v>1507</v>
      </c>
      <c r="D1026" t="str">
        <f ca="1">IFERROR(__xludf.DUMMYFUNCTION("split(A1026,""("")"),"Extreme Dinosaurs ")</f>
        <v xml:space="preserve">Extreme Dinosaurs </v>
      </c>
      <c r="E1026" t="str">
        <f ca="1">IFERROR(__xludf.DUMMYFUNCTION("""COMPUTED_VALUE"""),"TV Series 1997)")</f>
        <v>TV Series 1997)</v>
      </c>
    </row>
    <row r="1027" spans="1:5" ht="13" x14ac:dyDescent="0.15">
      <c r="A1027" s="5" t="s">
        <v>1508</v>
      </c>
      <c r="D1027" t="str">
        <f ca="1">IFERROR(__xludf.DUMMYFUNCTION("split(A1027,""("")"),"Extreme Makeover ")</f>
        <v xml:space="preserve">Extreme Makeover </v>
      </c>
      <c r="E1027" t="str">
        <f ca="1">IFERROR(__xludf.DUMMYFUNCTION("""COMPUTED_VALUE"""),"TV Series 2002–2007)")</f>
        <v>TV Series 2002–2007)</v>
      </c>
    </row>
    <row r="1028" spans="1:5" ht="13" x14ac:dyDescent="0.15">
      <c r="A1028" s="5" t="s">
        <v>570</v>
      </c>
      <c r="D1028" t="str">
        <f ca="1">IFERROR(__xludf.DUMMYFUNCTION("split(A1028,""("")"),"Extreme Makeover: Home Edition ")</f>
        <v xml:space="preserve">Extreme Makeover: Home Edition </v>
      </c>
      <c r="E1028" t="str">
        <f ca="1">IFERROR(__xludf.DUMMYFUNCTION("""COMPUTED_VALUE"""),"TV Series 2003–2012)")</f>
        <v>TV Series 2003–2012)</v>
      </c>
    </row>
    <row r="1029" spans="1:5" ht="13" x14ac:dyDescent="0.15">
      <c r="A1029" s="5" t="s">
        <v>1509</v>
      </c>
      <c r="D1029" t="str">
        <f ca="1">IFERROR(__xludf.DUMMYFUNCTION("split(A1029,""("")"),"Extreme Schools ")</f>
        <v xml:space="preserve">Extreme Schools </v>
      </c>
      <c r="E1029" t="str">
        <f ca="1">IFERROR(__xludf.DUMMYFUNCTION("""COMPUTED_VALUE"""),"TV Mini-Series 2013– )")</f>
        <v>TV Mini-Series 2013– )</v>
      </c>
    </row>
    <row r="1030" spans="1:5" ht="13" x14ac:dyDescent="0.15">
      <c r="A1030" s="5" t="s">
        <v>1510</v>
      </c>
      <c r="D1030" t="str">
        <f ca="1">IFERROR(__xludf.DUMMYFUNCTION("split(A1030,""("")"),"Extreme Weight Loss ")</f>
        <v xml:space="preserve">Extreme Weight Loss </v>
      </c>
      <c r="E1030" t="str">
        <f ca="1">IFERROR(__xludf.DUMMYFUNCTION("""COMPUTED_VALUE"""),"TV Series 2011– )")</f>
        <v>TV Series 2011– )</v>
      </c>
    </row>
    <row r="1031" spans="1:5" ht="13" x14ac:dyDescent="0.15">
      <c r="A1031" s="5" t="s">
        <v>1511</v>
      </c>
      <c r="D1031" t="str">
        <f ca="1">IFERROR(__xludf.DUMMYFUNCTION("split(A1031,""("")"),"Eyes on the Prize ")</f>
        <v xml:space="preserve">Eyes on the Prize </v>
      </c>
      <c r="E1031" t="str">
        <f ca="1">IFERROR(__xludf.DUMMYFUNCTION("""COMPUTED_VALUE"""),"TV Series 1987–1990)")</f>
        <v>TV Series 1987–1990)</v>
      </c>
    </row>
    <row r="1032" spans="1:5" ht="13" x14ac:dyDescent="0.15">
      <c r="A1032" s="5" t="s">
        <v>1512</v>
      </c>
      <c r="D1032" t="str">
        <f ca="1">IFERROR(__xludf.DUMMYFUNCTION("split(A1032,""("")"),"Eyewitness ")</f>
        <v xml:space="preserve">Eyewitness </v>
      </c>
      <c r="E1032" t="str">
        <f ca="1">IFERROR(__xludf.DUMMYFUNCTION("""COMPUTED_VALUE"""),"TV Series 2016– )")</f>
        <v>TV Series 2016– )</v>
      </c>
    </row>
    <row r="1033" spans="1:5" ht="13" x14ac:dyDescent="0.15">
      <c r="A1033" s="5" t="s">
        <v>1513</v>
      </c>
      <c r="D1033" t="str">
        <f ca="1">IFERROR(__xludf.DUMMYFUNCTION("split(A1033,""("")"),"EZ Streets ")</f>
        <v xml:space="preserve">EZ Streets </v>
      </c>
      <c r="E1033" t="str">
        <f ca="1">IFERROR(__xludf.DUMMYFUNCTION("""COMPUTED_VALUE"""),"TV Series 1996–1997)")</f>
        <v>TV Series 1996–1997)</v>
      </c>
    </row>
    <row r="1034" spans="1:5" ht="13" x14ac:dyDescent="0.15">
      <c r="A1034" s="5" t="s">
        <v>1514</v>
      </c>
      <c r="D1034" t="str">
        <f ca="1">IFERROR(__xludf.DUMMYFUNCTION("split(A1034,""("")"),"Fabulous Cakes ")</f>
        <v xml:space="preserve">Fabulous Cakes </v>
      </c>
      <c r="E1034" t="str">
        <f ca="1">IFERROR(__xludf.DUMMYFUNCTION("""COMPUTED_VALUE"""),"TV Series 2010– )")</f>
        <v>TV Series 2010– )</v>
      </c>
    </row>
    <row r="1035" spans="1:5" ht="13" x14ac:dyDescent="0.15">
      <c r="A1035" s="5" t="s">
        <v>1515</v>
      </c>
      <c r="D1035" t="str">
        <f ca="1">IFERROR(__xludf.DUMMYFUNCTION("split(A1035,""("")"),"Face Off ")</f>
        <v xml:space="preserve">Face Off </v>
      </c>
      <c r="E1035" t="str">
        <f ca="1">IFERROR(__xludf.DUMMYFUNCTION("""COMPUTED_VALUE"""),"TV Series 2011– )")</f>
        <v>TV Series 2011– )</v>
      </c>
    </row>
    <row r="1036" spans="1:5" ht="13" x14ac:dyDescent="0.15">
      <c r="A1036" s="5" t="s">
        <v>1516</v>
      </c>
      <c r="D1036" t="str">
        <f ca="1">IFERROR(__xludf.DUMMYFUNCTION("split(A1036,""("")"),"Facing Evil ")</f>
        <v xml:space="preserve">Facing Evil </v>
      </c>
      <c r="E1036" t="str">
        <f ca="1">IFERROR(__xludf.DUMMYFUNCTION("""COMPUTED_VALUE"""),"TV Series 2010– )")</f>
        <v>TV Series 2010– )</v>
      </c>
    </row>
    <row r="1037" spans="1:5" ht="13" x14ac:dyDescent="0.15">
      <c r="A1037" s="5" t="s">
        <v>1517</v>
      </c>
      <c r="D1037" t="str">
        <f ca="1">IFERROR(__xludf.DUMMYFUNCTION("split(A1037,""("")"),"Fact or Faked: Paranormal Files ")</f>
        <v xml:space="preserve">Fact or Faked: Paranormal Files </v>
      </c>
      <c r="E1037" t="str">
        <f ca="1">IFERROR(__xludf.DUMMYFUNCTION("""COMPUTED_VALUE"""),"TV Series 2010– )")</f>
        <v>TV Series 2010– )</v>
      </c>
    </row>
    <row r="1038" spans="1:5" ht="13" x14ac:dyDescent="0.15">
      <c r="A1038" s="5" t="s">
        <v>1518</v>
      </c>
      <c r="D1038" t="str">
        <f ca="1">IFERROR(__xludf.DUMMYFUNCTION("split(A1038,""("")"),"Failepsik ")</f>
        <v xml:space="preserve">Failepsik </v>
      </c>
      <c r="E1038" t="str">
        <f ca="1">IFERROR(__xludf.DUMMYFUNCTION("""COMPUTED_VALUE"""),"TV Series 2017– )")</f>
        <v>TV Series 2017– )</v>
      </c>
    </row>
    <row r="1039" spans="1:5" ht="13" x14ac:dyDescent="0.15">
      <c r="A1039" s="5" t="s">
        <v>1519</v>
      </c>
      <c r="D1039" t="str">
        <f ca="1">IFERROR(__xludf.DUMMYFUNCTION("split(A1039,""("")"),"Fair City ")</f>
        <v xml:space="preserve">Fair City </v>
      </c>
      <c r="E1039" t="str">
        <f ca="1">IFERROR(__xludf.DUMMYFUNCTION("""COMPUTED_VALUE"""),"TV Series 1989– )")</f>
        <v>TV Series 1989– )</v>
      </c>
    </row>
    <row r="1040" spans="1:5" ht="13" x14ac:dyDescent="0.15">
      <c r="A1040" s="5" t="s">
        <v>1520</v>
      </c>
      <c r="D1040" t="str">
        <f ca="1">IFERROR(__xludf.DUMMYFUNCTION("split(A1040,""("")"),"Fairly Legal ")</f>
        <v xml:space="preserve">Fairly Legal </v>
      </c>
      <c r="E1040" t="str">
        <f ca="1">IFERROR(__xludf.DUMMYFUNCTION("""COMPUTED_VALUE"""),"TV Series 2011–2012)")</f>
        <v>TV Series 2011–2012)</v>
      </c>
    </row>
    <row r="1041" spans="1:5" ht="13" x14ac:dyDescent="0.15">
      <c r="A1041" s="5" t="s">
        <v>1521</v>
      </c>
      <c r="D1041" t="str">
        <f ca="1">IFERROR(__xludf.DUMMYFUNCTION("split(A1041,""("")"),"Fairy Tale Police Department ")</f>
        <v xml:space="preserve">Fairy Tale Police Department </v>
      </c>
      <c r="E1041" t="str">
        <f ca="1">IFERROR(__xludf.DUMMYFUNCTION("""COMPUTED_VALUE"""),"TV Series 2002)")</f>
        <v>TV Series 2002)</v>
      </c>
    </row>
    <row r="1042" spans="1:5" ht="13" x14ac:dyDescent="0.15">
      <c r="A1042" s="5" t="s">
        <v>1522</v>
      </c>
      <c r="D1042" t="str">
        <f ca="1">IFERROR(__xludf.DUMMYFUNCTION("split(A1042,""("")"),"Faithful Word Baptist Church ")</f>
        <v xml:space="preserve">Faithful Word Baptist Church </v>
      </c>
      <c r="E1042" t="str">
        <f ca="1">IFERROR(__xludf.DUMMYFUNCTION("""COMPUTED_VALUE"""),"TV Series 2007– )")</f>
        <v>TV Series 2007– )</v>
      </c>
    </row>
    <row r="1043" spans="1:5" ht="13" x14ac:dyDescent="0.15">
      <c r="A1043" s="5" t="s">
        <v>1523</v>
      </c>
      <c r="D1043" t="str">
        <f ca="1">IFERROR(__xludf.DUMMYFUNCTION("split(A1043,""("")"),"Faithfully ")</f>
        <v xml:space="preserve">Faithfully </v>
      </c>
      <c r="E1043" t="str">
        <f ca="1">IFERROR(__xludf.DUMMYFUNCTION("""COMPUTED_VALUE"""),"TV Series 2012– )")</f>
        <v>TV Series 2012– )</v>
      </c>
    </row>
    <row r="1044" spans="1:5" ht="13" x14ac:dyDescent="0.15">
      <c r="A1044" s="5" t="s">
        <v>1524</v>
      </c>
      <c r="D1044" t="str">
        <f ca="1">IFERROR(__xludf.DUMMYFUNCTION("split(A1044,""("")"),"Falcon Beach ")</f>
        <v xml:space="preserve">Falcon Beach </v>
      </c>
      <c r="E1044" t="str">
        <f ca="1">IFERROR(__xludf.DUMMYFUNCTION("""COMPUTED_VALUE"""),"TV Series 2006–2007)")</f>
        <v>TV Series 2006–2007)</v>
      </c>
    </row>
    <row r="1045" spans="1:5" ht="13" x14ac:dyDescent="0.15">
      <c r="A1045" s="5" t="s">
        <v>1525</v>
      </c>
      <c r="D1045" t="str">
        <f ca="1">IFERROR(__xludf.DUMMYFUNCTION("split(A1045,""("")"),"Fallet ")</f>
        <v xml:space="preserve">Fallet </v>
      </c>
      <c r="E1045" t="str">
        <f ca="1">IFERROR(__xludf.DUMMYFUNCTION("""COMPUTED_VALUE"""),"TV Series 2017– )")</f>
        <v>TV Series 2017– )</v>
      </c>
    </row>
    <row r="1046" spans="1:5" ht="13" x14ac:dyDescent="0.15">
      <c r="A1046" s="5" t="s">
        <v>1526</v>
      </c>
      <c r="D1046" t="str">
        <f ca="1">IFERROR(__xludf.DUMMYFUNCTION("split(A1046,""("")"),"Falling in Sabei Well ")</f>
        <v xml:space="preserve">Falling in Sabei Well </v>
      </c>
      <c r="E1046" t="str">
        <f ca="1">IFERROR(__xludf.DUMMYFUNCTION("""COMPUTED_VALUE"""),"TV Series 1994– )")</f>
        <v>TV Series 1994– )</v>
      </c>
    </row>
    <row r="1047" spans="1:5" ht="13" x14ac:dyDescent="0.15">
      <c r="A1047" s="5" t="s">
        <v>1527</v>
      </c>
      <c r="D1047" t="str">
        <f ca="1">IFERROR(__xludf.DUMMYFUNCTION("split(A1047,""("")"),"Falling Skies ")</f>
        <v xml:space="preserve">Falling Skies </v>
      </c>
      <c r="E1047" t="str">
        <f ca="1">IFERROR(__xludf.DUMMYFUNCTION("""COMPUTED_VALUE"""),"TV Series 2011–2015)")</f>
        <v>TV Series 2011–2015)</v>
      </c>
    </row>
    <row r="1048" spans="1:5" ht="13" x14ac:dyDescent="0.15">
      <c r="A1048" s="5" t="s">
        <v>1528</v>
      </c>
      <c r="D1048" t="str">
        <f ca="1">IFERROR(__xludf.DUMMYFUNCTION("split(A1048,""("")"),"False Flag ")</f>
        <v xml:space="preserve">False Flag </v>
      </c>
      <c r="E1048" t="str">
        <f ca="1">IFERROR(__xludf.DUMMYFUNCTION("""COMPUTED_VALUE"""),"TV Series 2015– )")</f>
        <v>TV Series 2015– )</v>
      </c>
    </row>
    <row r="1049" spans="1:5" ht="13" x14ac:dyDescent="0.15">
      <c r="A1049" s="5" t="s">
        <v>1529</v>
      </c>
      <c r="D1049" t="str">
        <f ca="1">IFERROR(__xludf.DUMMYFUNCTION("split(A1049,""("")"),"Fam ")</f>
        <v xml:space="preserve">Fam </v>
      </c>
      <c r="E1049" t="str">
        <f ca="1">IFERROR(__xludf.DUMMYFUNCTION("""COMPUTED_VALUE"""),"TV Series 2018– )")</f>
        <v>TV Series 2018– )</v>
      </c>
    </row>
    <row r="1050" spans="1:5" ht="13" x14ac:dyDescent="0.15">
      <c r="A1050" s="5" t="s">
        <v>1530</v>
      </c>
      <c r="D1050" t="str">
        <f ca="1">IFERROR(__xludf.DUMMYFUNCTION("split(A1050,""("")"),"Family Business ")</f>
        <v xml:space="preserve">Family Business </v>
      </c>
      <c r="E1050" t="str">
        <f ca="1">IFERROR(__xludf.DUMMYFUNCTION("""COMPUTED_VALUE"""),"TV Series 2003– )")</f>
        <v>TV Series 2003– )</v>
      </c>
    </row>
    <row r="1051" spans="1:5" ht="13" x14ac:dyDescent="0.15">
      <c r="A1051" s="5" t="s">
        <v>1531</v>
      </c>
      <c r="D1051" t="str">
        <f ca="1">IFERROR(__xludf.DUMMYFUNCTION("split(A1051,""("")"),"Family Food Fight ")</f>
        <v xml:space="preserve">Family Food Fight </v>
      </c>
      <c r="E1051" t="str">
        <f ca="1">IFERROR(__xludf.DUMMYFUNCTION("""COMPUTED_VALUE"""),"TV Series 2019– )")</f>
        <v>TV Series 2019– )</v>
      </c>
    </row>
    <row r="1052" spans="1:5" ht="13" x14ac:dyDescent="0.15">
      <c r="A1052" s="5" t="s">
        <v>666</v>
      </c>
      <c r="D1052" t="str">
        <f ca="1">IFERROR(__xludf.DUMMYFUNCTION("split(A1052,""("")"),"Family Guy ")</f>
        <v xml:space="preserve">Family Guy </v>
      </c>
      <c r="E1052" t="str">
        <f ca="1">IFERROR(__xludf.DUMMYFUNCTION("""COMPUTED_VALUE"""),"TV Series 1999– )")</f>
        <v>TV Series 1999– )</v>
      </c>
    </row>
    <row r="1053" spans="1:5" ht="13" x14ac:dyDescent="0.15">
      <c r="A1053" s="5" t="s">
        <v>1532</v>
      </c>
      <c r="D1053" t="str">
        <f ca="1">IFERROR(__xludf.DUMMYFUNCTION("split(A1053,""("")"),"Family Matters ")</f>
        <v xml:space="preserve">Family Matters </v>
      </c>
      <c r="E1053" t="str">
        <f ca="1">IFERROR(__xludf.DUMMYFUNCTION("""COMPUTED_VALUE"""),"TV Series 1989–1998)")</f>
        <v>TV Series 1989–1998)</v>
      </c>
    </row>
    <row r="1054" spans="1:5" ht="13" x14ac:dyDescent="0.15">
      <c r="A1054" s="5" t="s">
        <v>1533</v>
      </c>
      <c r="D1054" t="str">
        <f ca="1">IFERROR(__xludf.DUMMYFUNCTION("split(A1054,""("")"),"Family Ties ")</f>
        <v xml:space="preserve">Family Ties </v>
      </c>
      <c r="E1054" t="str">
        <f ca="1">IFERROR(__xludf.DUMMYFUNCTION("""COMPUTED_VALUE"""),"TV Series 1982–1989)")</f>
        <v>TV Series 1982–1989)</v>
      </c>
    </row>
    <row r="1055" spans="1:5" ht="13" x14ac:dyDescent="0.15">
      <c r="A1055" s="5" t="s">
        <v>1534</v>
      </c>
      <c r="D1055" t="str">
        <f ca="1">IFERROR(__xludf.DUMMYFUNCTION("split(A1055,""("")"),"Family Tools ")</f>
        <v xml:space="preserve">Family Tools </v>
      </c>
      <c r="E1055" t="str">
        <f ca="1">IFERROR(__xludf.DUMMYFUNCTION("""COMPUTED_VALUE"""),"TV Series 2013)")</f>
        <v>TV Series 2013)</v>
      </c>
    </row>
    <row r="1056" spans="1:5" ht="13" x14ac:dyDescent="0.15">
      <c r="A1056" s="5" t="s">
        <v>1535</v>
      </c>
      <c r="D1056" t="str">
        <f ca="1">IFERROR(__xludf.DUMMYFUNCTION("split(A1056,""("")"),"Famous in Love ")</f>
        <v xml:space="preserve">Famous in Love </v>
      </c>
      <c r="E1056" t="str">
        <f ca="1">IFERROR(__xludf.DUMMYFUNCTION("""COMPUTED_VALUE"""),"TV Series 2017–2018)")</f>
        <v>TV Series 2017–2018)</v>
      </c>
    </row>
    <row r="1057" spans="1:5" ht="13" x14ac:dyDescent="0.15">
      <c r="A1057" s="5" t="s">
        <v>1536</v>
      </c>
      <c r="D1057" t="str">
        <f ca="1">IFERROR(__xludf.DUMMYFUNCTION("split(A1057,""("")"),"Fangbone! ")</f>
        <v xml:space="preserve">Fangbone! </v>
      </c>
      <c r="E1057" t="str">
        <f ca="1">IFERROR(__xludf.DUMMYFUNCTION("""COMPUTED_VALUE"""),"TV Series 2014– )")</f>
        <v>TV Series 2014– )</v>
      </c>
    </row>
    <row r="1058" spans="1:5" ht="13" x14ac:dyDescent="0.15">
      <c r="A1058" s="5" t="s">
        <v>64</v>
      </c>
      <c r="D1058" t="str">
        <f ca="1">IFERROR(__xludf.DUMMYFUNCTION("split(A1058,""("")"),"Fantastic Four: The Animated Series ")</f>
        <v xml:space="preserve">Fantastic Four: The Animated Series </v>
      </c>
      <c r="E1058" t="str">
        <f ca="1">IFERROR(__xludf.DUMMYFUNCTION("""COMPUTED_VALUE"""),"TV Series 1994–1996)")</f>
        <v>TV Series 1994–1996)</v>
      </c>
    </row>
    <row r="1059" spans="1:5" ht="13" x14ac:dyDescent="0.15">
      <c r="A1059" s="7" t="s">
        <v>65</v>
      </c>
      <c r="D1059" t="str">
        <f ca="1">IFERROR(__xludf.DUMMYFUNCTION("split(A1059,""("")"),"Fantastic Four: World's Greatest Heroes ")</f>
        <v xml:space="preserve">Fantastic Four: World's Greatest Heroes </v>
      </c>
      <c r="E1059" t="str">
        <f ca="1">IFERROR(__xludf.DUMMYFUNCTION("""COMPUTED_VALUE"""),"TV Series 2006–2010)")</f>
        <v>TV Series 2006–2010)</v>
      </c>
    </row>
    <row r="1060" spans="1:5" ht="13" x14ac:dyDescent="0.15">
      <c r="A1060" s="5" t="s">
        <v>571</v>
      </c>
      <c r="D1060" t="str">
        <f ca="1">IFERROR(__xludf.DUMMYFUNCTION("split(A1060,""("")"),"Fantastico 10 ")</f>
        <v xml:space="preserve">Fantastico 10 </v>
      </c>
      <c r="E1060" t="str">
        <f ca="1">IFERROR(__xludf.DUMMYFUNCTION("""COMPUTED_VALUE"""),"TV Series 1989– )")</f>
        <v>TV Series 1989– )</v>
      </c>
    </row>
    <row r="1061" spans="1:5" ht="13" x14ac:dyDescent="0.15">
      <c r="A1061" s="5" t="s">
        <v>572</v>
      </c>
      <c r="D1061" t="str">
        <f ca="1">IFERROR(__xludf.DUMMYFUNCTION("split(A1061,""("")"),"Fantastico 12 ")</f>
        <v xml:space="preserve">Fantastico 12 </v>
      </c>
      <c r="E1061" t="str">
        <f ca="1">IFERROR(__xludf.DUMMYFUNCTION("""COMPUTED_VALUE"""),"TV Series 1991– )")</f>
        <v>TV Series 1991– )</v>
      </c>
    </row>
    <row r="1062" spans="1:5" ht="13" x14ac:dyDescent="0.15">
      <c r="A1062" s="5" t="s">
        <v>573</v>
      </c>
      <c r="D1062" t="str">
        <f ca="1">IFERROR(__xludf.DUMMYFUNCTION("split(A1062,""("")"),"Fantastico 6 ")</f>
        <v xml:space="preserve">Fantastico 6 </v>
      </c>
      <c r="E1062" t="str">
        <f ca="1">IFERROR(__xludf.DUMMYFUNCTION("""COMPUTED_VALUE"""),"TV Series 1985– )")</f>
        <v>TV Series 1985– )</v>
      </c>
    </row>
    <row r="1063" spans="1:5" ht="13" x14ac:dyDescent="0.15">
      <c r="A1063" s="5" t="s">
        <v>574</v>
      </c>
      <c r="D1063" t="str">
        <f ca="1">IFERROR(__xludf.DUMMYFUNCTION("split(A1063,""("")"),"Fantastico 90 ")</f>
        <v xml:space="preserve">Fantastico 90 </v>
      </c>
      <c r="E1063" t="str">
        <f ca="1">IFERROR(__xludf.DUMMYFUNCTION("""COMPUTED_VALUE"""),"TV Series 1990– )")</f>
        <v>TV Series 1990– )</v>
      </c>
    </row>
    <row r="1064" spans="1:5" ht="13" x14ac:dyDescent="0.15">
      <c r="A1064" s="5" t="s">
        <v>1537</v>
      </c>
      <c r="D1064" t="str">
        <f ca="1">IFERROR(__xludf.DUMMYFUNCTION("split(A1064,""("")"),"Fantomcat ")</f>
        <v xml:space="preserve">Fantomcat </v>
      </c>
      <c r="E1064" t="str">
        <f ca="1">IFERROR(__xludf.DUMMYFUNCTION("""COMPUTED_VALUE"""),"TV Series 1995–1996)")</f>
        <v>TV Series 1995–1996)</v>
      </c>
    </row>
    <row r="1065" spans="1:5" ht="13" x14ac:dyDescent="0.15">
      <c r="A1065" s="5" t="s">
        <v>262</v>
      </c>
      <c r="D1065" t="str">
        <f ca="1">IFERROR(__xludf.DUMMYFUNCTION("split(A1065,""("")"),"Fargo ")</f>
        <v xml:space="preserve">Fargo </v>
      </c>
      <c r="E1065" t="str">
        <f ca="1">IFERROR(__xludf.DUMMYFUNCTION("""COMPUTED_VALUE"""),"TV Series 2014– )")</f>
        <v>TV Series 2014– )</v>
      </c>
    </row>
    <row r="1066" spans="1:5" ht="13" x14ac:dyDescent="0.15">
      <c r="A1066" s="5" t="s">
        <v>1538</v>
      </c>
      <c r="D1066" t="str">
        <f ca="1">IFERROR(__xludf.DUMMYFUNCTION("split(A1066,""("")"),"Farouk Omar ")</f>
        <v xml:space="preserve">Farouk Omar </v>
      </c>
      <c r="E1066" t="str">
        <f ca="1">IFERROR(__xludf.DUMMYFUNCTION("""COMPUTED_VALUE"""),"TV Series 2012– )")</f>
        <v>TV Series 2012– )</v>
      </c>
    </row>
    <row r="1067" spans="1:5" ht="13" x14ac:dyDescent="0.15">
      <c r="A1067" s="5" t="s">
        <v>1539</v>
      </c>
      <c r="D1067" t="str">
        <f ca="1">IFERROR(__xludf.DUMMYFUNCTION("split(A1067,""("")"),"Farscape ")</f>
        <v xml:space="preserve">Farscape </v>
      </c>
      <c r="E1067" t="str">
        <f ca="1">IFERROR(__xludf.DUMMYFUNCTION("""COMPUTED_VALUE"""),"TV Series 1999–2003)")</f>
        <v>TV Series 1999–2003)</v>
      </c>
    </row>
    <row r="1068" spans="1:5" ht="13" x14ac:dyDescent="0.15">
      <c r="A1068" s="5" t="s">
        <v>1540</v>
      </c>
      <c r="D1068" t="str">
        <f ca="1">IFERROR(__xludf.DUMMYFUNCTION("split(A1068,""("")"),"Fashion Star ")</f>
        <v xml:space="preserve">Fashion Star </v>
      </c>
      <c r="E1068" t="str">
        <f ca="1">IFERROR(__xludf.DUMMYFUNCTION("""COMPUTED_VALUE"""),"TV Series 2012– )")</f>
        <v>TV Series 2012– )</v>
      </c>
    </row>
    <row r="1069" spans="1:5" ht="13" x14ac:dyDescent="0.15">
      <c r="A1069" s="5" t="s">
        <v>1541</v>
      </c>
      <c r="D1069" t="str">
        <f ca="1">IFERROR(__xludf.DUMMYFUNCTION("split(A1069,""("")"),"Fast Layne ")</f>
        <v xml:space="preserve">Fast Layne </v>
      </c>
      <c r="E1069" t="str">
        <f ca="1">IFERROR(__xludf.DUMMYFUNCTION("""COMPUTED_VALUE"""),"TV Series 2019)")</f>
        <v>TV Series 2019)</v>
      </c>
    </row>
    <row r="1070" spans="1:5" ht="13" x14ac:dyDescent="0.15">
      <c r="A1070" s="5" t="s">
        <v>1542</v>
      </c>
      <c r="D1070" t="str">
        <f ca="1">IFERROR(__xludf.DUMMYFUNCTION("split(A1070,""("")"),"Fast N' Loud ")</f>
        <v xml:space="preserve">Fast N' Loud </v>
      </c>
      <c r="E1070" t="str">
        <f ca="1">IFERROR(__xludf.DUMMYFUNCTION("""COMPUTED_VALUE"""),"TV Series 2012– )")</f>
        <v>TV Series 2012– )</v>
      </c>
    </row>
    <row r="1071" spans="1:5" ht="13" x14ac:dyDescent="0.15">
      <c r="A1071" s="5" t="s">
        <v>1543</v>
      </c>
      <c r="D1071" t="str">
        <f ca="1">IFERROR(__xludf.DUMMYFUNCTION("split(A1071,""("")"),"Fat and Back ")</f>
        <v xml:space="preserve">Fat and Back </v>
      </c>
      <c r="E1071" t="str">
        <f ca="1">IFERROR(__xludf.DUMMYFUNCTION("""COMPUTED_VALUE"""),"TV Series 2015– )")</f>
        <v>TV Series 2015– )</v>
      </c>
    </row>
    <row r="1072" spans="1:5" ht="13" x14ac:dyDescent="0.15">
      <c r="A1072" s="5" t="s">
        <v>1544</v>
      </c>
      <c r="D1072" t="str">
        <f ca="1">IFERROR(__xludf.DUMMYFUNCTION("split(A1072,""("")"),"Fat Families ")</f>
        <v xml:space="preserve">Fat Families </v>
      </c>
      <c r="E1072" t="str">
        <f ca="1">IFERROR(__xludf.DUMMYFUNCTION("""COMPUTED_VALUE"""),"TV Series 2010– )")</f>
        <v>TV Series 2010– )</v>
      </c>
    </row>
    <row r="1073" spans="1:5" ht="13" x14ac:dyDescent="0.15">
      <c r="A1073" s="5" t="s">
        <v>1545</v>
      </c>
      <c r="D1073" t="str">
        <f ca="1">IFERROR(__xludf.DUMMYFUNCTION("split(A1073,""("")"),"Fatal Attraction ")</f>
        <v xml:space="preserve">Fatal Attraction </v>
      </c>
      <c r="E1073" t="str">
        <f ca="1">IFERROR(__xludf.DUMMYFUNCTION("""COMPUTED_VALUE"""),"TV Series 2013– )")</f>
        <v>TV Series 2013– )</v>
      </c>
    </row>
    <row r="1074" spans="1:5" ht="13" x14ac:dyDescent="0.15">
      <c r="A1074" s="5" t="s">
        <v>1546</v>
      </c>
      <c r="D1074" t="str">
        <f ca="1">IFERROR(__xludf.DUMMYFUNCTION("split(A1074,""("")"),"Fatal Vows ")</f>
        <v xml:space="preserve">Fatal Vows </v>
      </c>
      <c r="E1074" t="str">
        <f ca="1">IFERROR(__xludf.DUMMYFUNCTION("""COMPUTED_VALUE"""),"TV Series 2012– )")</f>
        <v>TV Series 2012– )</v>
      </c>
    </row>
    <row r="1075" spans="1:5" ht="13" x14ac:dyDescent="0.15">
      <c r="A1075" s="5" t="s">
        <v>210</v>
      </c>
      <c r="D1075" t="str">
        <f ca="1">IFERROR(__xludf.DUMMYFUNCTION("split(A1075,""("")"),"Fatih ")</f>
        <v xml:space="preserve">Fatih </v>
      </c>
      <c r="E1075" t="str">
        <f ca="1">IFERROR(__xludf.DUMMYFUNCTION("""COMPUTED_VALUE"""),"TV Series 2018)")</f>
        <v>TV Series 2018)</v>
      </c>
    </row>
    <row r="1076" spans="1:5" ht="13" x14ac:dyDescent="0.15">
      <c r="A1076" s="5" t="s">
        <v>1547</v>
      </c>
      <c r="D1076" t="str">
        <f ca="1">IFERROR(__xludf.DUMMYFUNCTION("split(A1076,""("")"),"Fauda ")</f>
        <v xml:space="preserve">Fauda </v>
      </c>
      <c r="E1076" t="str">
        <f ca="1">IFERROR(__xludf.DUMMYFUNCTION("""COMPUTED_VALUE"""),"TV Series 2015– )")</f>
        <v>TV Series 2015– )</v>
      </c>
    </row>
    <row r="1077" spans="1:5" ht="13" x14ac:dyDescent="0.15">
      <c r="A1077" s="5" t="s">
        <v>345</v>
      </c>
      <c r="D1077" t="str">
        <f ca="1">IFERROR(__xludf.DUMMYFUNCTION("split(A1077,""("")"),"FBI ")</f>
        <v xml:space="preserve">FBI </v>
      </c>
      <c r="E1077" t="str">
        <f ca="1">IFERROR(__xludf.DUMMYFUNCTION("""COMPUTED_VALUE"""),"TV Series 2018– )")</f>
        <v>TV Series 2018– )</v>
      </c>
    </row>
    <row r="1078" spans="1:5" ht="13" x14ac:dyDescent="0.15">
      <c r="A1078" s="5" t="s">
        <v>1548</v>
      </c>
      <c r="D1078" t="str">
        <f ca="1">IFERROR(__xludf.DUMMYFUNCTION("split(A1078,""("")"),"Fear Factor ")</f>
        <v xml:space="preserve">Fear Factor </v>
      </c>
      <c r="E1078" t="str">
        <f ca="1">IFERROR(__xludf.DUMMYFUNCTION("""COMPUTED_VALUE"""),"TV Series 2001–2012)")</f>
        <v>TV Series 2001–2012)</v>
      </c>
    </row>
    <row r="1079" spans="1:5" ht="13" x14ac:dyDescent="0.15">
      <c r="A1079" s="5" t="s">
        <v>523</v>
      </c>
      <c r="D1079" t="str">
        <f ca="1">IFERROR(__xludf.DUMMYFUNCTION("split(A1079,""("")"),"Fear the Walking Dead ")</f>
        <v xml:space="preserve">Fear the Walking Dead </v>
      </c>
      <c r="E1079" t="str">
        <f ca="1">IFERROR(__xludf.DUMMYFUNCTION("""COMPUTED_VALUE"""),"TV Series 2015– )")</f>
        <v>TV Series 2015– )</v>
      </c>
    </row>
    <row r="1080" spans="1:5" ht="13" x14ac:dyDescent="0.15">
      <c r="A1080" s="5" t="s">
        <v>1549</v>
      </c>
      <c r="D1080" t="str">
        <f ca="1">IFERROR(__xludf.DUMMYFUNCTION("split(A1080,""("")"),"Félix ")</f>
        <v xml:space="preserve">Félix </v>
      </c>
      <c r="E1080" t="str">
        <f ca="1">IFERROR(__xludf.DUMMYFUNCTION("""COMPUTED_VALUE"""),"TV Series 2018)")</f>
        <v>TV Series 2018)</v>
      </c>
    </row>
    <row r="1081" spans="1:5" ht="13" x14ac:dyDescent="0.15">
      <c r="A1081" s="5" t="s">
        <v>1550</v>
      </c>
      <c r="D1081" t="str">
        <f ca="1">IFERROR(__xludf.DUMMYFUNCTION("split(A1081,""("")"),"Fellowship Baptist Church Coney Island ")</f>
        <v xml:space="preserve">Fellowship Baptist Church Coney Island </v>
      </c>
      <c r="E1081" t="str">
        <f ca="1">IFERROR(__xludf.DUMMYFUNCTION("""COMPUTED_VALUE"""),"TV Series 2012– )")</f>
        <v>TV Series 2012– )</v>
      </c>
    </row>
    <row r="1082" spans="1:5" ht="13" x14ac:dyDescent="0.15">
      <c r="A1082" s="5" t="s">
        <v>1551</v>
      </c>
      <c r="D1082" t="str">
        <f ca="1">IFERROR(__xludf.DUMMYFUNCTION("split(A1082,""("")"),"Femme Fatales ")</f>
        <v xml:space="preserve">Femme Fatales </v>
      </c>
      <c r="E1082" t="str">
        <f ca="1">IFERROR(__xludf.DUMMYFUNCTION("""COMPUTED_VALUE"""),"TV Series 2011–2012)")</f>
        <v>TV Series 2011–2012)</v>
      </c>
    </row>
    <row r="1083" spans="1:5" ht="13" x14ac:dyDescent="0.15">
      <c r="A1083" s="5" t="s">
        <v>1552</v>
      </c>
      <c r="D1083" t="str">
        <f ca="1">IFERROR(__xludf.DUMMYFUNCTION("split(A1083,""("")"),"Fifty and Embarrassing ")</f>
        <v xml:space="preserve">Fifty and Embarrassing </v>
      </c>
      <c r="E1083" t="str">
        <f ca="1">IFERROR(__xludf.DUMMYFUNCTION("""COMPUTED_VALUE"""),"TV Series 2017)")</f>
        <v>TV Series 2017)</v>
      </c>
    </row>
    <row r="1084" spans="1:5" ht="13" x14ac:dyDescent="0.15">
      <c r="A1084" s="5" t="s">
        <v>1553</v>
      </c>
      <c r="D1084" t="str">
        <f ca="1">IFERROR(__xludf.DUMMYFUNCTION("split(A1084,""("")"),"Fight Quest ")</f>
        <v xml:space="preserve">Fight Quest </v>
      </c>
      <c r="E1084" t="str">
        <f ca="1">IFERROR(__xludf.DUMMYFUNCTION("""COMPUTED_VALUE"""),"TV Series 2007– )")</f>
        <v>TV Series 2007– )</v>
      </c>
    </row>
    <row r="1085" spans="1:5" ht="13" x14ac:dyDescent="0.15">
      <c r="A1085" s="5" t="s">
        <v>1554</v>
      </c>
      <c r="D1085" t="str">
        <f ca="1">IFERROR(__xludf.DUMMYFUNCTION("split(A1085,""("")"),"Fíkus ")</f>
        <v xml:space="preserve">Fíkus </v>
      </c>
      <c r="E1085" t="str">
        <f ca="1">IFERROR(__xludf.DUMMYFUNCTION("""COMPUTED_VALUE"""),"TV Series 2015– )")</f>
        <v>TV Series 2015– )</v>
      </c>
    </row>
    <row r="1086" spans="1:5" ht="13" x14ac:dyDescent="0.15">
      <c r="A1086" s="5" t="s">
        <v>1555</v>
      </c>
      <c r="D1086" t="str">
        <f ca="1">IFERROR(__xludf.DUMMYFUNCTION("split(A1086,""("")"),"Filthy Rich &amp; Catflap ")</f>
        <v xml:space="preserve">Filthy Rich &amp; Catflap </v>
      </c>
      <c r="E1086" t="str">
        <f ca="1">IFERROR(__xludf.DUMMYFUNCTION("""COMPUTED_VALUE"""),"TV Series 1987– )")</f>
        <v>TV Series 1987– )</v>
      </c>
    </row>
    <row r="1087" spans="1:5" ht="13" x14ac:dyDescent="0.15">
      <c r="A1087" s="5" t="s">
        <v>1556</v>
      </c>
      <c r="D1087" t="str">
        <f ca="1">IFERROR(__xludf.DUMMYFUNCTION("split(A1087,""("")"),"Final Days of Planet Earth ")</f>
        <v xml:space="preserve">Final Days of Planet Earth </v>
      </c>
      <c r="E1087" t="str">
        <f ca="1">IFERROR(__xludf.DUMMYFUNCTION("""COMPUTED_VALUE"""),"TV Movie 2006)")</f>
        <v>TV Movie 2006)</v>
      </c>
    </row>
    <row r="1088" spans="1:5" ht="13" x14ac:dyDescent="0.15">
      <c r="A1088" s="5" t="s">
        <v>1557</v>
      </c>
      <c r="D1088" t="str">
        <f ca="1">IFERROR(__xludf.DUMMYFUNCTION("split(A1088,""("")"),"Find Me in Paris ")</f>
        <v xml:space="preserve">Find Me in Paris </v>
      </c>
      <c r="E1088" t="str">
        <f ca="1">IFERROR(__xludf.DUMMYFUNCTION("""COMPUTED_VALUE"""),"TV Series 2018–2020)")</f>
        <v>TV Series 2018–2020)</v>
      </c>
    </row>
    <row r="1089" spans="1:5" ht="13" x14ac:dyDescent="0.15">
      <c r="A1089" s="5" t="s">
        <v>1558</v>
      </c>
      <c r="D1089" t="str">
        <f ca="1">IFERROR(__xludf.DUMMYFUNCTION("split(A1089,""("")"),"Finders Keepers ")</f>
        <v xml:space="preserve">Finders Keepers </v>
      </c>
      <c r="E1089" t="str">
        <f ca="1">IFERROR(__xludf.DUMMYFUNCTION("""COMPUTED_VALUE"""),"TV Series 1991)")</f>
        <v>TV Series 1991)</v>
      </c>
    </row>
    <row r="1090" spans="1:5" ht="13" x14ac:dyDescent="0.15">
      <c r="A1090" s="5" t="s">
        <v>1559</v>
      </c>
      <c r="D1090" t="str">
        <f ca="1">IFERROR(__xludf.DUMMYFUNCTION("split(A1090,""("")"),"Finding Bigfoot ")</f>
        <v xml:space="preserve">Finding Bigfoot </v>
      </c>
      <c r="E1090" t="str">
        <f ca="1">IFERROR(__xludf.DUMMYFUNCTION("""COMPUTED_VALUE"""),"TV Series 2011– )")</f>
        <v>TV Series 2011– )</v>
      </c>
    </row>
    <row r="1091" spans="1:5" ht="13" x14ac:dyDescent="0.15">
      <c r="A1091" s="5" t="s">
        <v>1560</v>
      </c>
      <c r="D1091" t="str">
        <f ca="1">IFERROR(__xludf.DUMMYFUNCTION("split(A1091,""("")"),"Finding Carter ")</f>
        <v xml:space="preserve">Finding Carter </v>
      </c>
      <c r="E1091" t="str">
        <f ca="1">IFERROR(__xludf.DUMMYFUNCTION("""COMPUTED_VALUE"""),"TV Series 2014–2015)")</f>
        <v>TV Series 2014–2015)</v>
      </c>
    </row>
    <row r="1092" spans="1:5" ht="13" x14ac:dyDescent="0.15">
      <c r="A1092" s="5" t="s">
        <v>1561</v>
      </c>
      <c r="D1092" t="str">
        <f ca="1">IFERROR(__xludf.DUMMYFUNCTION("split(A1092,""("")"),"Finding Stuff Out ")</f>
        <v xml:space="preserve">Finding Stuff Out </v>
      </c>
      <c r="E1092" t="str">
        <f ca="1">IFERROR(__xludf.DUMMYFUNCTION("""COMPUTED_VALUE"""),"TV Series 2012– )")</f>
        <v>TV Series 2012– )</v>
      </c>
    </row>
    <row r="1093" spans="1:5" ht="13" x14ac:dyDescent="0.15">
      <c r="A1093" s="5" t="s">
        <v>1562</v>
      </c>
      <c r="D1093" t="str">
        <f ca="1">IFERROR(__xludf.DUMMYFUNCTION("split(A1093,""("")"),"Finding Your Roots with Henry Louis Gates, Jr. ")</f>
        <v xml:space="preserve">Finding Your Roots with Henry Louis Gates, Jr. </v>
      </c>
      <c r="E1093" t="str">
        <f ca="1">IFERROR(__xludf.DUMMYFUNCTION("""COMPUTED_VALUE"""),"TV Series 2012– )")</f>
        <v>TV Series 2012– )</v>
      </c>
    </row>
    <row r="1094" spans="1:5" ht="13" x14ac:dyDescent="0.15">
      <c r="A1094" s="5" t="s">
        <v>321</v>
      </c>
      <c r="D1094" t="str">
        <f ca="1">IFERROR(__xludf.DUMMYFUNCTION("split(A1094,""("")"),"Firefly ")</f>
        <v xml:space="preserve">Firefly </v>
      </c>
      <c r="E1094" t="str">
        <f ca="1">IFERROR(__xludf.DUMMYFUNCTION("""COMPUTED_VALUE"""),"TV Series 2002–2003)")</f>
        <v>TV Series 2002–2003)</v>
      </c>
    </row>
    <row r="1095" spans="1:5" ht="13" x14ac:dyDescent="0.15">
      <c r="A1095" s="5" t="s">
        <v>1563</v>
      </c>
      <c r="D1095" t="str">
        <f ca="1">IFERROR(__xludf.DUMMYFUNCTION("split(A1095,""("")"),"First Dates ")</f>
        <v xml:space="preserve">First Dates </v>
      </c>
      <c r="E1095" t="str">
        <f ca="1">IFERROR(__xludf.DUMMYFUNCTION("""COMPUTED_VALUE"""),"TV Series 2013– )")</f>
        <v>TV Series 2013– )</v>
      </c>
    </row>
    <row r="1096" spans="1:5" ht="13" x14ac:dyDescent="0.15">
      <c r="A1096" s="5" t="s">
        <v>267</v>
      </c>
      <c r="D1096" t="str">
        <f ca="1">IFERROR(__xludf.DUMMYFUNCTION("split(A1096,""("")"),"First Dates ")</f>
        <v xml:space="preserve">First Dates </v>
      </c>
      <c r="E1096" t="str">
        <f ca="1">IFERROR(__xludf.DUMMYFUNCTION("""COMPUTED_VALUE"""),"TV Series 2017– )")</f>
        <v>TV Series 2017– )</v>
      </c>
    </row>
    <row r="1097" spans="1:5" ht="13" x14ac:dyDescent="0.15">
      <c r="A1097" s="5" t="s">
        <v>575</v>
      </c>
      <c r="D1097" t="str">
        <f ca="1">IFERROR(__xludf.DUMMYFUNCTION("split(A1097,""("")"),"First Dates Abroad ")</f>
        <v xml:space="preserve">First Dates Abroad </v>
      </c>
      <c r="E1097" t="str">
        <f ca="1">IFERROR(__xludf.DUMMYFUNCTION("""COMPUTED_VALUE"""),"TV Series 2016– )")</f>
        <v>TV Series 2016– )</v>
      </c>
    </row>
    <row r="1098" spans="1:5" ht="13" x14ac:dyDescent="0.15">
      <c r="A1098" s="5" t="s">
        <v>576</v>
      </c>
      <c r="D1098" t="str">
        <f ca="1">IFERROR(__xludf.DUMMYFUNCTION("split(A1098,""("")"),"First Dates Hotel ")</f>
        <v xml:space="preserve">First Dates Hotel </v>
      </c>
      <c r="E1098" t="str">
        <f ca="1">IFERROR(__xludf.DUMMYFUNCTION("""COMPUTED_VALUE"""),"TV Series 2017– )")</f>
        <v>TV Series 2017– )</v>
      </c>
    </row>
    <row r="1099" spans="1:5" ht="13" x14ac:dyDescent="0.15">
      <c r="A1099" s="5" t="s">
        <v>1564</v>
      </c>
      <c r="D1099" t="str">
        <f ca="1">IFERROR(__xludf.DUMMYFUNCTION("split(A1099,""("")"),"First Team: Juventus ")</f>
        <v xml:space="preserve">First Team: Juventus </v>
      </c>
      <c r="E1099" t="str">
        <f ca="1">IFERROR(__xludf.DUMMYFUNCTION("""COMPUTED_VALUE"""),"TV Series 2018– )")</f>
        <v>TV Series 2018– )</v>
      </c>
    </row>
    <row r="1100" spans="1:5" ht="13" x14ac:dyDescent="0.15">
      <c r="A1100" s="7" t="s">
        <v>1565</v>
      </c>
      <c r="D1100" t="str">
        <f ca="1">IFERROR(__xludf.DUMMYFUNCTION("split(A1100,""("")"),"First United Pentecostal Church of Augusta, Maine ")</f>
        <v xml:space="preserve">First United Pentecostal Church of Augusta, Maine </v>
      </c>
      <c r="E1100" t="str">
        <f ca="1">IFERROR(__xludf.DUMMYFUNCTION("""COMPUTED_VALUE"""),"TV Series 2013– )")</f>
        <v>TV Series 2013– )</v>
      </c>
    </row>
    <row r="1101" spans="1:5" ht="13" x14ac:dyDescent="0.15">
      <c r="A1101" s="5" t="s">
        <v>1566</v>
      </c>
      <c r="D1101" t="str">
        <f ca="1">IFERROR(__xludf.DUMMYFUNCTION("split(A1101,""("")"),"First Wave ")</f>
        <v xml:space="preserve">First Wave </v>
      </c>
      <c r="E1101" t="str">
        <f ca="1">IFERROR(__xludf.DUMMYFUNCTION("""COMPUTED_VALUE"""),"TV Series 1998–2001)")</f>
        <v>TV Series 1998–2001)</v>
      </c>
    </row>
    <row r="1102" spans="1:5" ht="13" x14ac:dyDescent="0.15">
      <c r="A1102" s="5" t="s">
        <v>1567</v>
      </c>
      <c r="D1102" t="str">
        <f ca="1">IFERROR(__xludf.DUMMYFUNCTION("split(A1102,""("")"),"Fish Police ")</f>
        <v xml:space="preserve">Fish Police </v>
      </c>
      <c r="E1102" t="str">
        <f ca="1">IFERROR(__xludf.DUMMYFUNCTION("""COMPUTED_VALUE"""),"TV Series 1992)")</f>
        <v>TV Series 1992)</v>
      </c>
    </row>
    <row r="1103" spans="1:5" ht="13" x14ac:dyDescent="0.15">
      <c r="A1103" s="5" t="s">
        <v>1568</v>
      </c>
      <c r="D1103" t="str">
        <f ca="1">IFERROR(__xludf.DUMMYFUNCTION("split(A1103,""("")"),"Fist of the North Star ")</f>
        <v xml:space="preserve">Fist of the North Star </v>
      </c>
      <c r="E1103" t="str">
        <f ca="1">IFERROR(__xludf.DUMMYFUNCTION("""COMPUTED_VALUE"""),"TV Series 1984–1988)")</f>
        <v>TV Series 1984–1988)</v>
      </c>
    </row>
    <row r="1104" spans="1:5" ht="13" x14ac:dyDescent="0.15">
      <c r="A1104" s="5" t="s">
        <v>577</v>
      </c>
      <c r="D1104" t="str">
        <f ca="1">IFERROR(__xludf.DUMMYFUNCTION("split(A1104,""("")"),"Fist of the North Star 2 ")</f>
        <v xml:space="preserve">Fist of the North Star 2 </v>
      </c>
      <c r="E1104" t="str">
        <f ca="1">IFERROR(__xludf.DUMMYFUNCTION("""COMPUTED_VALUE"""),"TV Series 1987–1988)")</f>
        <v>TV Series 1987–1988)</v>
      </c>
    </row>
    <row r="1105" spans="1:5" ht="13" x14ac:dyDescent="0.15">
      <c r="A1105" s="5" t="s">
        <v>1569</v>
      </c>
      <c r="D1105" t="str">
        <f ca="1">IFERROR(__xludf.DUMMYFUNCTION("split(A1105,""("")"),"Fixer Upper ")</f>
        <v xml:space="preserve">Fixer Upper </v>
      </c>
      <c r="E1105" t="str">
        <f ca="1">IFERROR(__xludf.DUMMYFUNCTION("""COMPUTED_VALUE"""),"TV Series 2013–2018)")</f>
        <v>TV Series 2013–2018)</v>
      </c>
    </row>
    <row r="1106" spans="1:5" ht="13" x14ac:dyDescent="0.15">
      <c r="A1106" s="5" t="s">
        <v>1570</v>
      </c>
      <c r="D1106" t="str">
        <f ca="1">IFERROR(__xludf.DUMMYFUNCTION("split(A1106,""("")"),"Flack ")</f>
        <v xml:space="preserve">Flack </v>
      </c>
      <c r="E1106" t="str">
        <f ca="1">IFERROR(__xludf.DUMMYFUNCTION("""COMPUTED_VALUE"""),"TV Series 2019– )")</f>
        <v>TV Series 2019– )</v>
      </c>
    </row>
    <row r="1107" spans="1:5" ht="13" x14ac:dyDescent="0.15">
      <c r="A1107" s="5" t="s">
        <v>1571</v>
      </c>
      <c r="D1107" t="str">
        <f ca="1">IFERROR(__xludf.DUMMYFUNCTION("split(A1107,""("")"),"Flame of Recca ")</f>
        <v xml:space="preserve">Flame of Recca </v>
      </c>
      <c r="E1107" t="str">
        <f ca="1">IFERROR(__xludf.DUMMYFUNCTION("""COMPUTED_VALUE"""),"TV Series 1997–1998)")</f>
        <v>TV Series 1997–1998)</v>
      </c>
    </row>
    <row r="1108" spans="1:5" ht="13" x14ac:dyDescent="0.15">
      <c r="A1108" s="5" t="s">
        <v>1572</v>
      </c>
      <c r="D1108" t="str">
        <f ca="1">IFERROR(__xludf.DUMMYFUNCTION("split(A1108,""("")"),"Flashforward ")</f>
        <v xml:space="preserve">Flashforward </v>
      </c>
      <c r="E1108" t="str">
        <f ca="1">IFERROR(__xludf.DUMMYFUNCTION("""COMPUTED_VALUE"""),"TV Series 2009–2010)")</f>
        <v>TV Series 2009–2010)</v>
      </c>
    </row>
    <row r="1109" spans="1:5" ht="13" x14ac:dyDescent="0.15">
      <c r="A1109" s="5" t="s">
        <v>1573</v>
      </c>
      <c r="D1109" t="str">
        <f ca="1">IFERROR(__xludf.DUMMYFUNCTION("split(A1109,""("")"),"Flashing Lives ")</f>
        <v xml:space="preserve">Flashing Lives </v>
      </c>
      <c r="E1109" t="str">
        <f ca="1">IFERROR(__xludf.DUMMYFUNCTION("""COMPUTED_VALUE"""),"TV Series 2011– )")</f>
        <v>TV Series 2011– )</v>
      </c>
    </row>
    <row r="1110" spans="1:5" ht="13" x14ac:dyDescent="0.15">
      <c r="A1110" s="5" t="s">
        <v>1574</v>
      </c>
      <c r="D1110" t="str">
        <f ca="1">IFERROR(__xludf.DUMMYFUNCTION("split(A1110,""("")"),"Flashpoint ")</f>
        <v xml:space="preserve">Flashpoint </v>
      </c>
      <c r="E1110" t="str">
        <f ca="1">IFERROR(__xludf.DUMMYFUNCTION("""COMPUTED_VALUE"""),"TV Series 2008–2012)")</f>
        <v>TV Series 2008–2012)</v>
      </c>
    </row>
    <row r="1111" spans="1:5" ht="13" x14ac:dyDescent="0.15">
      <c r="A1111" s="5" t="s">
        <v>1575</v>
      </c>
      <c r="D1111" t="str">
        <f ca="1">IFERROR(__xludf.DUMMYFUNCTION("split(A1111,""("")"),"Fleabag ")</f>
        <v xml:space="preserve">Fleabag </v>
      </c>
      <c r="E1111" t="str">
        <f ca="1">IFERROR(__xludf.DUMMYFUNCTION("""COMPUTED_VALUE"""),"TV Series 2016–2019)")</f>
        <v>TV Series 2016–2019)</v>
      </c>
    </row>
    <row r="1112" spans="1:5" ht="13" x14ac:dyDescent="0.15">
      <c r="A1112" s="5" t="s">
        <v>1576</v>
      </c>
      <c r="D1112" t="str">
        <f ca="1">IFERROR(__xludf.DUMMYFUNCTION("split(A1112,""("")"),"Flickers! ")</f>
        <v xml:space="preserve">Flickers! </v>
      </c>
      <c r="E1112" t="str">
        <f ca="1">IFERROR(__xludf.DUMMYFUNCTION("""COMPUTED_VALUE"""),"TV Series 2014– )")</f>
        <v>TV Series 2014– )</v>
      </c>
    </row>
    <row r="1113" spans="1:5" ht="13" x14ac:dyDescent="0.15">
      <c r="A1113" s="5" t="s">
        <v>502</v>
      </c>
      <c r="D1113" t="str">
        <f ca="1">IFERROR(__xludf.DUMMYFUNCTION("split(A1113,""("")"),"Flight of the Conchords ")</f>
        <v xml:space="preserve">Flight of the Conchords </v>
      </c>
      <c r="E1113" t="str">
        <f ca="1">IFERROR(__xludf.DUMMYFUNCTION("""COMPUTED_VALUE"""),"TV Series 2007–2009)")</f>
        <v>TV Series 2007–2009)</v>
      </c>
    </row>
    <row r="1114" spans="1:5" ht="13" x14ac:dyDescent="0.15">
      <c r="A1114" s="5" t="s">
        <v>1577</v>
      </c>
      <c r="D1114" t="str">
        <f ca="1">IFERROR(__xludf.DUMMYFUNCTION("split(A1114,""("")"),"Flint Town ")</f>
        <v xml:space="preserve">Flint Town </v>
      </c>
      <c r="E1114" t="str">
        <f ca="1">IFERROR(__xludf.DUMMYFUNCTION("""COMPUTED_VALUE"""),"TV Series 2018– )")</f>
        <v>TV Series 2018– )</v>
      </c>
    </row>
    <row r="1115" spans="1:5" ht="13" x14ac:dyDescent="0.15">
      <c r="A1115" s="5" t="s">
        <v>1578</v>
      </c>
      <c r="D1115" t="str">
        <f ca="1">IFERROR(__xludf.DUMMYFUNCTION("split(A1115,""("")"),"Flip or Flop ")</f>
        <v xml:space="preserve">Flip or Flop </v>
      </c>
      <c r="E1115" t="str">
        <f ca="1">IFERROR(__xludf.DUMMYFUNCTION("""COMPUTED_VALUE"""),"TV Series 2013– )")</f>
        <v>TV Series 2013– )</v>
      </c>
    </row>
    <row r="1116" spans="1:5" ht="13" x14ac:dyDescent="0.15">
      <c r="A1116" s="5" t="s">
        <v>1579</v>
      </c>
      <c r="D1116" t="str">
        <f ca="1">IFERROR(__xludf.DUMMYFUNCTION("split(A1116,""("")"),"Flipper &amp; Lopaka ")</f>
        <v xml:space="preserve">Flipper &amp; Lopaka </v>
      </c>
      <c r="E1116" t="str">
        <f ca="1">IFERROR(__xludf.DUMMYFUNCTION("""COMPUTED_VALUE"""),"TV Series 1999–2005)")</f>
        <v>TV Series 1999–2005)</v>
      </c>
    </row>
    <row r="1117" spans="1:5" ht="13" x14ac:dyDescent="0.15">
      <c r="A1117" s="5" t="s">
        <v>1580</v>
      </c>
      <c r="D1117" t="str">
        <f ca="1">IFERROR(__xludf.DUMMYFUNCTION("split(A1117,""("")"),"Flipping Out ")</f>
        <v xml:space="preserve">Flipping Out </v>
      </c>
      <c r="E1117" t="str">
        <f ca="1">IFERROR(__xludf.DUMMYFUNCTION("""COMPUTED_VALUE"""),"TV Series 2007– )")</f>
        <v>TV Series 2007– )</v>
      </c>
    </row>
    <row r="1118" spans="1:5" ht="13" x14ac:dyDescent="0.15">
      <c r="A1118" s="5" t="s">
        <v>1581</v>
      </c>
      <c r="D1118" t="str">
        <f ca="1">IFERROR(__xludf.DUMMYFUNCTION("split(A1118,""("")"),"Floating Kitchen ")</f>
        <v xml:space="preserve">Floating Kitchen </v>
      </c>
      <c r="E1118" t="str">
        <f ca="1">IFERROR(__xludf.DUMMYFUNCTION("""COMPUTED_VALUE"""),"TV Series 2007– )")</f>
        <v>TV Series 2007– )</v>
      </c>
    </row>
    <row r="1119" spans="1:5" ht="13" x14ac:dyDescent="0.15">
      <c r="A1119" s="5" t="s">
        <v>1582</v>
      </c>
      <c r="D1119" t="str">
        <f ca="1">IFERROR(__xludf.DUMMYFUNCTION("split(A1119,""("")"),"Florrie's Dragons ")</f>
        <v xml:space="preserve">Florrie's Dragons </v>
      </c>
      <c r="E1119" t="str">
        <f ca="1">IFERROR(__xludf.DUMMYFUNCTION("""COMPUTED_VALUE"""),"TV Series 2010– )")</f>
        <v>TV Series 2010– )</v>
      </c>
    </row>
    <row r="1120" spans="1:5" ht="13" x14ac:dyDescent="0.15">
      <c r="A1120" s="5" t="s">
        <v>1583</v>
      </c>
      <c r="D1120" t="str">
        <f ca="1">IFERROR(__xludf.DUMMYFUNCTION("split(A1120,""("")"),"Flowers of Evil ")</f>
        <v xml:space="preserve">Flowers of Evil </v>
      </c>
      <c r="E1120" t="str">
        <f ca="1">IFERROR(__xludf.DUMMYFUNCTION("""COMPUTED_VALUE"""),"TV Series 2013– )")</f>
        <v>TV Series 2013– )</v>
      </c>
    </row>
    <row r="1121" spans="1:6" ht="13" x14ac:dyDescent="0.15">
      <c r="A1121" s="5" t="s">
        <v>578</v>
      </c>
      <c r="D1121" t="str">
        <f ca="1">IFERROR(__xludf.DUMMYFUNCTION("split(A1121,""("")"),"Floyd on Britain &amp; Ireland ")</f>
        <v xml:space="preserve">Floyd on Britain &amp; Ireland </v>
      </c>
      <c r="E1121" t="str">
        <f ca="1">IFERROR(__xludf.DUMMYFUNCTION("""COMPUTED_VALUE"""),"TV Series 1988– )")</f>
        <v>TV Series 1988– )</v>
      </c>
    </row>
    <row r="1122" spans="1:6" ht="13" x14ac:dyDescent="0.15">
      <c r="A1122" s="5" t="s">
        <v>579</v>
      </c>
      <c r="D1122" t="str">
        <f ca="1">IFERROR(__xludf.DUMMYFUNCTION("split(A1122,""("")"),"Floyd on Fish ")</f>
        <v xml:space="preserve">Floyd on Fish </v>
      </c>
      <c r="E1122" t="str">
        <f ca="1">IFERROR(__xludf.DUMMYFUNCTION("""COMPUTED_VALUE"""),"TV Series 1985– )")</f>
        <v>TV Series 1985– )</v>
      </c>
    </row>
    <row r="1123" spans="1:6" ht="13" x14ac:dyDescent="0.15">
      <c r="A1123" s="5" t="s">
        <v>580</v>
      </c>
      <c r="D1123" t="str">
        <f ca="1">IFERROR(__xludf.DUMMYFUNCTION("split(A1123,""("")"),"Floyd on Food ")</f>
        <v xml:space="preserve">Floyd on Food </v>
      </c>
      <c r="E1123" t="str">
        <f ca="1">IFERROR(__xludf.DUMMYFUNCTION("""COMPUTED_VALUE"""),"TV Series 1986– )")</f>
        <v>TV Series 1986– )</v>
      </c>
    </row>
    <row r="1124" spans="1:6" ht="13" x14ac:dyDescent="0.15">
      <c r="A1124" s="5" t="s">
        <v>581</v>
      </c>
      <c r="D1124" t="str">
        <f ca="1">IFERROR(__xludf.DUMMYFUNCTION("split(A1124,""("")"),"Floyd on France ")</f>
        <v xml:space="preserve">Floyd on France </v>
      </c>
      <c r="E1124" t="str">
        <f ca="1">IFERROR(__xludf.DUMMYFUNCTION("""COMPUTED_VALUE"""),"TV Series 1987– )")</f>
        <v>TV Series 1987– )</v>
      </c>
    </row>
    <row r="1125" spans="1:6" ht="13" x14ac:dyDescent="0.15">
      <c r="A1125" s="5" t="s">
        <v>1584</v>
      </c>
      <c r="D1125" t="str">
        <f ca="1">IFERROR(__xludf.DUMMYFUNCTION("split(A1125,""("")"),"Follow the Money ")</f>
        <v xml:space="preserve">Follow the Money </v>
      </c>
      <c r="E1125" t="str">
        <f ca="1">IFERROR(__xludf.DUMMYFUNCTION("""COMPUTED_VALUE"""),"TV Series 2016– )")</f>
        <v>TV Series 2016– )</v>
      </c>
    </row>
    <row r="1126" spans="1:6" ht="13" x14ac:dyDescent="0.15">
      <c r="A1126" s="5" t="s">
        <v>1585</v>
      </c>
      <c r="D1126" t="str">
        <f ca="1">IFERROR(__xludf.DUMMYFUNCTION("split(A1126,""("")"),"Fonejacker ")</f>
        <v xml:space="preserve">Fonejacker </v>
      </c>
      <c r="E1126" t="str">
        <f ca="1">IFERROR(__xludf.DUMMYFUNCTION("""COMPUTED_VALUE"""),"TV Series 2007–2008)")</f>
        <v>TV Series 2007–2008)</v>
      </c>
    </row>
    <row r="1127" spans="1:6" ht="13" x14ac:dyDescent="0.15">
      <c r="A1127" s="5" t="s">
        <v>1586</v>
      </c>
      <c r="D1127" t="str">
        <f ca="1">IFERROR(__xludf.DUMMYFUNCTION("split(A1127,""("")"),"Food and Drink ")</f>
        <v xml:space="preserve">Food and Drink </v>
      </c>
      <c r="E1127" t="str">
        <f ca="1">IFERROR(__xludf.DUMMYFUNCTION("""COMPUTED_VALUE"""),"TV Series 1982–2015)")</f>
        <v>TV Series 1982–2015)</v>
      </c>
    </row>
    <row r="1128" spans="1:6" ht="13" x14ac:dyDescent="0.15">
      <c r="A1128" s="5" t="s">
        <v>1587</v>
      </c>
      <c r="D1128" t="str">
        <f ca="1">IFERROR(__xludf.DUMMYFUNCTION("split(A1128,""("")"),"Food Fighters ")</f>
        <v xml:space="preserve">Food Fighters </v>
      </c>
      <c r="E1128" t="str">
        <f ca="1">IFERROR(__xludf.DUMMYFUNCTION("""COMPUTED_VALUE"""),"TV Series 2013– )")</f>
        <v>TV Series 2013– )</v>
      </c>
    </row>
    <row r="1129" spans="1:6" ht="13" x14ac:dyDescent="0.15">
      <c r="A1129" s="5" t="s">
        <v>1588</v>
      </c>
      <c r="D1129" t="str">
        <f ca="1">IFERROR(__xludf.DUMMYFUNCTION("split(A1129,""("")"),"Food Unwrapped ")</f>
        <v xml:space="preserve">Food Unwrapped </v>
      </c>
      <c r="E1129" t="str">
        <f ca="1">IFERROR(__xludf.DUMMYFUNCTION("""COMPUTED_VALUE"""),"TV Series 2012– )")</f>
        <v>TV Series 2012– )</v>
      </c>
    </row>
    <row r="1130" spans="1:6" ht="13" x14ac:dyDescent="0.15">
      <c r="A1130" s="5" t="s">
        <v>1589</v>
      </c>
      <c r="D1130" t="str">
        <f ca="1">IFERROR(__xludf.DUMMYFUNCTION("split(A1130,""("")"),"Food: Fact or Fiction? ")</f>
        <v xml:space="preserve">Food: Fact or Fiction? </v>
      </c>
      <c r="E1130" t="str">
        <f ca="1">IFERROR(__xludf.DUMMYFUNCTION("""COMPUTED_VALUE"""),"TV Series 2015– )")</f>
        <v>TV Series 2015– )</v>
      </c>
    </row>
    <row r="1131" spans="1:6" ht="13" x14ac:dyDescent="0.15">
      <c r="A1131" s="5" t="s">
        <v>1590</v>
      </c>
      <c r="D1131" t="str">
        <f ca="1">IFERROR(__xludf.DUMMYFUNCTION("split(A1131,""("")"),"Food")</f>
        <v>Food</v>
      </c>
      <c r="E1131" t="str">
        <f ca="1">IFERROR(__xludf.DUMMYFUNCTION("""COMPUTED_VALUE"""),"ography) ")</f>
        <v xml:space="preserve">ography) </v>
      </c>
      <c r="F1131" t="str">
        <f ca="1">IFERROR(__xludf.DUMMYFUNCTION("""COMPUTED_VALUE"""),"TV Series 2010– )")</f>
        <v>TV Series 2010– )</v>
      </c>
    </row>
    <row r="1132" spans="1:6" ht="13" x14ac:dyDescent="0.15">
      <c r="A1132" s="5" t="s">
        <v>1591</v>
      </c>
      <c r="D1132" t="str">
        <f ca="1">IFERROR(__xludf.DUMMYFUNCTION("split(A1132,""("")"),"Fool Britannia ")</f>
        <v xml:space="preserve">Fool Britannia </v>
      </c>
      <c r="E1132" t="str">
        <f ca="1">IFERROR(__xludf.DUMMYFUNCTION("""COMPUTED_VALUE"""),"TV Series 2012– )")</f>
        <v>TV Series 2012– )</v>
      </c>
    </row>
    <row r="1133" spans="1:6" ht="13" x14ac:dyDescent="0.15">
      <c r="A1133" s="5" t="s">
        <v>1592</v>
      </c>
      <c r="D1133" t="str">
        <f ca="1">IFERROR(__xludf.DUMMYFUNCTION("split(A1133,""("")"),"Footballers' Wives ")</f>
        <v xml:space="preserve">Footballers' Wives </v>
      </c>
      <c r="E1133" t="str">
        <f ca="1">IFERROR(__xludf.DUMMYFUNCTION("""COMPUTED_VALUE"""),"TV Series 2002–2006)")</f>
        <v>TV Series 2002–2006)</v>
      </c>
    </row>
    <row r="1134" spans="1:6" ht="13" x14ac:dyDescent="0.15">
      <c r="A1134" s="5" t="s">
        <v>1593</v>
      </c>
      <c r="D1134" t="str">
        <f ca="1">IFERROR(__xludf.DUMMYFUNCTION("split(A1134,""("")"),"For You in Full BlossomIkemen Paradise")</f>
        <v>For You in Full BlossomIkemen Paradise</v>
      </c>
      <c r="E1134" t="str">
        <f ca="1">IFERROR(__xludf.DUMMYFUNCTION("""COMPUTED_VALUE"""),"TV Series 2007– )")</f>
        <v>TV Series 2007– )</v>
      </c>
    </row>
    <row r="1135" spans="1:6" ht="13" x14ac:dyDescent="0.15">
      <c r="A1135" s="5" t="s">
        <v>1594</v>
      </c>
      <c r="D1135" t="str">
        <f ca="1">IFERROR(__xludf.DUMMYFUNCTION("split(A1135,""("")"),"Forbidden Island ")</f>
        <v xml:space="preserve">Forbidden Island </v>
      </c>
      <c r="E1135" t="str">
        <f ca="1">IFERROR(__xludf.DUMMYFUNCTION("""COMPUTED_VALUE"""),"TV Series 1999– )")</f>
        <v>TV Series 1999– )</v>
      </c>
    </row>
    <row r="1136" spans="1:6" ht="13" x14ac:dyDescent="0.15">
      <c r="A1136" s="5" t="s">
        <v>1595</v>
      </c>
      <c r="D1136" t="str">
        <f ca="1">IFERROR(__xludf.DUMMYFUNCTION("split(A1136,""("")"),"Foreign Exchange ")</f>
        <v xml:space="preserve">Foreign Exchange </v>
      </c>
      <c r="E1136" t="str">
        <f ca="1">IFERROR(__xludf.DUMMYFUNCTION("""COMPUTED_VALUE"""),"TV Series 2004)")</f>
        <v>TV Series 2004)</v>
      </c>
    </row>
    <row r="1137" spans="1:5" ht="13" x14ac:dyDescent="0.15">
      <c r="A1137" s="5" t="s">
        <v>1596</v>
      </c>
      <c r="D1137" t="str">
        <f ca="1">IFERROR(__xludf.DUMMYFUNCTION("split(A1137,""("")"),"Forensic Files ")</f>
        <v xml:space="preserve">Forensic Files </v>
      </c>
      <c r="E1137" t="str">
        <f ca="1">IFERROR(__xludf.DUMMYFUNCTION("""COMPUTED_VALUE"""),"TV Series 1996–2011)")</f>
        <v>TV Series 1996–2011)</v>
      </c>
    </row>
    <row r="1138" spans="1:5" ht="13" x14ac:dyDescent="0.15">
      <c r="A1138" s="5" t="s">
        <v>1597</v>
      </c>
      <c r="D1138" t="str">
        <f ca="1">IFERROR(__xludf.DUMMYFUNCTION("split(A1138,""("")"),"Forensic Investigators ")</f>
        <v xml:space="preserve">Forensic Investigators </v>
      </c>
      <c r="E1138" t="str">
        <f ca="1">IFERROR(__xludf.DUMMYFUNCTION("""COMPUTED_VALUE"""),"TV Series 2004– )")</f>
        <v>TV Series 2004– )</v>
      </c>
    </row>
    <row r="1139" spans="1:5" ht="13" x14ac:dyDescent="0.15">
      <c r="A1139" s="5" t="s">
        <v>1598</v>
      </c>
      <c r="D1139" t="str">
        <f ca="1">IFERROR(__xludf.DUMMYFUNCTION("split(A1139,""("")"),"Forever ")</f>
        <v xml:space="preserve">Forever </v>
      </c>
      <c r="E1139" t="str">
        <f ca="1">IFERROR(__xludf.DUMMYFUNCTION("""COMPUTED_VALUE"""),"TV Series 2014–2015)")</f>
        <v>TV Series 2014–2015)</v>
      </c>
    </row>
    <row r="1140" spans="1:5" ht="13" x14ac:dyDescent="0.15">
      <c r="A1140" s="5" t="s">
        <v>1599</v>
      </c>
      <c r="D1140" t="str">
        <f ca="1">IFERROR(__xludf.DUMMYFUNCTION("split(A1140,""("")"),"Forever Knight ")</f>
        <v xml:space="preserve">Forever Knight </v>
      </c>
      <c r="E1140" t="str">
        <f ca="1">IFERROR(__xludf.DUMMYFUNCTION("""COMPUTED_VALUE"""),"TV Series 1992–1996)")</f>
        <v>TV Series 1992–1996)</v>
      </c>
    </row>
    <row r="1141" spans="1:5" ht="13" x14ac:dyDescent="0.15">
      <c r="A1141" s="5" t="s">
        <v>1600</v>
      </c>
      <c r="D1141" t="str">
        <f ca="1">IFERROR(__xludf.DUMMYFUNCTION("split(A1141,""("")"),"Forever Summer with Nigella ")</f>
        <v xml:space="preserve">Forever Summer with Nigella </v>
      </c>
      <c r="E1141" t="str">
        <f ca="1">IFERROR(__xludf.DUMMYFUNCTION("""COMPUTED_VALUE"""),"TV Series 2002– )")</f>
        <v>TV Series 2002– )</v>
      </c>
    </row>
    <row r="1142" spans="1:5" ht="13" x14ac:dyDescent="0.15">
      <c r="A1142" s="5" t="s">
        <v>1601</v>
      </c>
      <c r="D1142" t="str">
        <f ca="1">IFERROR(__xludf.DUMMYFUNCTION("split(A1142,""("")"),"Fornemmelse for snyd ")</f>
        <v xml:space="preserve">Fornemmelse for snyd </v>
      </c>
      <c r="E1142" t="str">
        <f ca="1">IFERROR(__xludf.DUMMYFUNCTION("""COMPUTED_VALUE"""),"TV Series 2003– )")</f>
        <v>TV Series 2003– )</v>
      </c>
    </row>
    <row r="1143" spans="1:5" ht="13" x14ac:dyDescent="0.15">
      <c r="A1143" s="5" t="s">
        <v>1602</v>
      </c>
      <c r="D1143" t="str">
        <f ca="1">IFERROR(__xludf.DUMMYFUNCTION("split(A1143,""("")"),"Forty Weight ")</f>
        <v xml:space="preserve">Forty Weight </v>
      </c>
      <c r="E1143" t="str">
        <f ca="1">IFERROR(__xludf.DUMMYFUNCTION("""COMPUTED_VALUE"""),"TV Series 2011– )")</f>
        <v>TV Series 2011– )</v>
      </c>
    </row>
    <row r="1144" spans="1:5" ht="13" x14ac:dyDescent="0.15">
      <c r="A1144" s="5" t="s">
        <v>1603</v>
      </c>
      <c r="D1144" t="str">
        <f ca="1">IFERROR(__xludf.DUMMYFUNCTION("split(A1144,""("")"),"Foster's Home for Imaginary Friends ")</f>
        <v xml:space="preserve">Foster's Home for Imaginary Friends </v>
      </c>
      <c r="E1144" t="str">
        <f ca="1">IFERROR(__xludf.DUMMYFUNCTION("""COMPUTED_VALUE"""),"TV Series 2004–2009)")</f>
        <v>TV Series 2004–2009)</v>
      </c>
    </row>
    <row r="1145" spans="1:5" ht="13" x14ac:dyDescent="0.15">
      <c r="A1145" s="5" t="s">
        <v>1604</v>
      </c>
      <c r="D1145" t="str">
        <f ca="1">IFERROR(__xludf.DUMMYFUNCTION("split(A1145,""("")"),"Four in a Bed ")</f>
        <v xml:space="preserve">Four in a Bed </v>
      </c>
      <c r="E1145" t="str">
        <f ca="1">IFERROR(__xludf.DUMMYFUNCTION("""COMPUTED_VALUE"""),"TV Series 2010– )")</f>
        <v>TV Series 2010– )</v>
      </c>
    </row>
    <row r="1146" spans="1:5" ht="13" x14ac:dyDescent="0.15">
      <c r="A1146" s="5" t="s">
        <v>1605</v>
      </c>
      <c r="D1146" t="str">
        <f ca="1">IFERROR(__xludf.DUMMYFUNCTION("split(A1146,""("")"),"Four on the Floor ")</f>
        <v xml:space="preserve">Four on the Floor </v>
      </c>
      <c r="E1146" t="str">
        <f ca="1">IFERROR(__xludf.DUMMYFUNCTION("""COMPUTED_VALUE"""),"TV Series 1985– )")</f>
        <v>TV Series 1985– )</v>
      </c>
    </row>
    <row r="1147" spans="1:5" ht="13" x14ac:dyDescent="0.15">
      <c r="A1147" s="5" t="s">
        <v>1606</v>
      </c>
      <c r="D1147" t="str">
        <f ca="1">IFERROR(__xludf.DUMMYFUNCTION("split(A1147,""("")"),"Four Weddings ")</f>
        <v xml:space="preserve">Four Weddings </v>
      </c>
      <c r="E1147" t="str">
        <f ca="1">IFERROR(__xludf.DUMMYFUNCTION("""COMPUTED_VALUE"""),"TV Series 2009– )")</f>
        <v>TV Series 2009– )</v>
      </c>
    </row>
    <row r="1148" spans="1:5" ht="13" x14ac:dyDescent="0.15">
      <c r="A1148" s="5" t="s">
        <v>434</v>
      </c>
      <c r="D1148" t="str">
        <f ca="1">IFERROR(__xludf.DUMMYFUNCTION("split(A1148,""("")"),"Four Weddings and a Funeral ")</f>
        <v xml:space="preserve">Four Weddings and a Funeral </v>
      </c>
      <c r="E1148" t="str">
        <f ca="1">IFERROR(__xludf.DUMMYFUNCTION("""COMPUTED_VALUE"""),"TV Series 2019)")</f>
        <v>TV Series 2019)</v>
      </c>
    </row>
    <row r="1149" spans="1:5" ht="13" x14ac:dyDescent="0.15">
      <c r="A1149" s="5" t="s">
        <v>1607</v>
      </c>
      <c r="D1149" t="str">
        <f ca="1">IFERROR(__xludf.DUMMYFUNCTION("split(A1149,""("")"),"Foursome ")</f>
        <v xml:space="preserve">Foursome </v>
      </c>
      <c r="E1149" t="str">
        <f ca="1">IFERROR(__xludf.DUMMYFUNCTION("""COMPUTED_VALUE"""),"TV Series 2016– )")</f>
        <v>TV Series 2016– )</v>
      </c>
    </row>
    <row r="1150" spans="1:5" ht="13" x14ac:dyDescent="0.15">
      <c r="A1150" s="5" t="s">
        <v>1608</v>
      </c>
      <c r="D1150" t="str">
        <f ca="1">IFERROR(__xludf.DUMMYFUNCTION("split(A1150,""("")"),"Foyle's War ")</f>
        <v xml:space="preserve">Foyle's War </v>
      </c>
      <c r="E1150" t="str">
        <f ca="1">IFERROR(__xludf.DUMMYFUNCTION("""COMPUTED_VALUE"""),"TV Series 2002–2015)")</f>
        <v>TV Series 2002–2015)</v>
      </c>
    </row>
    <row r="1151" spans="1:5" ht="13" x14ac:dyDescent="0.15">
      <c r="A1151" s="5" t="s">
        <v>1609</v>
      </c>
      <c r="D1151" t="str">
        <f ca="1">IFERROR(__xludf.DUMMYFUNCTION("split(A1151,""("")"),"Framed ")</f>
        <v xml:space="preserve">Framed </v>
      </c>
      <c r="E1151" t="str">
        <f ca="1">IFERROR(__xludf.DUMMYFUNCTION("""COMPUTED_VALUE"""),"TV Series 2007– )")</f>
        <v>TV Series 2007– )</v>
      </c>
    </row>
    <row r="1152" spans="1:5" ht="13" x14ac:dyDescent="0.15">
      <c r="A1152" s="5" t="s">
        <v>1610</v>
      </c>
      <c r="D1152" t="str">
        <f ca="1">IFERROR(__xludf.DUMMYFUNCTION("split(A1152,""("")"),"Francisco the Mathematician ")</f>
        <v xml:space="preserve">Francisco the Mathematician </v>
      </c>
      <c r="E1152" t="str">
        <f ca="1">IFERROR(__xludf.DUMMYFUNCTION("""COMPUTED_VALUE"""),"TV Series 1999–2017)")</f>
        <v>TV Series 1999–2017)</v>
      </c>
    </row>
    <row r="1153" spans="1:5" ht="13" x14ac:dyDescent="0.15">
      <c r="A1153" s="5" t="s">
        <v>1611</v>
      </c>
      <c r="D1153" t="str">
        <f ca="1">IFERROR(__xludf.DUMMYFUNCTION("split(A1153,""("")"),"Frankie Drake Mysteries ")</f>
        <v xml:space="preserve">Frankie Drake Mysteries </v>
      </c>
      <c r="E1153" t="str">
        <f ca="1">IFERROR(__xludf.DUMMYFUNCTION("""COMPUTED_VALUE"""),"TV Series 2017– )")</f>
        <v>TV Series 2017– )</v>
      </c>
    </row>
    <row r="1154" spans="1:5" ht="13" x14ac:dyDescent="0.15">
      <c r="A1154" s="5" t="s">
        <v>1612</v>
      </c>
      <c r="D1154" t="str">
        <f ca="1">IFERROR(__xludf.DUMMYFUNCTION("split(A1154,""("")"),"Franklin &amp; Bash ")</f>
        <v xml:space="preserve">Franklin &amp; Bash </v>
      </c>
      <c r="E1154" t="str">
        <f ca="1">IFERROR(__xludf.DUMMYFUNCTION("""COMPUTED_VALUE"""),"TV Series 2011–2014)")</f>
        <v>TV Series 2011–2014)</v>
      </c>
    </row>
    <row r="1155" spans="1:5" ht="13" x14ac:dyDescent="0.15">
      <c r="A1155" s="5" t="s">
        <v>1613</v>
      </c>
      <c r="D1155" t="str">
        <f ca="1">IFERROR(__xludf.DUMMYFUNCTION("split(A1155,""("")"),"Franny's Feet ")</f>
        <v xml:space="preserve">Franny's Feet </v>
      </c>
      <c r="E1155" t="str">
        <f ca="1">IFERROR(__xludf.DUMMYFUNCTION("""COMPUTED_VALUE"""),"TV Series 2003– )")</f>
        <v>TV Series 2003– )</v>
      </c>
    </row>
    <row r="1156" spans="1:5" ht="13" x14ac:dyDescent="0.15">
      <c r="A1156" s="5" t="s">
        <v>311</v>
      </c>
      <c r="D1156" t="str">
        <f ca="1">IFERROR(__xludf.DUMMYFUNCTION("split(A1156,""("")"),"Frasier ")</f>
        <v xml:space="preserve">Frasier </v>
      </c>
      <c r="E1156" t="str">
        <f ca="1">IFERROR(__xludf.DUMMYFUNCTION("""COMPUTED_VALUE"""),"TV Series 1993–2004)")</f>
        <v>TV Series 1993–2004)</v>
      </c>
    </row>
    <row r="1157" spans="1:5" ht="13" x14ac:dyDescent="0.15">
      <c r="A1157" s="5" t="s">
        <v>1614</v>
      </c>
      <c r="D1157" t="str">
        <f ca="1">IFERROR(__xludf.DUMMYFUNCTION("split(A1157,""("")"),"Freakish ")</f>
        <v xml:space="preserve">Freakish </v>
      </c>
      <c r="E1157" t="str">
        <f ca="1">IFERROR(__xludf.DUMMYFUNCTION("""COMPUTED_VALUE"""),"TV Series 2016–2018)")</f>
        <v>TV Series 2016–2018)</v>
      </c>
    </row>
    <row r="1158" spans="1:5" ht="13" x14ac:dyDescent="0.15">
      <c r="A1158" s="5" t="s">
        <v>1615</v>
      </c>
      <c r="D1158" t="str">
        <f ca="1">IFERROR(__xludf.DUMMYFUNCTION("split(A1158,""("")"),"Freaks and Geeks ")</f>
        <v xml:space="preserve">Freaks and Geeks </v>
      </c>
      <c r="E1158" t="str">
        <f ca="1">IFERROR(__xludf.DUMMYFUNCTION("""COMPUTED_VALUE"""),"TV Series 1999–2000)")</f>
        <v>TV Series 1999–2000)</v>
      </c>
    </row>
    <row r="1159" spans="1:5" ht="13" x14ac:dyDescent="0.15">
      <c r="A1159" s="5" t="s">
        <v>1616</v>
      </c>
      <c r="D1159" t="str">
        <f ca="1">IFERROR(__xludf.DUMMYFUNCTION("split(A1159,""("")"),"Fred ")</f>
        <v xml:space="preserve">Fred </v>
      </c>
      <c r="E1159" t="str">
        <f ca="1">IFERROR(__xludf.DUMMYFUNCTION("""COMPUTED_VALUE"""),"TV Series 2008–2010)")</f>
        <v>TV Series 2008–2010)</v>
      </c>
    </row>
    <row r="1160" spans="1:5" ht="13" x14ac:dyDescent="0.15">
      <c r="A1160" s="5" t="s">
        <v>582</v>
      </c>
      <c r="D1160" t="str">
        <f ca="1">IFERROR(__xludf.DUMMYFUNCTION("split(A1160,""("")"),"Fred: The Show ")</f>
        <v xml:space="preserve">Fred: The Show </v>
      </c>
      <c r="E1160" t="str">
        <f ca="1">IFERROR(__xludf.DUMMYFUNCTION("""COMPUTED_VALUE"""),"TV Series 2012–2018)")</f>
        <v>TV Series 2012–2018)</v>
      </c>
    </row>
    <row r="1161" spans="1:5" ht="13" x14ac:dyDescent="0.15">
      <c r="A1161" s="5" t="s">
        <v>1617</v>
      </c>
      <c r="D1161" t="str">
        <f ca="1">IFERROR(__xludf.DUMMYFUNCTION("split(A1161,""("")"),"Freddy's Nightmares ")</f>
        <v xml:space="preserve">Freddy's Nightmares </v>
      </c>
      <c r="E1161" t="str">
        <f ca="1">IFERROR(__xludf.DUMMYFUNCTION("""COMPUTED_VALUE"""),"TV Series 1988–1990)")</f>
        <v>TV Series 1988–1990)</v>
      </c>
    </row>
    <row r="1162" spans="1:5" ht="13" x14ac:dyDescent="0.15">
      <c r="A1162" s="5" t="s">
        <v>1618</v>
      </c>
      <c r="D1162" t="str">
        <f ca="1">IFERROR(__xludf.DUMMYFUNCTION("split(A1162,""("")"),"Fredrikssons fabrikk ")</f>
        <v xml:space="preserve">Fredrikssons fabrikk </v>
      </c>
      <c r="E1162" t="str">
        <f ca="1">IFERROR(__xludf.DUMMYFUNCTION("""COMPUTED_VALUE"""),"TV Series 1990–1993)")</f>
        <v>TV Series 1990–1993)</v>
      </c>
    </row>
    <row r="1163" spans="1:5" ht="13" x14ac:dyDescent="0.15">
      <c r="A1163" s="5" t="s">
        <v>1619</v>
      </c>
      <c r="D1163" t="str">
        <f ca="1">IFERROR(__xludf.DUMMYFUNCTION("split(A1163,""("")"),"Free Rein ")</f>
        <v xml:space="preserve">Free Rein </v>
      </c>
      <c r="E1163" t="str">
        <f ca="1">IFERROR(__xludf.DUMMYFUNCTION("""COMPUTED_VALUE"""),"TV Series 2017– )")</f>
        <v>TV Series 2017– )</v>
      </c>
    </row>
    <row r="1164" spans="1:5" ht="13" x14ac:dyDescent="0.15">
      <c r="A1164" s="5" t="s">
        <v>1620</v>
      </c>
      <c r="D1164" t="str">
        <f ca="1">IFERROR(__xludf.DUMMYFUNCTION("split(A1164,""("")"),"Freemove Honza ")</f>
        <v xml:space="preserve">Freemove Honza </v>
      </c>
      <c r="E1164" t="str">
        <f ca="1">IFERROR(__xludf.DUMMYFUNCTION("""COMPUTED_VALUE"""),"TV Series 2013– )")</f>
        <v>TV Series 2013– )</v>
      </c>
    </row>
    <row r="1165" spans="1:5" ht="13" x14ac:dyDescent="0.15">
      <c r="A1165" s="5" t="s">
        <v>1621</v>
      </c>
      <c r="D1165" t="str">
        <f ca="1">IFERROR(__xludf.DUMMYFUNCTION("split(A1165,""("")"),"Freemove Miky ")</f>
        <v xml:space="preserve">Freemove Miky </v>
      </c>
      <c r="E1165" t="str">
        <f ca="1">IFERROR(__xludf.DUMMYFUNCTION("""COMPUTED_VALUE"""),"TV Series 2014– )")</f>
        <v>TV Series 2014– )</v>
      </c>
    </row>
    <row r="1166" spans="1:5" ht="13" x14ac:dyDescent="0.15">
      <c r="A1166" s="5" t="s">
        <v>1622</v>
      </c>
      <c r="D1166" t="str">
        <f ca="1">IFERROR(__xludf.DUMMYFUNCTION("split(A1166,""("")"),"Freescoot Official ")</f>
        <v xml:space="preserve">Freescoot Official </v>
      </c>
      <c r="E1166" t="str">
        <f ca="1">IFERROR(__xludf.DUMMYFUNCTION("""COMPUTED_VALUE"""),"TV Series 2013– )")</f>
        <v>TV Series 2013– )</v>
      </c>
    </row>
    <row r="1167" spans="1:5" ht="13" x14ac:dyDescent="0.15">
      <c r="A1167" s="5" t="s">
        <v>1623</v>
      </c>
      <c r="D1167" t="str">
        <f ca="1">IFERROR(__xludf.DUMMYFUNCTION("split(A1167,""("")"),"French Fields ")</f>
        <v xml:space="preserve">French Fields </v>
      </c>
      <c r="E1167" t="str">
        <f ca="1">IFERROR(__xludf.DUMMYFUNCTION("""COMPUTED_VALUE"""),"TV Series 1989–1991)")</f>
        <v>TV Series 1989–1991)</v>
      </c>
    </row>
    <row r="1168" spans="1:5" ht="13" x14ac:dyDescent="0.15">
      <c r="A1168" s="5" t="s">
        <v>1624</v>
      </c>
      <c r="D1168" t="str">
        <f ca="1">IFERROR(__xludf.DUMMYFUNCTION("split(A1168,""("")"),"Fresh Fields ")</f>
        <v xml:space="preserve">Fresh Fields </v>
      </c>
      <c r="E1168" t="str">
        <f ca="1">IFERROR(__xludf.DUMMYFUNCTION("""COMPUTED_VALUE"""),"TV Series 1984–1986)")</f>
        <v>TV Series 1984–1986)</v>
      </c>
    </row>
    <row r="1169" spans="1:5" ht="13" x14ac:dyDescent="0.15">
      <c r="A1169" s="5" t="s">
        <v>1625</v>
      </c>
      <c r="D1169" t="str">
        <f ca="1">IFERROR(__xludf.DUMMYFUNCTION("split(A1169,""("")"),"Fresh Hell ")</f>
        <v xml:space="preserve">Fresh Hell </v>
      </c>
      <c r="E1169" t="str">
        <f ca="1">IFERROR(__xludf.DUMMYFUNCTION("""COMPUTED_VALUE"""),"TV Series 2011– )")</f>
        <v>TV Series 2011– )</v>
      </c>
    </row>
    <row r="1170" spans="1:5" ht="13" x14ac:dyDescent="0.15">
      <c r="A1170" s="5" t="s">
        <v>1626</v>
      </c>
      <c r="D1170" t="str">
        <f ca="1">IFERROR(__xludf.DUMMYFUNCTION("split(A1170,""("")"),"Fresh Meat ")</f>
        <v xml:space="preserve">Fresh Meat </v>
      </c>
      <c r="E1170" t="str">
        <f ca="1">IFERROR(__xludf.DUMMYFUNCTION("""COMPUTED_VALUE"""),"TV Series 2011–2016)")</f>
        <v>TV Series 2011–2016)</v>
      </c>
    </row>
    <row r="1171" spans="1:5" ht="13" x14ac:dyDescent="0.15">
      <c r="A1171" s="5" t="s">
        <v>6</v>
      </c>
      <c r="D1171" t="str">
        <f ca="1">IFERROR(__xludf.DUMMYFUNCTION("split(A1171,""("")"),"Fresh Off the Boat ")</f>
        <v xml:space="preserve">Fresh Off the Boat </v>
      </c>
      <c r="E1171" t="str">
        <f ca="1">IFERROR(__xludf.DUMMYFUNCTION("""COMPUTED_VALUE"""),"TV Series 2015– )")</f>
        <v>TV Series 2015– )</v>
      </c>
    </row>
    <row r="1172" spans="1:5" ht="13" x14ac:dyDescent="0.15">
      <c r="A1172" s="5" t="s">
        <v>1627</v>
      </c>
      <c r="D1172" t="str">
        <f ca="1">IFERROR(__xludf.DUMMYFUNCTION("split(A1172,""("")"),"Freshers ")</f>
        <v xml:space="preserve">Freshers </v>
      </c>
      <c r="E1172" t="str">
        <f ca="1">IFERROR(__xludf.DUMMYFUNCTION("""COMPUTED_VALUE"""),"TV Series 2010– )")</f>
        <v>TV Series 2010– )</v>
      </c>
    </row>
    <row r="1173" spans="1:5" ht="13" x14ac:dyDescent="0.15">
      <c r="A1173" s="5" t="s">
        <v>34</v>
      </c>
      <c r="D1173" t="str">
        <f ca="1">IFERROR(__xludf.DUMMYFUNCTION("split(A1173,""("")"),"Friday Night Lights ")</f>
        <v xml:space="preserve">Friday Night Lights </v>
      </c>
      <c r="E1173" t="str">
        <f ca="1">IFERROR(__xludf.DUMMYFUNCTION("""COMPUTED_VALUE"""),"TV Series 2006–2011)")</f>
        <v>TV Series 2006–2011)</v>
      </c>
    </row>
    <row r="1174" spans="1:5" ht="13" x14ac:dyDescent="0.15">
      <c r="A1174" s="5" t="s">
        <v>1628</v>
      </c>
      <c r="D1174" t="str">
        <f ca="1">IFERROR(__xludf.DUMMYFUNCTION("split(A1174,""("")"),"Friends ")</f>
        <v xml:space="preserve">Friends </v>
      </c>
      <c r="E1174" t="str">
        <f ca="1">IFERROR(__xludf.DUMMYFUNCTION("""COMPUTED_VALUE"""),"TV Series 1994–2004)")</f>
        <v>TV Series 1994–2004)</v>
      </c>
    </row>
    <row r="1175" spans="1:5" ht="13" x14ac:dyDescent="0.15">
      <c r="A1175" s="5" t="s">
        <v>1629</v>
      </c>
      <c r="D1175" t="str">
        <f ca="1">IFERROR(__xludf.DUMMYFUNCTION("split(A1175,""("")"),"Friends from College ")</f>
        <v xml:space="preserve">Friends from College </v>
      </c>
      <c r="E1175" t="str">
        <f ca="1">IFERROR(__xludf.DUMMYFUNCTION("""COMPUTED_VALUE"""),"TV Series 2017– )")</f>
        <v>TV Series 2017– )</v>
      </c>
    </row>
    <row r="1176" spans="1:5" ht="13" x14ac:dyDescent="0.15">
      <c r="A1176" s="5" t="s">
        <v>346</v>
      </c>
      <c r="D1176" t="str">
        <f ca="1">IFERROR(__xludf.DUMMYFUNCTION("split(A1176,""("")"),"Fringe ")</f>
        <v xml:space="preserve">Fringe </v>
      </c>
      <c r="E1176" t="str">
        <f ca="1">IFERROR(__xludf.DUMMYFUNCTION("""COMPUTED_VALUE"""),"TV Series 2008–2013)")</f>
        <v>TV Series 2008–2013)</v>
      </c>
    </row>
    <row r="1177" spans="1:5" ht="13" x14ac:dyDescent="0.15">
      <c r="A1177" s="5" t="s">
        <v>1630</v>
      </c>
      <c r="D1177" t="str">
        <f ca="1">IFERROR(__xludf.DUMMYFUNCTION("split(A1177,""("")"),"FrivolousFox ASMR ")</f>
        <v xml:space="preserve">FrivolousFox ASMR </v>
      </c>
      <c r="E1177" t="str">
        <f ca="1">IFERROR(__xludf.DUMMYFUNCTION("""COMPUTED_VALUE"""),"TV Series 2016– )")</f>
        <v>TV Series 2016– )</v>
      </c>
    </row>
    <row r="1178" spans="1:5" ht="13" x14ac:dyDescent="0.15">
      <c r="A1178" s="5" t="s">
        <v>435</v>
      </c>
      <c r="D1178" t="str">
        <f ca="1">IFERROR(__xludf.DUMMYFUNCTION("split(A1178,""("")"),"From Dusk Till Dawn: The Series ")</f>
        <v xml:space="preserve">From Dusk Till Dawn: The Series </v>
      </c>
      <c r="E1178" t="str">
        <f ca="1">IFERROR(__xludf.DUMMYFUNCTION("""COMPUTED_VALUE"""),"TV Series 2014–2016)")</f>
        <v>TV Series 2014–2016)</v>
      </c>
    </row>
    <row r="1179" spans="1:5" ht="13" x14ac:dyDescent="0.15">
      <c r="A1179" s="5" t="s">
        <v>1631</v>
      </c>
      <c r="D1179" t="str">
        <f ca="1">IFERROR(__xludf.DUMMYFUNCTION("split(A1179,""("")"),"Frontier ")</f>
        <v xml:space="preserve">Frontier </v>
      </c>
      <c r="E1179" t="str">
        <f ca="1">IFERROR(__xludf.DUMMYFUNCTION("""COMPUTED_VALUE"""),"TV Series 2016– )")</f>
        <v>TV Series 2016– )</v>
      </c>
    </row>
    <row r="1180" spans="1:5" ht="13" x14ac:dyDescent="0.15">
      <c r="A1180" s="5" t="s">
        <v>1632</v>
      </c>
      <c r="D1180" t="str">
        <f ca="1">IFERROR(__xludf.DUMMYFUNCTION("split(A1180,""("")"),"Frozen Heart ")</f>
        <v xml:space="preserve">Frozen Heart </v>
      </c>
      <c r="E1180" t="str">
        <f ca="1">IFERROR(__xludf.DUMMYFUNCTION("""COMPUTED_VALUE"""),"TV Series 2012– )")</f>
        <v>TV Series 2012– )</v>
      </c>
    </row>
    <row r="1181" spans="1:5" ht="13" x14ac:dyDescent="0.15">
      <c r="A1181" s="5" t="s">
        <v>1633</v>
      </c>
      <c r="D1181" t="str">
        <f ca="1">IFERROR(__xludf.DUMMYFUNCTION("split(A1181,""("")"),"Full House ")</f>
        <v xml:space="preserve">Full House </v>
      </c>
      <c r="E1181" t="str">
        <f ca="1">IFERROR(__xludf.DUMMYFUNCTION("""COMPUTED_VALUE"""),"TV Series 1987–1995)")</f>
        <v>TV Series 1987–1995)</v>
      </c>
    </row>
    <row r="1182" spans="1:5" ht="13" x14ac:dyDescent="0.15">
      <c r="A1182" s="5" t="s">
        <v>583</v>
      </c>
      <c r="D1182" t="str">
        <f ca="1">IFERROR(__xludf.DUMMYFUNCTION("split(A1182,""("")"),"Fuller House ")</f>
        <v xml:space="preserve">Fuller House </v>
      </c>
      <c r="E1182" t="str">
        <f ca="1">IFERROR(__xludf.DUMMYFUNCTION("""COMPUTED_VALUE"""),"TV Series 2016– )")</f>
        <v>TV Series 2016– )</v>
      </c>
    </row>
    <row r="1183" spans="1:5" ht="13" x14ac:dyDescent="0.15">
      <c r="A1183" s="5" t="s">
        <v>1634</v>
      </c>
      <c r="D1183" t="str">
        <f ca="1">IFERROR(__xludf.DUMMYFUNCTION("split(A1183,""("")"),"Fullmetal Alchemist ")</f>
        <v xml:space="preserve">Fullmetal Alchemist </v>
      </c>
      <c r="E1183" t="str">
        <f ca="1">IFERROR(__xludf.DUMMYFUNCTION("""COMPUTED_VALUE"""),"TV Series 2003–2004)")</f>
        <v>TV Series 2003–2004)</v>
      </c>
    </row>
    <row r="1184" spans="1:5" ht="13" x14ac:dyDescent="0.15">
      <c r="A1184" s="5" t="s">
        <v>1635</v>
      </c>
      <c r="D1184" t="str">
        <f ca="1">IFERROR(__xludf.DUMMYFUNCTION("split(A1184,""("")"),"Fullmetal Alchemist: Brotherhood ")</f>
        <v xml:space="preserve">Fullmetal Alchemist: Brotherhood </v>
      </c>
      <c r="E1184" t="str">
        <f ca="1">IFERROR(__xludf.DUMMYFUNCTION("""COMPUTED_VALUE"""),"TV Series 2009–2012)")</f>
        <v>TV Series 2009–2012)</v>
      </c>
    </row>
    <row r="1185" spans="1:5" ht="13" x14ac:dyDescent="0.15">
      <c r="A1185" s="5" t="s">
        <v>123</v>
      </c>
      <c r="D1185" t="str">
        <f ca="1">IFERROR(__xludf.DUMMYFUNCTION("split(A1185,""("")"),"Fungus the Bogeyman ")</f>
        <v xml:space="preserve">Fungus the Bogeyman </v>
      </c>
      <c r="E1185" t="str">
        <f ca="1">IFERROR(__xludf.DUMMYFUNCTION("""COMPUTED_VALUE"""),"TV Series 2004– )")</f>
        <v>TV Series 2004– )</v>
      </c>
    </row>
    <row r="1186" spans="1:5" ht="13" x14ac:dyDescent="0.15">
      <c r="A1186" s="5" t="s">
        <v>1636</v>
      </c>
      <c r="D1186" t="str">
        <f ca="1">IFERROR(__xludf.DUMMYFUNCTION("split(A1186,""("")"),"Funny or Die Presents... ")</f>
        <v xml:space="preserve">Funny or Die Presents... </v>
      </c>
      <c r="E1186" t="str">
        <f ca="1">IFERROR(__xludf.DUMMYFUNCTION("""COMPUTED_VALUE"""),"TV Series 2010– )")</f>
        <v>TV Series 2010– )</v>
      </c>
    </row>
    <row r="1187" spans="1:5" ht="13" x14ac:dyDescent="0.15">
      <c r="A1187" s="5" t="s">
        <v>1637</v>
      </c>
      <c r="D1187" t="str">
        <f ca="1">IFERROR(__xludf.DUMMYFUNCTION("split(A1187,""("")"),"Further Back in Time for Dinner ")</f>
        <v xml:space="preserve">Further Back in Time for Dinner </v>
      </c>
      <c r="E1187" t="str">
        <f ca="1">IFERROR(__xludf.DUMMYFUNCTION("""COMPUTED_VALUE"""),"TV Series 2017– )")</f>
        <v>TV Series 2017– )</v>
      </c>
    </row>
    <row r="1188" spans="1:5" ht="13" x14ac:dyDescent="0.15">
      <c r="A1188" s="5" t="s">
        <v>1638</v>
      </c>
      <c r="D1188" t="str">
        <f ca="1">IFERROR(__xludf.DUMMYFUNCTION("split(A1188,""("")"),"Fushigi YûgiThe Mysterious Play ")</f>
        <v xml:space="preserve">Fushigi YûgiThe Mysterious Play </v>
      </c>
      <c r="E1188" t="str">
        <f ca="1">IFERROR(__xludf.DUMMYFUNCTION("""COMPUTED_VALUE"""),"TV Series 1995–2002)")</f>
        <v>TV Series 1995–2002)</v>
      </c>
    </row>
    <row r="1189" spans="1:5" ht="13" x14ac:dyDescent="0.15">
      <c r="A1189" s="5" t="s">
        <v>1639</v>
      </c>
      <c r="D1189" t="str">
        <f ca="1">IFERROR(__xludf.DUMMYFUNCTION("split(A1189,""("")"),"Futurama ")</f>
        <v xml:space="preserve">Futurama </v>
      </c>
      <c r="E1189" t="str">
        <f ca="1">IFERROR(__xludf.DUMMYFUNCTION("""COMPUTED_VALUE"""),"TV Series 1999–2013)")</f>
        <v>TV Series 1999–2013)</v>
      </c>
    </row>
    <row r="1190" spans="1:5" ht="13" x14ac:dyDescent="0.15">
      <c r="A1190" s="5" t="s">
        <v>347</v>
      </c>
      <c r="D1190" t="str">
        <f ca="1">IFERROR(__xludf.DUMMYFUNCTION("split(A1190,""("")"),"Future Man ")</f>
        <v xml:space="preserve">Future Man </v>
      </c>
      <c r="E1190" t="str">
        <f ca="1">IFERROR(__xludf.DUMMYFUNCTION("""COMPUTED_VALUE"""),"TV Series 2017–2020)")</f>
        <v>TV Series 2017–2020)</v>
      </c>
    </row>
    <row r="1191" spans="1:5" ht="13" x14ac:dyDescent="0.15">
      <c r="A1191" s="5" t="s">
        <v>1640</v>
      </c>
      <c r="D1191" t="str">
        <f ca="1">IFERROR(__xludf.DUMMYFUNCTION("split(A1191,""("")"),"Future-Worm! ")</f>
        <v xml:space="preserve">Future-Worm! </v>
      </c>
      <c r="E1191" t="str">
        <f ca="1">IFERROR(__xludf.DUMMYFUNCTION("""COMPUTED_VALUE"""),"TV Series 2015– )")</f>
        <v>TV Series 2015– )</v>
      </c>
    </row>
    <row r="1192" spans="1:5" ht="13" x14ac:dyDescent="0.15">
      <c r="A1192" s="5" t="s">
        <v>1641</v>
      </c>
      <c r="D1192" t="str">
        <f ca="1">IFERROR(__xludf.DUMMYFUNCTION("split(A1192,""("")"),"FutureWeapons ")</f>
        <v xml:space="preserve">FutureWeapons </v>
      </c>
      <c r="E1192" t="str">
        <f ca="1">IFERROR(__xludf.DUMMYFUNCTION("""COMPUTED_VALUE"""),"TV Series 2006– )")</f>
        <v>TV Series 2006– )</v>
      </c>
    </row>
    <row r="1193" spans="1:5" ht="13" x14ac:dyDescent="0.15">
      <c r="A1193" s="5" t="s">
        <v>1642</v>
      </c>
      <c r="D1193" t="str">
        <f ca="1">IFERROR(__xludf.DUMMYFUNCTION("split(A1193,""("")"),"G String Divas ")</f>
        <v xml:space="preserve">G String Divas </v>
      </c>
      <c r="E1193" t="str">
        <f ca="1">IFERROR(__xludf.DUMMYFUNCTION("""COMPUTED_VALUE"""),"TV Series 2000– )")</f>
        <v>TV Series 2000– )</v>
      </c>
    </row>
    <row r="1194" spans="1:5" ht="13" x14ac:dyDescent="0.15">
      <c r="A1194" s="5" t="s">
        <v>66</v>
      </c>
      <c r="D1194" t="str">
        <f ca="1">IFERROR(__xludf.DUMMYFUNCTION("split(A1194,""("")"),"G.I. Joe ")</f>
        <v xml:space="preserve">G.I. Joe </v>
      </c>
      <c r="E1194" t="str">
        <f ca="1">IFERROR(__xludf.DUMMYFUNCTION("""COMPUTED_VALUE"""),"TV Series 1985–1986)")</f>
        <v>TV Series 1985–1986)</v>
      </c>
    </row>
    <row r="1195" spans="1:5" ht="13" x14ac:dyDescent="0.15">
      <c r="A1195" s="5" t="s">
        <v>1643</v>
      </c>
      <c r="D1195" t="str">
        <f ca="1">IFERROR(__xludf.DUMMYFUNCTION("split(A1195,""("")"),"Ga-rei: Zero ")</f>
        <v xml:space="preserve">Ga-rei: Zero </v>
      </c>
      <c r="E1195" t="str">
        <f ca="1">IFERROR(__xludf.DUMMYFUNCTION("""COMPUTED_VALUE"""),"TV Series 2008– )")</f>
        <v>TV Series 2008– )</v>
      </c>
    </row>
    <row r="1196" spans="1:5" ht="13" x14ac:dyDescent="0.15">
      <c r="A1196" s="5" t="s">
        <v>1644</v>
      </c>
      <c r="D1196" t="str">
        <f ca="1">IFERROR(__xludf.DUMMYFUNCTION("split(A1196,""("")"),"Gabrielle Clement ")</f>
        <v xml:space="preserve">Gabrielle Clement </v>
      </c>
      <c r="E1196" t="str">
        <f ca="1">IFERROR(__xludf.DUMMYFUNCTION("""COMPUTED_VALUE"""),"TV Series 2013– )")</f>
        <v>TV Series 2013– )</v>
      </c>
    </row>
    <row r="1197" spans="1:5" ht="13" x14ac:dyDescent="0.15">
      <c r="A1197" s="5" t="s">
        <v>1645</v>
      </c>
      <c r="D1197" t="str">
        <f ca="1">IFERROR(__xludf.DUMMYFUNCTION("split(A1197,""("")"),"Gabrielle Hecl ")</f>
        <v xml:space="preserve">Gabrielle Hecl </v>
      </c>
      <c r="E1197" t="str">
        <f ca="1">IFERROR(__xludf.DUMMYFUNCTION("""COMPUTED_VALUE"""),"TV Series 2014– )")</f>
        <v>TV Series 2014– )</v>
      </c>
    </row>
    <row r="1198" spans="1:5" ht="13" x14ac:dyDescent="0.15">
      <c r="A1198" s="5" t="s">
        <v>1646</v>
      </c>
      <c r="D1198" t="str">
        <f ca="1">IFERROR(__xludf.DUMMYFUNCTION("split(A1198,""("")"),"Gakuen Alice ")</f>
        <v xml:space="preserve">Gakuen Alice </v>
      </c>
      <c r="E1198" t="str">
        <f ca="1">IFERROR(__xludf.DUMMYFUNCTION("""COMPUTED_VALUE"""),"TV Series 2004– )")</f>
        <v>TV Series 2004– )</v>
      </c>
    </row>
    <row r="1199" spans="1:5" ht="13" x14ac:dyDescent="0.15">
      <c r="A1199" s="5" t="s">
        <v>1647</v>
      </c>
      <c r="D1199" t="str">
        <f ca="1">IFERROR(__xludf.DUMMYFUNCTION("split(A1199,""("")"),"Galtar and the Golden Lance ")</f>
        <v xml:space="preserve">Galtar and the Golden Lance </v>
      </c>
      <c r="E1199" t="str">
        <f ca="1">IFERROR(__xludf.DUMMYFUNCTION("""COMPUTED_VALUE"""),"TV Series 1985–1986)")</f>
        <v>TV Series 1985–1986)</v>
      </c>
    </row>
    <row r="1200" spans="1:5" ht="13" x14ac:dyDescent="0.15">
      <c r="A1200" s="5" t="s">
        <v>1648</v>
      </c>
      <c r="D1200" t="str">
        <f ca="1">IFERROR(__xludf.DUMMYFUNCTION("split(A1200,""("")"),"Game Knights ")</f>
        <v xml:space="preserve">Game Knights </v>
      </c>
      <c r="E1200" t="str">
        <f ca="1">IFERROR(__xludf.DUMMYFUNCTION("""COMPUTED_VALUE"""),"TV Series 2012– )")</f>
        <v>TV Series 2012– )</v>
      </c>
    </row>
    <row r="1201" spans="1:5" ht="13" x14ac:dyDescent="0.15">
      <c r="A1201" s="5" t="s">
        <v>1649</v>
      </c>
      <c r="D1201" t="str">
        <f ca="1">IFERROR(__xludf.DUMMYFUNCTION("split(A1201,""("")"),"Game of Silence ")</f>
        <v xml:space="preserve">Game of Silence </v>
      </c>
      <c r="E1201" t="str">
        <f ca="1">IFERROR(__xludf.DUMMYFUNCTION("""COMPUTED_VALUE"""),"TV Series 2016)")</f>
        <v>TV Series 2016)</v>
      </c>
    </row>
    <row r="1202" spans="1:5" ht="13" x14ac:dyDescent="0.15">
      <c r="A1202" s="5" t="s">
        <v>106</v>
      </c>
      <c r="D1202" t="str">
        <f ca="1">IFERROR(__xludf.DUMMYFUNCTION("split(A1202,""("")"),"Game of Thrones ")</f>
        <v xml:space="preserve">Game of Thrones </v>
      </c>
      <c r="E1202" t="str">
        <f ca="1">IFERROR(__xludf.DUMMYFUNCTION("""COMPUTED_VALUE"""),"TV Series 2011–2019)")</f>
        <v>TV Series 2011–2019)</v>
      </c>
    </row>
    <row r="1203" spans="1:5" ht="13" x14ac:dyDescent="0.15">
      <c r="A1203" s="5" t="s">
        <v>1650</v>
      </c>
      <c r="D1203" t="str">
        <f ca="1">IFERROR(__xludf.DUMMYFUNCTION("split(A1203,""("")"),"Game Shakers ")</f>
        <v xml:space="preserve">Game Shakers </v>
      </c>
      <c r="E1203" t="str">
        <f ca="1">IFERROR(__xludf.DUMMYFUNCTION("""COMPUTED_VALUE"""),"TV Series 2015–2019)")</f>
        <v>TV Series 2015–2019)</v>
      </c>
    </row>
    <row r="1204" spans="1:5" ht="13" x14ac:dyDescent="0.15">
      <c r="A1204" s="5" t="s">
        <v>211</v>
      </c>
      <c r="D1204" t="str">
        <f ca="1">IFERROR(__xludf.DUMMYFUNCTION("split(A1204,""("")"),"Gang Related ")</f>
        <v xml:space="preserve">Gang Related </v>
      </c>
      <c r="E1204" t="str">
        <f ca="1">IFERROR(__xludf.DUMMYFUNCTION("""COMPUTED_VALUE"""),"TV Series 2014)")</f>
        <v>TV Series 2014)</v>
      </c>
    </row>
    <row r="1205" spans="1:5" ht="13" x14ac:dyDescent="0.15">
      <c r="A1205" s="5" t="s">
        <v>212</v>
      </c>
      <c r="D1205" t="str">
        <f ca="1">IFERROR(__xludf.DUMMYFUNCTION("split(A1205,""("")"),"Gangland ")</f>
        <v xml:space="preserve">Gangland </v>
      </c>
      <c r="E1205" t="str">
        <f ca="1">IFERROR(__xludf.DUMMYFUNCTION("""COMPUTED_VALUE"""),"TV Series 2007–2010)")</f>
        <v>TV Series 2007–2010)</v>
      </c>
    </row>
    <row r="1206" spans="1:5" ht="13" x14ac:dyDescent="0.15">
      <c r="A1206" s="5" t="s">
        <v>1651</v>
      </c>
      <c r="D1206" t="str">
        <f ca="1">IFERROR(__xludf.DUMMYFUNCTION("split(A1206,""("")"),"Gantz ")</f>
        <v xml:space="preserve">Gantz </v>
      </c>
      <c r="E1206" t="str">
        <f ca="1">IFERROR(__xludf.DUMMYFUNCTION("""COMPUTED_VALUE"""),"TV Series 2004)")</f>
        <v>TV Series 2004)</v>
      </c>
    </row>
    <row r="1207" spans="1:5" ht="13" x14ac:dyDescent="0.15">
      <c r="A1207" s="5" t="s">
        <v>67</v>
      </c>
      <c r="D1207" t="str">
        <f ca="1">IFERROR(__xludf.DUMMYFUNCTION("split(A1207,""("")"),"Garfield and Friends ")</f>
        <v xml:space="preserve">Garfield and Friends </v>
      </c>
      <c r="E1207" t="str">
        <f ca="1">IFERROR(__xludf.DUMMYFUNCTION("""COMPUTED_VALUE"""),"TV Series 1988–1995)")</f>
        <v>TV Series 1988–1995)</v>
      </c>
    </row>
    <row r="1208" spans="1:5" ht="13" x14ac:dyDescent="0.15">
      <c r="A1208" s="5" t="s">
        <v>1652</v>
      </c>
      <c r="D1208" t="str">
        <f ca="1">IFERROR(__xludf.DUMMYFUNCTION("split(A1208,""("")"),"Gargoyles ")</f>
        <v xml:space="preserve">Gargoyles </v>
      </c>
      <c r="E1208" t="str">
        <f ca="1">IFERROR(__xludf.DUMMYFUNCTION("""COMPUTED_VALUE"""),"TV Series 1994–1996)")</f>
        <v>TV Series 1994–1996)</v>
      </c>
    </row>
    <row r="1209" spans="1:5" ht="13" x14ac:dyDescent="0.15">
      <c r="A1209" s="5" t="s">
        <v>1653</v>
      </c>
      <c r="D1209" t="str">
        <f ca="1">IFERROR(__xludf.DUMMYFUNCTION("split(A1209,""("")"),"Gary the Rat ")</f>
        <v xml:space="preserve">Gary the Rat </v>
      </c>
      <c r="E1209" t="str">
        <f ca="1">IFERROR(__xludf.DUMMYFUNCTION("""COMPUTED_VALUE"""),"TV Series 2003)")</f>
        <v>TV Series 2003)</v>
      </c>
    </row>
    <row r="1210" spans="1:5" ht="13" x14ac:dyDescent="0.15">
      <c r="A1210" s="5" t="s">
        <v>1654</v>
      </c>
      <c r="D1210" t="str">
        <f ca="1">IFERROR(__xludf.DUMMYFUNCTION("split(A1210,""("")"),"Gaycation ")</f>
        <v xml:space="preserve">Gaycation </v>
      </c>
      <c r="E1210" t="str">
        <f ca="1">IFERROR(__xludf.DUMMYFUNCTION("""COMPUTED_VALUE"""),"TV Series 2016– )")</f>
        <v>TV Series 2016– )</v>
      </c>
    </row>
    <row r="1211" spans="1:5" ht="13" x14ac:dyDescent="0.15">
      <c r="A1211" s="5" t="s">
        <v>1655</v>
      </c>
      <c r="D1211" t="str">
        <f ca="1">IFERROR(__xludf.DUMMYFUNCTION("split(A1211,""("")"),"Gear Heads ")</f>
        <v xml:space="preserve">Gear Heads </v>
      </c>
      <c r="E1211" t="str">
        <f ca="1">IFERROR(__xludf.DUMMYFUNCTION("""COMPUTED_VALUE"""),"TV Series 2014– )")</f>
        <v>TV Series 2014– )</v>
      </c>
    </row>
    <row r="1212" spans="1:5" ht="13" x14ac:dyDescent="0.15">
      <c r="A1212" s="5" t="s">
        <v>1656</v>
      </c>
      <c r="D1212" t="str">
        <f ca="1">IFERROR(__xludf.DUMMYFUNCTION("split(A1212,""("")"),"Genesis Week ")</f>
        <v xml:space="preserve">Genesis Week </v>
      </c>
      <c r="E1212" t="str">
        <f ca="1">IFERROR(__xludf.DUMMYFUNCTION("""COMPUTED_VALUE"""),"TV Series 2011– )")</f>
        <v>TV Series 2011– )</v>
      </c>
    </row>
    <row r="1213" spans="1:5" ht="13" x14ac:dyDescent="0.15">
      <c r="A1213" s="5" t="s">
        <v>124</v>
      </c>
      <c r="D1213" t="str">
        <f ca="1">IFERROR(__xludf.DUMMYFUNCTION("split(A1213,""("")"),"Gentleman Jack ")</f>
        <v xml:space="preserve">Gentleman Jack </v>
      </c>
      <c r="E1213" t="str">
        <f ca="1">IFERROR(__xludf.DUMMYFUNCTION("""COMPUTED_VALUE"""),"TV Series 2019– )")</f>
        <v>TV Series 2019– )</v>
      </c>
    </row>
    <row r="1214" spans="1:5" ht="13" x14ac:dyDescent="0.15">
      <c r="A1214" s="5" t="s">
        <v>213</v>
      </c>
      <c r="D1214" t="str">
        <f ca="1">IFERROR(__xludf.DUMMYFUNCTION("split(A1214,""("")"),"George Lopez ")</f>
        <v xml:space="preserve">George Lopez </v>
      </c>
      <c r="E1214" t="str">
        <f ca="1">IFERROR(__xludf.DUMMYFUNCTION("""COMPUTED_VALUE"""),"TV Series 2002–2007)")</f>
        <v>TV Series 2002–2007)</v>
      </c>
    </row>
    <row r="1215" spans="1:5" ht="13" x14ac:dyDescent="0.15">
      <c r="A1215" s="5" t="s">
        <v>584</v>
      </c>
      <c r="D1215" t="str">
        <f ca="1">IFERROR(__xludf.DUMMYFUNCTION("split(A1215,""("")"),"Get Out Alive with Bear Grylls ")</f>
        <v xml:space="preserve">Get Out Alive with Bear Grylls </v>
      </c>
      <c r="E1215" t="str">
        <f ca="1">IFERROR(__xludf.DUMMYFUNCTION("""COMPUTED_VALUE"""),"TV Series 2013– )")</f>
        <v>TV Series 2013– )</v>
      </c>
    </row>
    <row r="1216" spans="1:5" ht="13" x14ac:dyDescent="0.15">
      <c r="A1216" s="5" t="s">
        <v>35</v>
      </c>
      <c r="D1216" t="str">
        <f ca="1">IFERROR(__xludf.DUMMYFUNCTION("split(A1216,""("")"),"Get Shorty ")</f>
        <v xml:space="preserve">Get Shorty </v>
      </c>
      <c r="E1216" t="str">
        <f ca="1">IFERROR(__xludf.DUMMYFUNCTION("""COMPUTED_VALUE"""),"TV Series 2017– )")</f>
        <v>TV Series 2017– )</v>
      </c>
    </row>
    <row r="1217" spans="1:5" ht="13" x14ac:dyDescent="0.15">
      <c r="A1217" s="5" t="s">
        <v>1657</v>
      </c>
      <c r="D1217" t="str">
        <f ca="1">IFERROR(__xludf.DUMMYFUNCTION("split(A1217,""("")"),"Get Up, Stand Up ")</f>
        <v xml:space="preserve">Get Up, Stand Up </v>
      </c>
      <c r="E1217" t="str">
        <f ca="1">IFERROR(__xludf.DUMMYFUNCTION("""COMPUTED_VALUE"""),"TV Series 2003– )")</f>
        <v>TV Series 2003– )</v>
      </c>
    </row>
    <row r="1218" spans="1:5" ht="13" x14ac:dyDescent="0.15">
      <c r="A1218" s="5" t="s">
        <v>1658</v>
      </c>
      <c r="D1218" t="str">
        <f ca="1">IFERROR(__xludf.DUMMYFUNCTION("split(A1218,""("")"),"GetTheLouk ")</f>
        <v xml:space="preserve">GetTheLouk </v>
      </c>
      <c r="E1218" t="str">
        <f ca="1">IFERROR(__xludf.DUMMYFUNCTION("""COMPUTED_VALUE"""),"TV Series 2011– )")</f>
        <v>TV Series 2011– )</v>
      </c>
    </row>
    <row r="1219" spans="1:5" ht="13" x14ac:dyDescent="0.15">
      <c r="A1219" s="5" t="s">
        <v>1659</v>
      </c>
      <c r="D1219" t="str">
        <f ca="1">IFERROR(__xludf.DUMMYFUNCTION("split(A1219,""("")"),"Getting Doug with High ")</f>
        <v xml:space="preserve">Getting Doug with High </v>
      </c>
      <c r="E1219" t="str">
        <f ca="1">IFERROR(__xludf.DUMMYFUNCTION("""COMPUTED_VALUE"""),"TV Series 2013– )")</f>
        <v>TV Series 2013– )</v>
      </c>
    </row>
    <row r="1220" spans="1:5" ht="13" x14ac:dyDescent="0.15">
      <c r="A1220" s="5" t="s">
        <v>1660</v>
      </c>
      <c r="D1220" t="str">
        <f ca="1">IFERROR(__xludf.DUMMYFUNCTION("split(A1220,""("")"),"Getting On ")</f>
        <v xml:space="preserve">Getting On </v>
      </c>
      <c r="E1220" t="str">
        <f ca="1">IFERROR(__xludf.DUMMYFUNCTION("""COMPUTED_VALUE"""),"TV Series 2013–2015)")</f>
        <v>TV Series 2013–2015)</v>
      </c>
    </row>
    <row r="1221" spans="1:5" ht="13" x14ac:dyDescent="0.15">
      <c r="A1221" s="5" t="s">
        <v>1661</v>
      </c>
      <c r="D1221" t="str">
        <f ca="1">IFERROR(__xludf.DUMMYFUNCTION("split(A1221,""("")"),"Ghost Adventures ")</f>
        <v xml:space="preserve">Ghost Adventures </v>
      </c>
      <c r="E1221" t="str">
        <f ca="1">IFERROR(__xludf.DUMMYFUNCTION("""COMPUTED_VALUE"""),"TV Series 2008– )")</f>
        <v>TV Series 2008– )</v>
      </c>
    </row>
    <row r="1222" spans="1:5" ht="13" x14ac:dyDescent="0.15">
      <c r="A1222" s="5" t="s">
        <v>1662</v>
      </c>
      <c r="D1222" t="str">
        <f ca="1">IFERROR(__xludf.DUMMYFUNCTION("split(A1222,""("")"),"Ghost Hound ")</f>
        <v xml:space="preserve">Ghost Hound </v>
      </c>
      <c r="E1222" t="str">
        <f ca="1">IFERROR(__xludf.DUMMYFUNCTION("""COMPUTED_VALUE"""),"TV Series 2007– )")</f>
        <v>TV Series 2007– )</v>
      </c>
    </row>
    <row r="1223" spans="1:5" ht="13" x14ac:dyDescent="0.15">
      <c r="A1223" s="5" t="s">
        <v>1663</v>
      </c>
      <c r="D1223" t="str">
        <f ca="1">IFERROR(__xludf.DUMMYFUNCTION("split(A1223,""("")"),"Ghost Hunters International ")</f>
        <v xml:space="preserve">Ghost Hunters International </v>
      </c>
      <c r="E1223" t="str">
        <f ca="1">IFERROR(__xludf.DUMMYFUNCTION("""COMPUTED_VALUE"""),"TV Series 2008– )")</f>
        <v>TV Series 2008– )</v>
      </c>
    </row>
    <row r="1224" spans="1:5" ht="13" x14ac:dyDescent="0.15">
      <c r="A1224" s="5" t="s">
        <v>125</v>
      </c>
      <c r="D1224" t="str">
        <f ca="1">IFERROR(__xludf.DUMMYFUNCTION("split(A1224,""("")"),"Ghost in the Shell: Stand Alone Complex ")</f>
        <v xml:space="preserve">Ghost in the Shell: Stand Alone Complex </v>
      </c>
      <c r="E1224" t="str">
        <f ca="1">IFERROR(__xludf.DUMMYFUNCTION("""COMPUTED_VALUE"""),"TV Series 2002–2005)")</f>
        <v>TV Series 2002–2005)</v>
      </c>
    </row>
    <row r="1225" spans="1:5" ht="13" x14ac:dyDescent="0.15">
      <c r="A1225" s="5" t="s">
        <v>1664</v>
      </c>
      <c r="D1225" t="str">
        <f ca="1">IFERROR(__xludf.DUMMYFUNCTION("split(A1225,""("")"),"Ghost Lab ")</f>
        <v xml:space="preserve">Ghost Lab </v>
      </c>
      <c r="E1225" t="str">
        <f ca="1">IFERROR(__xludf.DUMMYFUNCTION("""COMPUTED_VALUE"""),"TV Series 2009– )")</f>
        <v>TV Series 2009– )</v>
      </c>
    </row>
    <row r="1226" spans="1:5" ht="13" x14ac:dyDescent="0.15">
      <c r="A1226" s="5" t="s">
        <v>1665</v>
      </c>
      <c r="D1226" t="str">
        <f ca="1">IFERROR(__xludf.DUMMYFUNCTION("split(A1226,""("")"),"Ghost Whisperer ")</f>
        <v xml:space="preserve">Ghost Whisperer </v>
      </c>
      <c r="E1226" t="str">
        <f ca="1">IFERROR(__xludf.DUMMYFUNCTION("""COMPUTED_VALUE"""),"TV Series 2005–2010)")</f>
        <v>TV Series 2005–2010)</v>
      </c>
    </row>
    <row r="1227" spans="1:5" ht="13" x14ac:dyDescent="0.15">
      <c r="A1227" s="5" t="s">
        <v>1666</v>
      </c>
      <c r="D1227" t="str">
        <f ca="1">IFERROR(__xludf.DUMMYFUNCTION("split(A1227,""("")"),"Ghosted ")</f>
        <v xml:space="preserve">Ghosted </v>
      </c>
      <c r="E1227" t="str">
        <f ca="1">IFERROR(__xludf.DUMMYFUNCTION("""COMPUTED_VALUE"""),"TV Series 2017)")</f>
        <v>TV Series 2017)</v>
      </c>
    </row>
    <row r="1228" spans="1:5" ht="13" x14ac:dyDescent="0.15">
      <c r="A1228" s="5" t="s">
        <v>1667</v>
      </c>
      <c r="D1228" t="str">
        <f ca="1">IFERROR(__xludf.DUMMYFUNCTION("split(A1228,""("")"),"Ghostwriter ")</f>
        <v xml:space="preserve">Ghostwriter </v>
      </c>
      <c r="E1228" t="str">
        <f ca="1">IFERROR(__xludf.DUMMYFUNCTION("""COMPUTED_VALUE"""),"TV Series 1992–1995)")</f>
        <v>TV Series 1992–1995)</v>
      </c>
    </row>
    <row r="1229" spans="1:5" ht="13" x14ac:dyDescent="0.15">
      <c r="A1229" s="5" t="s">
        <v>1668</v>
      </c>
      <c r="D1229" t="str">
        <f ca="1">IFERROR(__xludf.DUMMYFUNCTION("split(A1229,""("")"),"Gibi ASMR ")</f>
        <v xml:space="preserve">Gibi ASMR </v>
      </c>
      <c r="E1229" t="str">
        <f ca="1">IFERROR(__xludf.DUMMYFUNCTION("""COMPUTED_VALUE"""),"TV Series 2015– )")</f>
        <v>TV Series 2015– )</v>
      </c>
    </row>
    <row r="1230" spans="1:5" ht="13" x14ac:dyDescent="0.15">
      <c r="A1230" s="5" t="s">
        <v>1669</v>
      </c>
      <c r="D1230" t="str">
        <f ca="1">IFERROR(__xludf.DUMMYFUNCTION("split(A1230,""("")"),"Gigantic ")</f>
        <v xml:space="preserve">Gigantic </v>
      </c>
      <c r="E1230" t="str">
        <f ca="1">IFERROR(__xludf.DUMMYFUNCTION("""COMPUTED_VALUE"""),"TV Series 2010–2011)")</f>
        <v>TV Series 2010–2011)</v>
      </c>
    </row>
    <row r="1231" spans="1:5" ht="13" x14ac:dyDescent="0.15">
      <c r="A1231" s="5" t="s">
        <v>1670</v>
      </c>
      <c r="D1231" t="str">
        <f ca="1">IFERROR(__xludf.DUMMYFUNCTION("split(A1231,""("")"),"Gigolos ")</f>
        <v xml:space="preserve">Gigolos </v>
      </c>
      <c r="E1231" t="str">
        <f ca="1">IFERROR(__xludf.DUMMYFUNCTION("""COMPUTED_VALUE"""),"TV Series 2011– )")</f>
        <v>TV Series 2011– )</v>
      </c>
    </row>
    <row r="1232" spans="1:5" ht="13" x14ac:dyDescent="0.15">
      <c r="A1232" s="5" t="s">
        <v>1671</v>
      </c>
      <c r="D1232" t="str">
        <f ca="1">IFERROR(__xludf.DUMMYFUNCTION("split(A1232,""("")"),"Gilmore Girls ")</f>
        <v xml:space="preserve">Gilmore Girls </v>
      </c>
      <c r="E1232" t="str">
        <f ca="1">IFERROR(__xludf.DUMMYFUNCTION("""COMPUTED_VALUE"""),"TV Series 2000–2007)")</f>
        <v>TV Series 2000–2007)</v>
      </c>
    </row>
    <row r="1233" spans="1:5" ht="13" x14ac:dyDescent="0.15">
      <c r="A1233" s="5" t="s">
        <v>1672</v>
      </c>
      <c r="D1233" t="str">
        <f ca="1">IFERROR(__xludf.DUMMYFUNCTION("split(A1233,""("")"),"Gimme Sugar ")</f>
        <v xml:space="preserve">Gimme Sugar </v>
      </c>
      <c r="E1233" t="str">
        <f ca="1">IFERROR(__xludf.DUMMYFUNCTION("""COMPUTED_VALUE"""),"TV Series 2008– )")</f>
        <v>TV Series 2008– )</v>
      </c>
    </row>
    <row r="1234" spans="1:5" ht="13" x14ac:dyDescent="0.15">
      <c r="A1234" s="5" t="s">
        <v>1673</v>
      </c>
      <c r="D1234" t="str">
        <f ca="1">IFERROR(__xludf.DUMMYFUNCTION("split(A1234,""("")"),"Ginger ASMR ")</f>
        <v xml:space="preserve">Ginger ASMR </v>
      </c>
      <c r="E1234" t="str">
        <f ca="1">IFERROR(__xludf.DUMMYFUNCTION("""COMPUTED_VALUE"""),"TV Series 2019– )")</f>
        <v>TV Series 2019– )</v>
      </c>
    </row>
    <row r="1235" spans="1:5" ht="13" x14ac:dyDescent="0.15">
      <c r="A1235" s="5" t="s">
        <v>1674</v>
      </c>
      <c r="D1235" t="str">
        <f ca="1">IFERROR(__xludf.DUMMYFUNCTION("split(A1235,""("")"),"Girl Meets World ")</f>
        <v xml:space="preserve">Girl Meets World </v>
      </c>
      <c r="E1235" t="str">
        <f ca="1">IFERROR(__xludf.DUMMYFUNCTION("""COMPUTED_VALUE"""),"TV Series 2014–2017)")</f>
        <v>TV Series 2014–2017)</v>
      </c>
    </row>
    <row r="1236" spans="1:5" ht="13" x14ac:dyDescent="0.15">
      <c r="A1236" s="5" t="s">
        <v>126</v>
      </c>
      <c r="D1236" t="str">
        <f ca="1">IFERROR(__xludf.DUMMYFUNCTION("split(A1236,""("")"),"Girlfriends' Guide to Divorce ")</f>
        <v xml:space="preserve">Girlfriends' Guide to Divorce </v>
      </c>
      <c r="E1236" t="str">
        <f ca="1">IFERROR(__xludf.DUMMYFUNCTION("""COMPUTED_VALUE"""),"TV Series 2014–2018)")</f>
        <v>TV Series 2014–2018)</v>
      </c>
    </row>
    <row r="1237" spans="1:5" ht="13" x14ac:dyDescent="0.15">
      <c r="A1237" s="5" t="s">
        <v>1675</v>
      </c>
      <c r="D1237" t="str">
        <f ca="1">IFERROR(__xludf.DUMMYFUNCTION("split(A1237,""("")"),"Girls ")</f>
        <v xml:space="preserve">Girls </v>
      </c>
      <c r="E1237" t="str">
        <f ca="1">IFERROR(__xludf.DUMMYFUNCTION("""COMPUTED_VALUE"""),"TV Series 2012–2017)")</f>
        <v>TV Series 2012–2017)</v>
      </c>
    </row>
    <row r="1238" spans="1:5" ht="13" x14ac:dyDescent="0.15">
      <c r="A1238" s="5" t="s">
        <v>1676</v>
      </c>
      <c r="D1238" t="str">
        <f ca="1">IFERROR(__xludf.DUMMYFUNCTION("split(A1238,""("")"),"Girls Bravo ")</f>
        <v xml:space="preserve">Girls Bravo </v>
      </c>
      <c r="E1238" t="str">
        <f ca="1">IFERROR(__xludf.DUMMYFUNCTION("""COMPUTED_VALUE"""),"TV Series 2004– )")</f>
        <v>TV Series 2004– )</v>
      </c>
    </row>
    <row r="1239" spans="1:5" ht="13" x14ac:dyDescent="0.15">
      <c r="A1239" s="5" t="s">
        <v>1677</v>
      </c>
      <c r="D1239" t="str">
        <f ca="1">IFERROR(__xludf.DUMMYFUNCTION("split(A1239,""("")"),"Girls on Top ")</f>
        <v xml:space="preserve">Girls on Top </v>
      </c>
      <c r="E1239" t="str">
        <f ca="1">IFERROR(__xludf.DUMMYFUNCTION("""COMPUTED_VALUE"""),"TV Series 1985–1986)")</f>
        <v>TV Series 1985–1986)</v>
      </c>
    </row>
    <row r="1240" spans="1:5" ht="13" x14ac:dyDescent="0.15">
      <c r="A1240" s="5" t="s">
        <v>1678</v>
      </c>
      <c r="D1240" t="str">
        <f ca="1">IFERROR(__xludf.DUMMYFUNCTION("split(A1240,""("")"),"Gladiators ")</f>
        <v xml:space="preserve">Gladiators </v>
      </c>
      <c r="E1240" t="str">
        <f ca="1">IFERROR(__xludf.DUMMYFUNCTION("""COMPUTED_VALUE"""),"TV Series 1992–2000)")</f>
        <v>TV Series 1992–2000)</v>
      </c>
    </row>
    <row r="1241" spans="1:5" ht="13" x14ac:dyDescent="0.15">
      <c r="A1241" s="5" t="s">
        <v>348</v>
      </c>
      <c r="D1241" t="str">
        <f ca="1">IFERROR(__xludf.DUMMYFUNCTION("split(A1241,""("")"),"Glee ")</f>
        <v xml:space="preserve">Glee </v>
      </c>
      <c r="E1241" t="str">
        <f ca="1">IFERROR(__xludf.DUMMYFUNCTION("""COMPUTED_VALUE"""),"TV Series 2009–2015)")</f>
        <v>TV Series 2009–2015)</v>
      </c>
    </row>
    <row r="1242" spans="1:5" ht="13" x14ac:dyDescent="0.15">
      <c r="A1242" s="5" t="s">
        <v>1679</v>
      </c>
      <c r="D1242" t="str">
        <f ca="1">IFERROR(__xludf.DUMMYFUNCTION("split(A1242,""("")"),"GLOW ")</f>
        <v xml:space="preserve">GLOW </v>
      </c>
      <c r="E1242" t="str">
        <f ca="1">IFERROR(__xludf.DUMMYFUNCTION("""COMPUTED_VALUE"""),"TV Series 2017– )")</f>
        <v>TV Series 2017– )</v>
      </c>
    </row>
    <row r="1243" spans="1:5" ht="13" x14ac:dyDescent="0.15">
      <c r="A1243" s="5" t="s">
        <v>1680</v>
      </c>
      <c r="D1243" t="str">
        <f ca="1">IFERROR(__xludf.DUMMYFUNCTION("split(A1243,""("")"),"Goa Goals ")</f>
        <v xml:space="preserve">Goa Goals </v>
      </c>
      <c r="E1243" t="str">
        <f ca="1">IFERROR(__xludf.DUMMYFUNCTION("""COMPUTED_VALUE"""),"TV Series 2013)")</f>
        <v>TV Series 2013)</v>
      </c>
    </row>
    <row r="1244" spans="1:5" ht="13" x14ac:dyDescent="0.15">
      <c r="A1244" s="5" t="s">
        <v>1681</v>
      </c>
      <c r="D1244" t="str">
        <f ca="1">IFERROR(__xludf.DUMMYFUNCTION("split(A1244,""("")"),"Godparents ")</f>
        <v xml:space="preserve">Godparents </v>
      </c>
      <c r="E1244" t="str">
        <f ca="1">IFERROR(__xludf.DUMMYFUNCTION("""COMPUTED_VALUE"""),"TV Series 1999)")</f>
        <v>TV Series 1999)</v>
      </c>
    </row>
    <row r="1245" spans="1:5" ht="13" x14ac:dyDescent="0.15">
      <c r="A1245" s="5" t="s">
        <v>1682</v>
      </c>
      <c r="D1245" t="str">
        <f ca="1">IFERROR(__xludf.DUMMYFUNCTION("split(A1245,""("")"),"Golden Time ")</f>
        <v xml:space="preserve">Golden Time </v>
      </c>
      <c r="E1245" t="str">
        <f ca="1">IFERROR(__xludf.DUMMYFUNCTION("""COMPUTED_VALUE"""),"TV Series 2013– )")</f>
        <v>TV Series 2013– )</v>
      </c>
    </row>
    <row r="1246" spans="1:5" ht="13" x14ac:dyDescent="0.15">
      <c r="A1246" s="5" t="s">
        <v>1683</v>
      </c>
      <c r="D1246" t="str">
        <f ca="1">IFERROR(__xludf.DUMMYFUNCTION("split(A1246,""("")"),"Golden Years ")</f>
        <v xml:space="preserve">Golden Years </v>
      </c>
      <c r="E1246" t="str">
        <f ca="1">IFERROR(__xludf.DUMMYFUNCTION("""COMPUTED_VALUE"""),"TV Series 1991– )")</f>
        <v>TV Series 1991– )</v>
      </c>
    </row>
    <row r="1247" spans="1:5" ht="13" x14ac:dyDescent="0.15">
      <c r="A1247" s="5" t="s">
        <v>1684</v>
      </c>
      <c r="D1247" t="str">
        <f ca="1">IFERROR(__xludf.DUMMYFUNCTION("split(A1247,""("")"),"Golgo 13 ")</f>
        <v xml:space="preserve">Golgo 13 </v>
      </c>
      <c r="E1247" t="str">
        <f ca="1">IFERROR(__xludf.DUMMYFUNCTION("""COMPUTED_VALUE"""),"TV Series 2008–2009)")</f>
        <v>TV Series 2008–2009)</v>
      </c>
    </row>
    <row r="1248" spans="1:5" ht="13" x14ac:dyDescent="0.15">
      <c r="A1248" s="5" t="s">
        <v>1685</v>
      </c>
      <c r="D1248" t="str">
        <f ca="1">IFERROR(__xludf.DUMMYFUNCTION("split(A1248,""("")"),"Goliath ")</f>
        <v xml:space="preserve">Goliath </v>
      </c>
      <c r="E1248" t="str">
        <f ca="1">IFERROR(__xludf.DUMMYFUNCTION("""COMPUTED_VALUE"""),"TV Series 2016– )")</f>
        <v>TV Series 2016– )</v>
      </c>
    </row>
    <row r="1249" spans="1:5" ht="13" x14ac:dyDescent="0.15">
      <c r="A1249" s="5" t="s">
        <v>1686</v>
      </c>
      <c r="D1249" t="str">
        <f ca="1">IFERROR(__xludf.DUMMYFUNCTION("split(A1249,""("")"),"Goliath Awaits ")</f>
        <v xml:space="preserve">Goliath Awaits </v>
      </c>
      <c r="E1249" t="str">
        <f ca="1">IFERROR(__xludf.DUMMYFUNCTION("""COMPUTED_VALUE"""),"TV Movie 1981)")</f>
        <v>TV Movie 1981)</v>
      </c>
    </row>
    <row r="1250" spans="1:5" ht="13" x14ac:dyDescent="0.15">
      <c r="A1250" s="5" t="s">
        <v>1687</v>
      </c>
      <c r="D1250" t="str">
        <f ca="1">IFERROR(__xludf.DUMMYFUNCTION("split(A1250,""("")"),"Gone ")</f>
        <v xml:space="preserve">Gone </v>
      </c>
      <c r="E1250" t="str">
        <f ca="1">IFERROR(__xludf.DUMMYFUNCTION("""COMPUTED_VALUE"""),"TV Series 2017– )")</f>
        <v>TV Series 2017– )</v>
      </c>
    </row>
    <row r="1251" spans="1:5" ht="13" x14ac:dyDescent="0.15">
      <c r="A1251" s="5" t="s">
        <v>1688</v>
      </c>
      <c r="D1251" t="str">
        <f ca="1">IFERROR(__xludf.DUMMYFUNCTION("split(A1251,""("")"),"Gone Fishing ")</f>
        <v xml:space="preserve">Gone Fishing </v>
      </c>
      <c r="E1251" t="str">
        <f ca="1">IFERROR(__xludf.DUMMYFUNCTION("""COMPUTED_VALUE"""),"TV Series 1986–1987)")</f>
        <v>TV Series 1986–1987)</v>
      </c>
    </row>
    <row r="1252" spans="1:5" ht="13" x14ac:dyDescent="0.15">
      <c r="A1252" s="5" t="s">
        <v>1689</v>
      </c>
      <c r="D1252" t="str">
        <f ca="1">IFERROR(__xludf.DUMMYFUNCTION("split(A1252,""("")"),"Good Behavior ")</f>
        <v xml:space="preserve">Good Behavior </v>
      </c>
      <c r="E1252" t="str">
        <f ca="1">IFERROR(__xludf.DUMMYFUNCTION("""COMPUTED_VALUE"""),"TV Series 2016–2017)")</f>
        <v>TV Series 2016–2017)</v>
      </c>
    </row>
    <row r="1253" spans="1:5" ht="13" x14ac:dyDescent="0.15">
      <c r="A1253" s="5" t="s">
        <v>1690</v>
      </c>
      <c r="D1253" t="str">
        <f ca="1">IFERROR(__xludf.DUMMYFUNCTION("split(A1253,""("")"),"Good Eats ")</f>
        <v xml:space="preserve">Good Eats </v>
      </c>
      <c r="E1253" t="str">
        <f ca="1">IFERROR(__xludf.DUMMYFUNCTION("""COMPUTED_VALUE"""),"TV Series 1999–2012)")</f>
        <v>TV Series 1999–2012)</v>
      </c>
    </row>
    <row r="1254" spans="1:5" ht="13" x14ac:dyDescent="0.15">
      <c r="A1254" s="5" t="s">
        <v>1691</v>
      </c>
      <c r="D1254" t="str">
        <f ca="1">IFERROR(__xludf.DUMMYFUNCTION("split(A1254,""("")"),"Good Girls ")</f>
        <v xml:space="preserve">Good Girls </v>
      </c>
      <c r="E1254" t="str">
        <f ca="1">IFERROR(__xludf.DUMMYFUNCTION("""COMPUTED_VALUE"""),"TV Series 2018– )")</f>
        <v>TV Series 2018– )</v>
      </c>
    </row>
    <row r="1255" spans="1:5" ht="13" x14ac:dyDescent="0.15">
      <c r="A1255" s="5" t="s">
        <v>1692</v>
      </c>
      <c r="D1255" t="str">
        <f ca="1">IFERROR(__xludf.DUMMYFUNCTION("split(A1255,""("")"),"Good Luck Charlie ")</f>
        <v xml:space="preserve">Good Luck Charlie </v>
      </c>
      <c r="E1255" t="str">
        <f ca="1">IFERROR(__xludf.DUMMYFUNCTION("""COMPUTED_VALUE"""),"TV Series 2010–2014)")</f>
        <v>TV Series 2010–2014)</v>
      </c>
    </row>
    <row r="1256" spans="1:5" ht="13" x14ac:dyDescent="0.15">
      <c r="A1256" s="5" t="s">
        <v>1693</v>
      </c>
      <c r="D1256" t="str">
        <f ca="1">IFERROR(__xludf.DUMMYFUNCTION("split(A1256,""("")"),"Good Trouble ")</f>
        <v xml:space="preserve">Good Trouble </v>
      </c>
      <c r="E1256" t="str">
        <f ca="1">IFERROR(__xludf.DUMMYFUNCTION("""COMPUTED_VALUE"""),"TV Series 2019– )")</f>
        <v>TV Series 2019– )</v>
      </c>
    </row>
    <row r="1257" spans="1:5" ht="13" x14ac:dyDescent="0.15">
      <c r="A1257" s="5" t="s">
        <v>1694</v>
      </c>
      <c r="D1257" t="str">
        <f ca="1">IFERROR(__xludf.DUMMYFUNCTION("split(A1257,""("")"),"Good vs Evil ")</f>
        <v xml:space="preserve">Good vs Evil </v>
      </c>
      <c r="E1257" t="str">
        <f ca="1">IFERROR(__xludf.DUMMYFUNCTION("""COMPUTED_VALUE"""),"TV Series 1999–2000)")</f>
        <v>TV Series 1999–2000)</v>
      </c>
    </row>
    <row r="1258" spans="1:5" ht="13" x14ac:dyDescent="0.15">
      <c r="A1258" s="5" t="s">
        <v>1695</v>
      </c>
      <c r="D1258" t="str">
        <f ca="1">IFERROR(__xludf.DUMMYFUNCTION("split(A1258,""("")"),"Goodnight Sweetheart ")</f>
        <v xml:space="preserve">Goodnight Sweetheart </v>
      </c>
      <c r="E1258" t="str">
        <f ca="1">IFERROR(__xludf.DUMMYFUNCTION("""COMPUTED_VALUE"""),"TV Series 1993–2016)")</f>
        <v>TV Series 1993–2016)</v>
      </c>
    </row>
    <row r="1259" spans="1:5" ht="13" x14ac:dyDescent="0.15">
      <c r="A1259" s="5" t="s">
        <v>1696</v>
      </c>
      <c r="D1259" t="str">
        <f ca="1">IFERROR(__xludf.DUMMYFUNCTION("split(A1259,""("")"),"Goof Troop ")</f>
        <v xml:space="preserve">Goof Troop </v>
      </c>
      <c r="E1259" t="str">
        <f ca="1">IFERROR(__xludf.DUMMYFUNCTION("""COMPUTED_VALUE"""),"TV Series 1992–1993)")</f>
        <v>TV Series 1992–1993)</v>
      </c>
    </row>
    <row r="1260" spans="1:5" ht="13" x14ac:dyDescent="0.15">
      <c r="A1260" s="5" t="s">
        <v>1697</v>
      </c>
      <c r="D1260" t="str">
        <f ca="1">IFERROR(__xludf.DUMMYFUNCTION("split(A1260,""("")"),"Gooische vrouwen ")</f>
        <v xml:space="preserve">Gooische vrouwen </v>
      </c>
      <c r="E1260" t="str">
        <f ca="1">IFERROR(__xludf.DUMMYFUNCTION("""COMPUTED_VALUE"""),"TV Series 2005–2009)")</f>
        <v>TV Series 2005–2009)</v>
      </c>
    </row>
    <row r="1261" spans="1:5" ht="13" x14ac:dyDescent="0.15">
      <c r="A1261" s="5" t="s">
        <v>1698</v>
      </c>
      <c r="D1261" t="str">
        <f ca="1">IFERROR(__xludf.DUMMYFUNCTION("split(A1261,""("")"),"Gortimer Gibbon's Life on Normal Street ")</f>
        <v xml:space="preserve">Gortimer Gibbon's Life on Normal Street </v>
      </c>
      <c r="E1261" t="str">
        <f ca="1">IFERROR(__xludf.DUMMYFUNCTION("""COMPUTED_VALUE"""),"TV Series 2014– )")</f>
        <v>TV Series 2014– )</v>
      </c>
    </row>
    <row r="1262" spans="1:5" ht="13" x14ac:dyDescent="0.15">
      <c r="A1262" s="5" t="s">
        <v>22</v>
      </c>
      <c r="D1262" t="str">
        <f ca="1">IFERROR(__xludf.DUMMYFUNCTION("split(A1262,""("")"),"Gossip Girl ")</f>
        <v xml:space="preserve">Gossip Girl </v>
      </c>
      <c r="E1262" t="str">
        <f ca="1">IFERROR(__xludf.DUMMYFUNCTION("""COMPUTED_VALUE"""),"TV Series 2007–2012)")</f>
        <v>TV Series 2007–2012)</v>
      </c>
    </row>
    <row r="1263" spans="1:5" ht="13" x14ac:dyDescent="0.15">
      <c r="A1263" s="5" t="s">
        <v>42</v>
      </c>
      <c r="D1263" t="str">
        <f ca="1">IFERROR(__xludf.DUMMYFUNCTION("split(A1263,""("")"),"Gotham ")</f>
        <v xml:space="preserve">Gotham </v>
      </c>
      <c r="E1263" t="str">
        <f ca="1">IFERROR(__xludf.DUMMYFUNCTION("""COMPUTED_VALUE"""),"TV Series 2014–2019)")</f>
        <v>TV Series 2014–2019)</v>
      </c>
    </row>
    <row r="1264" spans="1:5" ht="13" x14ac:dyDescent="0.15">
      <c r="A1264" s="5" t="s">
        <v>276</v>
      </c>
      <c r="D1264" t="str">
        <f ca="1">IFERROR(__xludf.DUMMYFUNCTION("split(A1264,""("")"),"Grace and Frankie ")</f>
        <v xml:space="preserve">Grace and Frankie </v>
      </c>
      <c r="E1264" t="str">
        <f ca="1">IFERROR(__xludf.DUMMYFUNCTION("""COMPUTED_VALUE"""),"TV Series 2015– )")</f>
        <v>TV Series 2015– )</v>
      </c>
    </row>
    <row r="1265" spans="1:5" ht="13" x14ac:dyDescent="0.15">
      <c r="A1265" s="5" t="s">
        <v>349</v>
      </c>
      <c r="D1265" t="str">
        <f ca="1">IFERROR(__xludf.DUMMYFUNCTION("split(A1265,""("")"),"Grace Under Fire ")</f>
        <v xml:space="preserve">Grace Under Fire </v>
      </c>
      <c r="E1265" t="str">
        <f ca="1">IFERROR(__xludf.DUMMYFUNCTION("""COMPUTED_VALUE"""),"TV Series 1993–1998)")</f>
        <v>TV Series 1993–1998)</v>
      </c>
    </row>
    <row r="1266" spans="1:5" ht="13" x14ac:dyDescent="0.15">
      <c r="A1266" s="5" t="s">
        <v>1699</v>
      </c>
      <c r="D1266" t="str">
        <f ca="1">IFERROR(__xludf.DUMMYFUNCTION("split(A1266,""("")"),"Grandfathered ")</f>
        <v xml:space="preserve">Grandfathered </v>
      </c>
      <c r="E1266" t="str">
        <f ca="1">IFERROR(__xludf.DUMMYFUNCTION("""COMPUTED_VALUE"""),"TV Series 2015–2016)")</f>
        <v>TV Series 2015–2016)</v>
      </c>
    </row>
    <row r="1267" spans="1:5" ht="13" x14ac:dyDescent="0.15">
      <c r="A1267" s="5" t="s">
        <v>1700</v>
      </c>
      <c r="D1267" t="str">
        <f ca="1">IFERROR(__xludf.DUMMYFUNCTION("split(A1267,""("")"),"Grave Secrets ")</f>
        <v xml:space="preserve">Grave Secrets </v>
      </c>
      <c r="E1267" t="str">
        <f ca="1">IFERROR(__xludf.DUMMYFUNCTION("""COMPUTED_VALUE"""),"TV Series 2016– )")</f>
        <v>TV Series 2016– )</v>
      </c>
    </row>
    <row r="1268" spans="1:5" ht="13" x14ac:dyDescent="0.15">
      <c r="A1268" s="5" t="s">
        <v>277</v>
      </c>
      <c r="D1268" t="str">
        <f ca="1">IFERROR(__xludf.DUMMYFUNCTION("split(A1268,""("")"),"Graves ")</f>
        <v xml:space="preserve">Graves </v>
      </c>
      <c r="E1268" t="str">
        <f ca="1">IFERROR(__xludf.DUMMYFUNCTION("""COMPUTED_VALUE"""),"TV Series 2016– )")</f>
        <v>TV Series 2016– )</v>
      </c>
    </row>
    <row r="1269" spans="1:5" ht="13" x14ac:dyDescent="0.15">
      <c r="A1269" s="5" t="s">
        <v>1701</v>
      </c>
      <c r="D1269" t="str">
        <f ca="1">IFERROR(__xludf.DUMMYFUNCTION("split(A1269,""("")"),"Gravity ")</f>
        <v xml:space="preserve">Gravity </v>
      </c>
      <c r="E1269" t="str">
        <f ca="1">IFERROR(__xludf.DUMMYFUNCTION("""COMPUTED_VALUE"""),"TV Series 2010)")</f>
        <v>TV Series 2010)</v>
      </c>
    </row>
    <row r="1270" spans="1:5" ht="13" x14ac:dyDescent="0.15">
      <c r="A1270" s="5" t="s">
        <v>1702</v>
      </c>
      <c r="D1270" t="str">
        <f ca="1">IFERROR(__xludf.DUMMYFUNCTION("split(A1270,""("")"),"Gravity Falls ")</f>
        <v xml:space="preserve">Gravity Falls </v>
      </c>
      <c r="E1270" t="str">
        <f ca="1">IFERROR(__xludf.DUMMYFUNCTION("""COMPUTED_VALUE"""),"TV Series 2012–2016)")</f>
        <v>TV Series 2012–2016)</v>
      </c>
    </row>
    <row r="1271" spans="1:5" ht="13" x14ac:dyDescent="0.15">
      <c r="A1271" s="5" t="s">
        <v>1703</v>
      </c>
      <c r="D1271" t="str">
        <f ca="1">IFERROR(__xludf.DUMMYFUNCTION("split(A1271,""("")"),"Greece Uncovered ")</f>
        <v xml:space="preserve">Greece Uncovered </v>
      </c>
      <c r="E1271" t="str">
        <f ca="1">IFERROR(__xludf.DUMMYFUNCTION("""COMPUTED_VALUE"""),"TV Series 1998– )")</f>
        <v>TV Series 1998– )</v>
      </c>
    </row>
    <row r="1272" spans="1:5" ht="13" x14ac:dyDescent="0.15">
      <c r="A1272" s="5" t="s">
        <v>1704</v>
      </c>
      <c r="D1272" t="str">
        <f ca="1">IFERROR(__xludf.DUMMYFUNCTION("split(A1272,""("")"),"Greek Lessons for KJV-Only Baptists ")</f>
        <v xml:space="preserve">Greek Lessons for KJV-Only Baptists </v>
      </c>
      <c r="E1272" t="str">
        <f ca="1">IFERROR(__xludf.DUMMYFUNCTION("""COMPUTED_VALUE"""),"TV Series 2013– )")</f>
        <v>TV Series 2013– )</v>
      </c>
    </row>
    <row r="1273" spans="1:5" ht="13" x14ac:dyDescent="0.15">
      <c r="A1273" s="5" t="s">
        <v>1705</v>
      </c>
      <c r="D1273" t="str">
        <f ca="1">IFERROR(__xludf.DUMMYFUNCTION("split(A1273,""("")"),"Green Wing ")</f>
        <v xml:space="preserve">Green Wing </v>
      </c>
      <c r="E1273" t="str">
        <f ca="1">IFERROR(__xludf.DUMMYFUNCTION("""COMPUTED_VALUE"""),"TV Series 2004–2007)")</f>
        <v>TV Series 2004–2007)</v>
      </c>
    </row>
    <row r="1274" spans="1:5" ht="13" x14ac:dyDescent="0.15">
      <c r="A1274" s="5" t="s">
        <v>350</v>
      </c>
      <c r="D1274" t="str">
        <f ca="1">IFERROR(__xludf.DUMMYFUNCTION("split(A1274,""("")"),"Grey's Anatomy ")</f>
        <v xml:space="preserve">Grey's Anatomy </v>
      </c>
      <c r="E1274" t="str">
        <f ca="1">IFERROR(__xludf.DUMMYFUNCTION("""COMPUTED_VALUE"""),"TV Series 2005– )")</f>
        <v>TV Series 2005– )</v>
      </c>
    </row>
    <row r="1275" spans="1:5" ht="13" x14ac:dyDescent="0.15">
      <c r="A1275" s="5" t="s">
        <v>1706</v>
      </c>
      <c r="D1275" t="str">
        <f ca="1">IFERROR(__xludf.DUMMYFUNCTION("split(A1275,""("")"),"Großstadtrevier ")</f>
        <v xml:space="preserve">Großstadtrevier </v>
      </c>
      <c r="E1275" t="str">
        <f ca="1">IFERROR(__xludf.DUMMYFUNCTION("""COMPUTED_VALUE"""),"TV Series 1986– )")</f>
        <v>TV Series 1986– )</v>
      </c>
    </row>
    <row r="1276" spans="1:5" ht="13" x14ac:dyDescent="0.15">
      <c r="A1276" s="5" t="s">
        <v>1707</v>
      </c>
      <c r="D1276" t="str">
        <f ca="1">IFERROR(__xludf.DUMMYFUNCTION("split(A1276,""("")"),"Grounded for Life ")</f>
        <v xml:space="preserve">Grounded for Life </v>
      </c>
      <c r="E1276" t="str">
        <f ca="1">IFERROR(__xludf.DUMMYFUNCTION("""COMPUTED_VALUE"""),"TV Series 2001–2005)")</f>
        <v>TV Series 2001–2005)</v>
      </c>
    </row>
    <row r="1277" spans="1:5" ht="13" x14ac:dyDescent="0.15">
      <c r="A1277" s="5" t="s">
        <v>1708</v>
      </c>
      <c r="D1277" t="str">
        <f ca="1">IFERROR(__xludf.DUMMYFUNCTION("split(A1277,""("")"),"Growing Pains ")</f>
        <v xml:space="preserve">Growing Pains </v>
      </c>
      <c r="E1277" t="str">
        <f ca="1">IFERROR(__xludf.DUMMYFUNCTION("""COMPUTED_VALUE"""),"TV Series 1985–1992)")</f>
        <v>TV Series 1985–1992)</v>
      </c>
    </row>
    <row r="1278" spans="1:5" ht="13" x14ac:dyDescent="0.15">
      <c r="A1278" s="5" t="s">
        <v>191</v>
      </c>
      <c r="D1278" t="str">
        <f ca="1">IFERROR(__xludf.DUMMYFUNCTION("split(A1278,""("")"),"Grown-ish ")</f>
        <v xml:space="preserve">Grown-ish </v>
      </c>
      <c r="E1278" t="str">
        <f ca="1">IFERROR(__xludf.DUMMYFUNCTION("""COMPUTED_VALUE"""),"TV Series 2018– )")</f>
        <v>TV Series 2018– )</v>
      </c>
    </row>
    <row r="1279" spans="1:5" ht="13" x14ac:dyDescent="0.15">
      <c r="A1279" s="5" t="s">
        <v>1709</v>
      </c>
      <c r="D1279" t="str">
        <f ca="1">IFERROR(__xludf.DUMMYFUNCTION("split(A1279,""("")"),"GTO: Great Teacher Onizuka ")</f>
        <v xml:space="preserve">GTO: Great Teacher Onizuka </v>
      </c>
      <c r="E1279" t="str">
        <f ca="1">IFERROR(__xludf.DUMMYFUNCTION("""COMPUTED_VALUE"""),"TV Series 1998– )")</f>
        <v>TV Series 1998– )</v>
      </c>
    </row>
    <row r="1280" spans="1:5" ht="13" x14ac:dyDescent="0.15">
      <c r="A1280" s="5" t="s">
        <v>1710</v>
      </c>
      <c r="D1280" t="str">
        <f ca="1">IFERROR(__xludf.DUMMYFUNCTION("split(A1280,""("")"),"Gu Family Book ")</f>
        <v xml:space="preserve">Gu Family Book </v>
      </c>
      <c r="E1280" t="str">
        <f ca="1">IFERROR(__xludf.DUMMYFUNCTION("""COMPUTED_VALUE"""),"TV Series 2013– )")</f>
        <v>TV Series 2013– )</v>
      </c>
    </row>
    <row r="1281" spans="1:5" ht="13" x14ac:dyDescent="0.15">
      <c r="A1281" s="5" t="s">
        <v>1711</v>
      </c>
      <c r="D1281" t="str">
        <f ca="1">IFERROR(__xludf.DUMMYFUNCTION("split(A1281,""("")"),"Gumapang ka sa lusak ")</f>
        <v xml:space="preserve">Gumapang ka sa lusak </v>
      </c>
      <c r="E1281" t="str">
        <f ca="1">IFERROR(__xludf.DUMMYFUNCTION("""COMPUTED_VALUE"""),"TV Series 2010)")</f>
        <v>TV Series 2010)</v>
      </c>
    </row>
    <row r="1282" spans="1:5" ht="13" x14ac:dyDescent="0.15">
      <c r="A1282" s="5" t="s">
        <v>1712</v>
      </c>
      <c r="D1282" t="str">
        <f ca="1">IFERROR(__xludf.DUMMYFUNCTION("split(A1282,""("")"),"Gungrave ")</f>
        <v xml:space="preserve">Gungrave </v>
      </c>
      <c r="E1282" t="str">
        <f ca="1">IFERROR(__xludf.DUMMYFUNCTION("""COMPUTED_VALUE"""),"TV Series 2003–2004)")</f>
        <v>TV Series 2003–2004)</v>
      </c>
    </row>
    <row r="1283" spans="1:5" ht="13" x14ac:dyDescent="0.15">
      <c r="A1283" s="5" t="s">
        <v>1713</v>
      </c>
      <c r="D1283" t="str">
        <f ca="1">IFERROR(__xludf.DUMMYFUNCTION("split(A1283,""("")"),"Gunslingers ")</f>
        <v xml:space="preserve">Gunslingers </v>
      </c>
      <c r="E1283" t="str">
        <f ca="1">IFERROR(__xludf.DUMMYFUNCTION("""COMPUTED_VALUE"""),"TV Series 2014– )")</f>
        <v>TV Series 2014– )</v>
      </c>
    </row>
    <row r="1284" spans="1:5" ht="13" x14ac:dyDescent="0.15">
      <c r="A1284" s="5" t="s">
        <v>1714</v>
      </c>
      <c r="D1284" t="str">
        <f ca="1">IFERROR(__xludf.DUMMYFUNCTION("split(A1284,""("")"),"Guy Code ")</f>
        <v xml:space="preserve">Guy Code </v>
      </c>
      <c r="E1284" t="str">
        <f ca="1">IFERROR(__xludf.DUMMYFUNCTION("""COMPUTED_VALUE"""),"TV Series 2011–2015)")</f>
        <v>TV Series 2011–2015)</v>
      </c>
    </row>
    <row r="1285" spans="1:5" ht="13" x14ac:dyDescent="0.15">
      <c r="A1285" s="5" t="s">
        <v>1715</v>
      </c>
      <c r="D1285" t="str">
        <f ca="1">IFERROR(__xludf.DUMMYFUNCTION("split(A1285,""("")"),"Gwen ASMR ")</f>
        <v xml:space="preserve">Gwen ASMR </v>
      </c>
      <c r="E1285" t="str">
        <f ca="1">IFERROR(__xludf.DUMMYFUNCTION("""COMPUTED_VALUE"""),"TV Series 2017– )")</f>
        <v>TV Series 2017– )</v>
      </c>
    </row>
    <row r="1286" spans="1:5" ht="13" x14ac:dyDescent="0.15">
      <c r="A1286" s="5" t="s">
        <v>278</v>
      </c>
      <c r="D1286" t="str">
        <f ca="1">IFERROR(__xludf.DUMMYFUNCTION("split(A1286,""("")"),"Gypsy ")</f>
        <v xml:space="preserve">Gypsy </v>
      </c>
      <c r="E1286" t="str">
        <f ca="1">IFERROR(__xludf.DUMMYFUNCTION("""COMPUTED_VALUE"""),"TV Series 2017)")</f>
        <v>TV Series 2017)</v>
      </c>
    </row>
    <row r="1287" spans="1:5" ht="13" x14ac:dyDescent="0.15">
      <c r="A1287" s="5" t="s">
        <v>1716</v>
      </c>
      <c r="D1287" t="str">
        <f ca="1">IFERROR(__xludf.DUMMYFUNCTION("split(A1287,""("")"),"H£ir Hunt£rs ")</f>
        <v xml:space="preserve">H£ir Hunt£rs </v>
      </c>
      <c r="E1287" t="str">
        <f ca="1">IFERROR(__xludf.DUMMYFUNCTION("""COMPUTED_VALUE"""),"TV Series 2007– )")</f>
        <v>TV Series 2007– )</v>
      </c>
    </row>
    <row r="1288" spans="1:5" ht="13" x14ac:dyDescent="0.15">
      <c r="A1288" s="5" t="s">
        <v>1717</v>
      </c>
      <c r="D1288" t="str">
        <f ca="1">IFERROR(__xludf.DUMMYFUNCTION("split(A1288,""("")"),"H2o ")</f>
        <v xml:space="preserve">H2o </v>
      </c>
      <c r="E1288" t="str">
        <f ca="1">IFERROR(__xludf.DUMMYFUNCTION("""COMPUTED_VALUE"""),"TV Series 2004– )")</f>
        <v>TV Series 2004– )</v>
      </c>
    </row>
    <row r="1289" spans="1:5" ht="13" x14ac:dyDescent="0.15">
      <c r="A1289" s="5" t="s">
        <v>1718</v>
      </c>
      <c r="D1289" t="str">
        <f ca="1">IFERROR(__xludf.DUMMYFUNCTION("split(A1289,""("")"),"H2O: Just Add Water ")</f>
        <v xml:space="preserve">H2O: Just Add Water </v>
      </c>
      <c r="E1289" t="str">
        <f ca="1">IFERROR(__xludf.DUMMYFUNCTION("""COMPUTED_VALUE"""),"TV Series 2006–2010)")</f>
        <v>TV Series 2006–2010)</v>
      </c>
    </row>
    <row r="1290" spans="1:5" ht="13" x14ac:dyDescent="0.15">
      <c r="A1290" s="5" t="s">
        <v>1719</v>
      </c>
      <c r="D1290" t="str">
        <f ca="1">IFERROR(__xludf.DUMMYFUNCTION("split(A1290,""("")"),"H2O: Mermaid Adventures ")</f>
        <v xml:space="preserve">H2O: Mermaid Adventures </v>
      </c>
      <c r="E1290" t="str">
        <f ca="1">IFERROR(__xludf.DUMMYFUNCTION("""COMPUTED_VALUE"""),"TV Series 2015– )")</f>
        <v>TV Series 2015– )</v>
      </c>
    </row>
    <row r="1291" spans="1:5" ht="13" x14ac:dyDescent="0.15">
      <c r="A1291" s="5" t="s">
        <v>1720</v>
      </c>
      <c r="D1291" t="str">
        <f ca="1">IFERROR(__xludf.DUMMYFUNCTION("split(A1291,""("")"),"h3h3Productions ")</f>
        <v xml:space="preserve">h3h3Productions </v>
      </c>
      <c r="E1291" t="str">
        <f ca="1">IFERROR(__xludf.DUMMYFUNCTION("""COMPUTED_VALUE"""),"TV Series 2013– )")</f>
        <v>TV Series 2013– )</v>
      </c>
    </row>
    <row r="1292" spans="1:5" ht="13" x14ac:dyDescent="0.15">
      <c r="A1292" s="5" t="s">
        <v>1721</v>
      </c>
      <c r="D1292" t="str">
        <f ca="1">IFERROR(__xludf.DUMMYFUNCTION("split(A1292,""("")"),"Hahamakin ang lahat ")</f>
        <v xml:space="preserve">Hahamakin ang lahat </v>
      </c>
      <c r="E1292" t="str">
        <f ca="1">IFERROR(__xludf.DUMMYFUNCTION("""COMPUTED_VALUE"""),"TV Series 2016– )")</f>
        <v>TV Series 2016– )</v>
      </c>
    </row>
    <row r="1293" spans="1:5" ht="13" x14ac:dyDescent="0.15">
      <c r="A1293" s="5" t="s">
        <v>1722</v>
      </c>
      <c r="D1293" t="str">
        <f ca="1">IFERROR(__xludf.DUMMYFUNCTION("split(A1293,""("")"),"Halt and Catch Fire ")</f>
        <v xml:space="preserve">Halt and Catch Fire </v>
      </c>
      <c r="E1293" t="str">
        <f ca="1">IFERROR(__xludf.DUMMYFUNCTION("""COMPUTED_VALUE"""),"TV Series 2014–2017)")</f>
        <v>TV Series 2014–2017)</v>
      </c>
    </row>
    <row r="1294" spans="1:5" ht="13" x14ac:dyDescent="0.15">
      <c r="A1294" s="5" t="s">
        <v>1723</v>
      </c>
      <c r="D1294" t="str">
        <f ca="1">IFERROR(__xludf.DUMMYFUNCTION("split(A1294,""("")"),"Hamster in a Nightshirt ")</f>
        <v xml:space="preserve">Hamster in a Nightshirt </v>
      </c>
      <c r="E1294" t="str">
        <f ca="1">IFERROR(__xludf.DUMMYFUNCTION("""COMPUTED_VALUE"""),"TV Series 1987– )")</f>
        <v>TV Series 1987– )</v>
      </c>
    </row>
    <row r="1295" spans="1:5" ht="13" x14ac:dyDescent="0.15">
      <c r="A1295" s="5" t="s">
        <v>1724</v>
      </c>
      <c r="D1295" t="str">
        <f ca="1">IFERROR(__xludf.DUMMYFUNCTION("split(A1295,""("")"),"Hand of God ")</f>
        <v xml:space="preserve">Hand of God </v>
      </c>
      <c r="E1295" t="str">
        <f ca="1">IFERROR(__xludf.DUMMYFUNCTION("""COMPUTED_VALUE"""),"TV Series 2014–2017)")</f>
        <v>TV Series 2014–2017)</v>
      </c>
    </row>
    <row r="1296" spans="1:5" ht="13" x14ac:dyDescent="0.15">
      <c r="A1296" s="5" t="s">
        <v>1725</v>
      </c>
      <c r="D1296" t="str">
        <f ca="1">IFERROR(__xludf.DUMMYFUNCTION("split(A1296,""("")"),"Hang Time ")</f>
        <v xml:space="preserve">Hang Time </v>
      </c>
      <c r="E1296" t="str">
        <f ca="1">IFERROR(__xludf.DUMMYFUNCTION("""COMPUTED_VALUE"""),"TV Series 1995–2000)")</f>
        <v>TV Series 1995–2000)</v>
      </c>
    </row>
    <row r="1297" spans="1:5" ht="13" x14ac:dyDescent="0.15">
      <c r="A1297" s="5" t="s">
        <v>1726</v>
      </c>
      <c r="D1297" t="str">
        <f ca="1">IFERROR(__xludf.DUMMYFUNCTION("split(A1297,""("")"),"Hank Zipzer ")</f>
        <v xml:space="preserve">Hank Zipzer </v>
      </c>
      <c r="E1297" t="str">
        <f ca="1">IFERROR(__xludf.DUMMYFUNCTION("""COMPUTED_VALUE"""),"TV Series 2014– )")</f>
        <v>TV Series 2014– )</v>
      </c>
    </row>
    <row r="1298" spans="1:5" ht="13" x14ac:dyDescent="0.15">
      <c r="A1298" s="5" t="s">
        <v>436</v>
      </c>
      <c r="D1298" t="str">
        <f ca="1">IFERROR(__xludf.DUMMYFUNCTION("split(A1298,""("")"),"Hanna ")</f>
        <v xml:space="preserve">Hanna </v>
      </c>
      <c r="E1298" t="str">
        <f ca="1">IFERROR(__xludf.DUMMYFUNCTION("""COMPUTED_VALUE"""),"TV Series 2019– )")</f>
        <v>TV Series 2019– )</v>
      </c>
    </row>
    <row r="1299" spans="1:5" ht="13" x14ac:dyDescent="0.15">
      <c r="A1299" s="5" t="s">
        <v>1727</v>
      </c>
      <c r="D1299" t="str">
        <f ca="1">IFERROR(__xludf.DUMMYFUNCTION("split(A1299,""("")"),"Hannah Montana ")</f>
        <v xml:space="preserve">Hannah Montana </v>
      </c>
      <c r="E1299" t="str">
        <f ca="1">IFERROR(__xludf.DUMMYFUNCTION("""COMPUTED_VALUE"""),"TV Series 2006–2011)")</f>
        <v>TV Series 2006–2011)</v>
      </c>
    </row>
    <row r="1300" spans="1:5" ht="13" x14ac:dyDescent="0.15">
      <c r="A1300" s="5" t="s">
        <v>437</v>
      </c>
      <c r="D1300" t="str">
        <f ca="1">IFERROR(__xludf.DUMMYFUNCTION("split(A1300,""("")"),"Hannibal ")</f>
        <v xml:space="preserve">Hannibal </v>
      </c>
      <c r="E1300" t="str">
        <f ca="1">IFERROR(__xludf.DUMMYFUNCTION("""COMPUTED_VALUE"""),"TV Series 2013–2015)")</f>
        <v>TV Series 2013–2015)</v>
      </c>
    </row>
    <row r="1301" spans="1:5" ht="13" x14ac:dyDescent="0.15">
      <c r="A1301" s="5" t="s">
        <v>1728</v>
      </c>
      <c r="D1301" t="str">
        <f ca="1">IFERROR(__xludf.DUMMYFUNCTION("split(A1301,""("")"),"Hap and Leonard ")</f>
        <v xml:space="preserve">Hap and Leonard </v>
      </c>
      <c r="E1301" t="str">
        <f ca="1">IFERROR(__xludf.DUMMYFUNCTION("""COMPUTED_VALUE"""),"TV Series 2016– )")</f>
        <v>TV Series 2016– )</v>
      </c>
    </row>
    <row r="1302" spans="1:5" ht="13" x14ac:dyDescent="0.15">
      <c r="A1302" s="5" t="s">
        <v>1729</v>
      </c>
      <c r="D1302" t="str">
        <f ca="1">IFERROR(__xludf.DUMMYFUNCTION("split(A1302,""("")"),"Haplos ")</f>
        <v xml:space="preserve">Haplos </v>
      </c>
      <c r="E1302" t="str">
        <f ca="1">IFERROR(__xludf.DUMMYFUNCTION("""COMPUTED_VALUE"""),"TV Series 2017– )")</f>
        <v>TV Series 2017– )</v>
      </c>
    </row>
    <row r="1303" spans="1:5" ht="13" x14ac:dyDescent="0.15">
      <c r="A1303" s="5" t="s">
        <v>1730</v>
      </c>
      <c r="D1303" t="str">
        <f ca="1">IFERROR(__xludf.DUMMYFUNCTION("split(A1303,""("")"),"Happily Divorced ")</f>
        <v xml:space="preserve">Happily Divorced </v>
      </c>
      <c r="E1303" t="str">
        <f ca="1">IFERROR(__xludf.DUMMYFUNCTION("""COMPUTED_VALUE"""),"TV Series 2011–2013)")</f>
        <v>TV Series 2011–2013)</v>
      </c>
    </row>
    <row r="1304" spans="1:5" ht="13" x14ac:dyDescent="0.15">
      <c r="A1304" s="5" t="s">
        <v>1731</v>
      </c>
      <c r="D1304" t="str">
        <f ca="1">IFERROR(__xludf.DUMMYFUNCTION("split(A1304,""("")"),"Happy Endings ")</f>
        <v xml:space="preserve">Happy Endings </v>
      </c>
      <c r="E1304" t="str">
        <f ca="1">IFERROR(__xludf.DUMMYFUNCTION("""COMPUTED_VALUE"""),"TV Series 2011–2013)")</f>
        <v>TV Series 2011–2013)</v>
      </c>
    </row>
    <row r="1305" spans="1:5" ht="13" x14ac:dyDescent="0.15">
      <c r="A1305" s="5" t="s">
        <v>1732</v>
      </c>
      <c r="D1305" t="str">
        <f ca="1">IFERROR(__xludf.DUMMYFUNCTION("split(A1305,""("")"),"Happy Town ")</f>
        <v xml:space="preserve">Happy Town </v>
      </c>
      <c r="E1305" t="str">
        <f ca="1">IFERROR(__xludf.DUMMYFUNCTION("""COMPUTED_VALUE"""),"TV Series 2010)")</f>
        <v>TV Series 2010)</v>
      </c>
    </row>
    <row r="1306" spans="1:5" ht="13" x14ac:dyDescent="0.15">
      <c r="A1306" s="5" t="s">
        <v>1733</v>
      </c>
      <c r="D1306" t="str">
        <f ca="1">IFERROR(__xludf.DUMMYFUNCTION("split(A1306,""("")"),"Happy Tree Friends ")</f>
        <v xml:space="preserve">Happy Tree Friends </v>
      </c>
      <c r="E1306" t="str">
        <f ca="1">IFERROR(__xludf.DUMMYFUNCTION("""COMPUTED_VALUE"""),"TV Series 1999– )")</f>
        <v>TV Series 1999– )</v>
      </c>
    </row>
    <row r="1307" spans="1:5" ht="13" x14ac:dyDescent="0.15">
      <c r="A1307" s="5" t="s">
        <v>1734</v>
      </c>
      <c r="D1307" t="str">
        <f ca="1">IFERROR(__xludf.DUMMYFUNCTION("split(A1307,""("")"),"Happy Valley ")</f>
        <v xml:space="preserve">Happy Valley </v>
      </c>
      <c r="E1307" t="str">
        <f ca="1">IFERROR(__xludf.DUMMYFUNCTION("""COMPUTED_VALUE"""),"TV Series 2014– )")</f>
        <v>TV Series 2014– )</v>
      </c>
    </row>
    <row r="1308" spans="1:5" ht="13" x14ac:dyDescent="0.15">
      <c r="A1308" s="5" t="s">
        <v>1735</v>
      </c>
      <c r="D1308" t="str">
        <f ca="1">IFERROR(__xludf.DUMMYFUNCTION("split(A1308,""("")"),"Happy! ")</f>
        <v xml:space="preserve">Happy! </v>
      </c>
      <c r="E1308" t="str">
        <f ca="1">IFERROR(__xludf.DUMMYFUNCTION("""COMPUTED_VALUE"""),"TV Series 2017–2019)")</f>
        <v>TV Series 2017–2019)</v>
      </c>
    </row>
    <row r="1309" spans="1:5" ht="13" x14ac:dyDescent="0.15">
      <c r="A1309" s="5" t="s">
        <v>1736</v>
      </c>
      <c r="D1309" t="str">
        <f ca="1">IFERROR(__xludf.DUMMYFUNCTION("split(A1309,""("")"),"Hard Time on Planet Earth ")</f>
        <v xml:space="preserve">Hard Time on Planet Earth </v>
      </c>
      <c r="E1309" t="str">
        <f ca="1">IFERROR(__xludf.DUMMYFUNCTION("""COMPUTED_VALUE"""),"TV Series 1989)")</f>
        <v>TV Series 1989)</v>
      </c>
    </row>
    <row r="1310" spans="1:5" ht="13" x14ac:dyDescent="0.15">
      <c r="A1310" s="5" t="s">
        <v>1737</v>
      </c>
      <c r="D1310" t="str">
        <f ca="1">IFERROR(__xludf.DUMMYFUNCTION("split(A1310,""("")"),"Hare+Guu ")</f>
        <v xml:space="preserve">Hare+Guu </v>
      </c>
      <c r="E1310" t="str">
        <f ca="1">IFERROR(__xludf.DUMMYFUNCTION("""COMPUTED_VALUE"""),"TV Series 2001– )")</f>
        <v>TV Series 2001– )</v>
      </c>
    </row>
    <row r="1311" spans="1:5" ht="13" x14ac:dyDescent="0.15">
      <c r="A1311" s="5" t="s">
        <v>469</v>
      </c>
      <c r="D1311" t="str">
        <f ca="1">IFERROR(__xludf.DUMMYFUNCTION("split(A1311,""("")"),"Harley Quinn ")</f>
        <v xml:space="preserve">Harley Quinn </v>
      </c>
      <c r="E1311" t="str">
        <f ca="1">IFERROR(__xludf.DUMMYFUNCTION("""COMPUTED_VALUE"""),"TV Series 2019– )")</f>
        <v>TV Series 2019– )</v>
      </c>
    </row>
    <row r="1312" spans="1:5" ht="13" x14ac:dyDescent="0.15">
      <c r="A1312" s="5" t="s">
        <v>127</v>
      </c>
      <c r="D1312" t="str">
        <f ca="1">IFERROR(__xludf.DUMMYFUNCTION("split(A1312,""("")"),"Harlots ")</f>
        <v xml:space="preserve">Harlots </v>
      </c>
      <c r="E1312" t="str">
        <f ca="1">IFERROR(__xludf.DUMMYFUNCTION("""COMPUTED_VALUE"""),"TV Series 2017–2019)")</f>
        <v>TV Series 2017–2019)</v>
      </c>
    </row>
    <row r="1313" spans="1:5" ht="13" x14ac:dyDescent="0.15">
      <c r="A1313" s="5" t="s">
        <v>1738</v>
      </c>
      <c r="D1313" t="str">
        <f ca="1">IFERROR(__xludf.DUMMYFUNCTION("split(A1313,""("")"),"Harrow ")</f>
        <v xml:space="preserve">Harrow </v>
      </c>
      <c r="E1313" t="str">
        <f ca="1">IFERROR(__xludf.DUMMYFUNCTION("""COMPUTED_VALUE"""),"TV Series 2018– )")</f>
        <v>TV Series 2018– )</v>
      </c>
    </row>
    <row r="1314" spans="1:5" ht="13" x14ac:dyDescent="0.15">
      <c r="A1314" s="5" t="s">
        <v>1739</v>
      </c>
      <c r="D1314" t="str">
        <f ca="1">IFERROR(__xludf.DUMMYFUNCTION("split(A1314,""("")"),"Harry ")</f>
        <v xml:space="preserve">Harry </v>
      </c>
      <c r="E1314" t="str">
        <f ca="1">IFERROR(__xludf.DUMMYFUNCTION("""COMPUTED_VALUE"""),"TV Series 2013)")</f>
        <v>TV Series 2013)</v>
      </c>
    </row>
    <row r="1315" spans="1:5" ht="13" x14ac:dyDescent="0.15">
      <c r="A1315" s="5" t="s">
        <v>1740</v>
      </c>
      <c r="D1315" t="str">
        <f ca="1">IFERROR(__xludf.DUMMYFUNCTION("split(A1315,""("")"),"Harry Enfield and Chums ")</f>
        <v xml:space="preserve">Harry Enfield and Chums </v>
      </c>
      <c r="E1315" t="str">
        <f ca="1">IFERROR(__xludf.DUMMYFUNCTION("""COMPUTED_VALUE"""),"TV Series 1994–1999)")</f>
        <v>TV Series 1994–1999)</v>
      </c>
    </row>
    <row r="1316" spans="1:5" ht="13" x14ac:dyDescent="0.15">
      <c r="A1316" s="5" t="s">
        <v>1741</v>
      </c>
      <c r="D1316" t="str">
        <f ca="1">IFERROR(__xludf.DUMMYFUNCTION("split(A1316,""("")"),"Harsh Realm ")</f>
        <v xml:space="preserve">Harsh Realm </v>
      </c>
      <c r="E1316" t="str">
        <f ca="1">IFERROR(__xludf.DUMMYFUNCTION("""COMPUTED_VALUE"""),"TV Series 1999–2000)")</f>
        <v>TV Series 1999–2000)</v>
      </c>
    </row>
    <row r="1317" spans="1:5" ht="13" x14ac:dyDescent="0.15">
      <c r="A1317" s="5" t="s">
        <v>1742</v>
      </c>
      <c r="D1317" t="str">
        <f ca="1">IFERROR(__xludf.DUMMYFUNCTION("split(A1317,""("")"),"Hart of Dixie ")</f>
        <v xml:space="preserve">Hart of Dixie </v>
      </c>
      <c r="E1317" t="str">
        <f ca="1">IFERROR(__xludf.DUMMYFUNCTION("""COMPUTED_VALUE"""),"TV Series 2011–2015)")</f>
        <v>TV Series 2011–2015)</v>
      </c>
    </row>
    <row r="1318" spans="1:5" ht="13" x14ac:dyDescent="0.15">
      <c r="A1318" s="5" t="s">
        <v>1743</v>
      </c>
      <c r="D1318" t="str">
        <f ca="1">IFERROR(__xludf.DUMMYFUNCTION("split(A1318,""("")"),"Harvard Court ")</f>
        <v xml:space="preserve">Harvard Court </v>
      </c>
      <c r="E1318" t="str">
        <f ca="1">IFERROR(__xludf.DUMMYFUNCTION("""COMPUTED_VALUE"""),"TV Series 2012– )")</f>
        <v>TV Series 2012– )</v>
      </c>
    </row>
    <row r="1319" spans="1:5" ht="13" x14ac:dyDescent="0.15">
      <c r="A1319" s="5" t="s">
        <v>1744</v>
      </c>
      <c r="D1319" t="str">
        <f ca="1">IFERROR(__xludf.DUMMYFUNCTION("split(A1319,""("")"),"Harvey Birdman, Attorney at Law ")</f>
        <v xml:space="preserve">Harvey Birdman, Attorney at Law </v>
      </c>
      <c r="E1319" t="str">
        <f ca="1">IFERROR(__xludf.DUMMYFUNCTION("""COMPUTED_VALUE"""),"TV Series 2000–2007)")</f>
        <v>TV Series 2000–2007)</v>
      </c>
    </row>
    <row r="1320" spans="1:5" ht="13" x14ac:dyDescent="0.15">
      <c r="A1320" s="5" t="s">
        <v>1745</v>
      </c>
      <c r="D1320" t="str">
        <f ca="1">IFERROR(__xludf.DUMMYFUNCTION("split(A1320,""("")"),"Hasta que el dinero nos separe ")</f>
        <v xml:space="preserve">Hasta que el dinero nos separe </v>
      </c>
      <c r="E1320" t="str">
        <f ca="1">IFERROR(__xludf.DUMMYFUNCTION("""COMPUTED_VALUE"""),"TV Series 2009–2010)")</f>
        <v>TV Series 2009–2010)</v>
      </c>
    </row>
    <row r="1321" spans="1:5" ht="13" x14ac:dyDescent="0.15">
      <c r="A1321" s="5" t="s">
        <v>1746</v>
      </c>
      <c r="D1321" t="str">
        <f ca="1">IFERROR(__xludf.DUMMYFUNCTION("split(A1321,""("")"),"Hatched ")</f>
        <v xml:space="preserve">Hatched </v>
      </c>
      <c r="E1321" t="str">
        <f ca="1">IFERROR(__xludf.DUMMYFUNCTION("""COMPUTED_VALUE"""),"TV Series 2015– )")</f>
        <v>TV Series 2015– )</v>
      </c>
    </row>
    <row r="1322" spans="1:5" ht="13" x14ac:dyDescent="0.15">
      <c r="A1322" s="5" t="s">
        <v>1747</v>
      </c>
      <c r="D1322" t="str">
        <f ca="1">IFERROR(__xludf.DUMMYFUNCTION("split(A1322,""("")"),"Haven ")</f>
        <v xml:space="preserve">Haven </v>
      </c>
      <c r="E1322" t="str">
        <f ca="1">IFERROR(__xludf.DUMMYFUNCTION("""COMPUTED_VALUE"""),"TV Series 2010–2015)")</f>
        <v>TV Series 2010–2015)</v>
      </c>
    </row>
    <row r="1323" spans="1:5" ht="13" x14ac:dyDescent="0.15">
      <c r="A1323" s="5" t="s">
        <v>585</v>
      </c>
      <c r="D1323" t="str">
        <f ca="1">IFERROR(__xludf.DUMMYFUNCTION("split(A1323,""("")"),"Hawaii Five-0 ")</f>
        <v xml:space="preserve">Hawaii Five-0 </v>
      </c>
      <c r="E1323" t="str">
        <f ca="1">IFERROR(__xludf.DUMMYFUNCTION("""COMPUTED_VALUE"""),"TV Series 2010– )")</f>
        <v>TV Series 2010– )</v>
      </c>
    </row>
    <row r="1324" spans="1:5" ht="13" x14ac:dyDescent="0.15">
      <c r="A1324" s="5" t="s">
        <v>1748</v>
      </c>
      <c r="D1324" t="str">
        <f ca="1">IFERROR(__xludf.DUMMYFUNCTION("split(A1324,""("")"),"Hawthorne ")</f>
        <v xml:space="preserve">Hawthorne </v>
      </c>
      <c r="E1324" t="str">
        <f ca="1">IFERROR(__xludf.DUMMYFUNCTION("""COMPUTED_VALUE"""),"TV Series 2009–2011)")</f>
        <v>TV Series 2009–2011)</v>
      </c>
    </row>
    <row r="1325" spans="1:5" ht="13" x14ac:dyDescent="0.15">
      <c r="A1325" s="5" t="s">
        <v>68</v>
      </c>
      <c r="D1325" t="str">
        <f ca="1">IFERROR(__xludf.DUMMYFUNCTION("split(A1325,""("")"),"He-Man and the Masters of the Universe ")</f>
        <v xml:space="preserve">He-Man and the Masters of the Universe </v>
      </c>
      <c r="E1325" t="str">
        <f ca="1">IFERROR(__xludf.DUMMYFUNCTION("""COMPUTED_VALUE"""),"TV Series 1983–1985)")</f>
        <v>TV Series 1983–1985)</v>
      </c>
    </row>
    <row r="1326" spans="1:5" ht="13" x14ac:dyDescent="0.15">
      <c r="A1326" s="5" t="s">
        <v>1749</v>
      </c>
      <c r="D1326" t="str">
        <f ca="1">IFERROR(__xludf.DUMMYFUNCTION("split(A1326,""("")"),"Hear No Evil ")</f>
        <v xml:space="preserve">Hear No Evil </v>
      </c>
      <c r="E1326" t="str">
        <f ca="1">IFERROR(__xludf.DUMMYFUNCTION("""COMPUTED_VALUE"""),"TV Series 2017– )")</f>
        <v>TV Series 2017– )</v>
      </c>
    </row>
    <row r="1327" spans="1:5" ht="13" x14ac:dyDescent="0.15">
      <c r="A1327" s="5" t="s">
        <v>1750</v>
      </c>
      <c r="D1327" t="str">
        <f ca="1">IFERROR(__xludf.DUMMYFUNCTION("split(A1327,""("")"),"Heartbeat ")</f>
        <v xml:space="preserve">Heartbeat </v>
      </c>
      <c r="E1327" t="str">
        <f ca="1">IFERROR(__xludf.DUMMYFUNCTION("""COMPUTED_VALUE"""),"TV Series 1992–2010)")</f>
        <v>TV Series 1992–2010)</v>
      </c>
    </row>
    <row r="1328" spans="1:5" ht="13" x14ac:dyDescent="0.15">
      <c r="A1328" s="5" t="s">
        <v>438</v>
      </c>
      <c r="D1328" t="str">
        <f ca="1">IFERROR(__xludf.DUMMYFUNCTION("split(A1328,""("")"),"Heartbreak High ")</f>
        <v xml:space="preserve">Heartbreak High </v>
      </c>
      <c r="E1328" t="str">
        <f ca="1">IFERROR(__xludf.DUMMYFUNCTION("""COMPUTED_VALUE"""),"TV Series 1994–1999)")</f>
        <v>TV Series 1994–1999)</v>
      </c>
    </row>
    <row r="1329" spans="1:5" ht="13" x14ac:dyDescent="0.15">
      <c r="A1329" s="5" t="s">
        <v>1751</v>
      </c>
      <c r="D1329" t="str">
        <f ca="1">IFERROR(__xludf.DUMMYFUNCTION("split(A1329,""("")"),"Heavy Rescue: 401 ")</f>
        <v xml:space="preserve">Heavy Rescue: 401 </v>
      </c>
      <c r="E1329" t="str">
        <f ca="1">IFERROR(__xludf.DUMMYFUNCTION("""COMPUTED_VALUE"""),"TV Series 2016– )")</f>
        <v>TV Series 2016– )</v>
      </c>
    </row>
    <row r="1330" spans="1:5" ht="13" x14ac:dyDescent="0.15">
      <c r="A1330" s="5" t="s">
        <v>1752</v>
      </c>
      <c r="D1330" t="str">
        <f ca="1">IFERROR(__xludf.DUMMYFUNCTION("split(A1330,""("")"),"Hebburn ")</f>
        <v xml:space="preserve">Hebburn </v>
      </c>
      <c r="E1330" t="str">
        <f ca="1">IFERROR(__xludf.DUMMYFUNCTION("""COMPUTED_VALUE"""),"TV Series 2012– )")</f>
        <v>TV Series 2012– )</v>
      </c>
    </row>
    <row r="1331" spans="1:5" ht="13" x14ac:dyDescent="0.15">
      <c r="A1331" s="5" t="s">
        <v>1753</v>
      </c>
      <c r="D1331" t="str">
        <f ca="1">IFERROR(__xludf.DUMMYFUNCTION("split(A1331,""("")"),"Heer ")</f>
        <v xml:space="preserve">Heer </v>
      </c>
      <c r="E1331" t="str">
        <f ca="1">IFERROR(__xludf.DUMMYFUNCTION("""COMPUTED_VALUE"""),"TV Series 2016–2017)")</f>
        <v>TV Series 2016–2017)</v>
      </c>
    </row>
    <row r="1332" spans="1:5" ht="13" x14ac:dyDescent="0.15">
      <c r="A1332" s="5" t="s">
        <v>1754</v>
      </c>
      <c r="D1332" t="str">
        <f ca="1">IFERROR(__xludf.DUMMYFUNCTION("split(A1332,""("")"),"Heimat 2: Chronicle of a Generation ")</f>
        <v xml:space="preserve">Heimat 2: Chronicle of a Generation </v>
      </c>
      <c r="E1332" t="str">
        <f ca="1">IFERROR(__xludf.DUMMYFUNCTION("""COMPUTED_VALUE"""),"TV Series 1992)")</f>
        <v>TV Series 1992)</v>
      </c>
    </row>
    <row r="1333" spans="1:5" ht="13" x14ac:dyDescent="0.15">
      <c r="A1333" s="5" t="s">
        <v>1755</v>
      </c>
      <c r="D1333" t="str">
        <f ca="1">IFERROR(__xludf.DUMMYFUNCTION("split(A1333,""("")"),"Helix ")</f>
        <v xml:space="preserve">Helix </v>
      </c>
      <c r="E1333" t="str">
        <f ca="1">IFERROR(__xludf.DUMMYFUNCTION("""COMPUTED_VALUE"""),"TV Series 2014–2015)")</f>
        <v>TV Series 2014–2015)</v>
      </c>
    </row>
    <row r="1334" spans="1:5" ht="13" x14ac:dyDescent="0.15">
      <c r="A1334" s="5" t="s">
        <v>1756</v>
      </c>
      <c r="D1334" t="str">
        <f ca="1">IFERROR(__xludf.DUMMYFUNCTION("split(A1334,""("")"),"Hell Girl ")</f>
        <v xml:space="preserve">Hell Girl </v>
      </c>
      <c r="E1334" t="str">
        <f ca="1">IFERROR(__xludf.DUMMYFUNCTION("""COMPUTED_VALUE"""),"TV Series 2005–2006)")</f>
        <v>TV Series 2005–2006)</v>
      </c>
    </row>
    <row r="1335" spans="1:5" ht="13" x14ac:dyDescent="0.15">
      <c r="A1335" s="5" t="s">
        <v>1757</v>
      </c>
      <c r="D1335" t="str">
        <f ca="1">IFERROR(__xludf.DUMMYFUNCTION("split(A1335,""("")"),"Hell on Wheels ")</f>
        <v xml:space="preserve">Hell on Wheels </v>
      </c>
      <c r="E1335" t="str">
        <f ca="1">IFERROR(__xludf.DUMMYFUNCTION("""COMPUTED_VALUE"""),"TV Series 2011–2016)")</f>
        <v>TV Series 2011–2016)</v>
      </c>
    </row>
    <row r="1336" spans="1:5" ht="13" x14ac:dyDescent="0.15">
      <c r="A1336" s="5" t="s">
        <v>304</v>
      </c>
      <c r="D1336" t="str">
        <f ca="1">IFERROR(__xludf.DUMMYFUNCTION("split(A1336,""("")"),"Hell's Kitchen ")</f>
        <v xml:space="preserve">Hell's Kitchen </v>
      </c>
      <c r="E1336" t="str">
        <f ca="1">IFERROR(__xludf.DUMMYFUNCTION("""COMPUTED_VALUE"""),"TV Series 2005– )")</f>
        <v>TV Series 2005– )</v>
      </c>
    </row>
    <row r="1337" spans="1:5" ht="13" x14ac:dyDescent="0.15">
      <c r="A1337" s="5" t="s">
        <v>1758</v>
      </c>
      <c r="D1337" t="str">
        <f ca="1">IFERROR(__xludf.DUMMYFUNCTION("split(A1337,""("")"),"Hello Ladies ")</f>
        <v xml:space="preserve">Hello Ladies </v>
      </c>
      <c r="E1337" t="str">
        <f ca="1">IFERROR(__xludf.DUMMYFUNCTION("""COMPUTED_VALUE"""),"TV Series 2013–2014)")</f>
        <v>TV Series 2013–2014)</v>
      </c>
    </row>
    <row r="1338" spans="1:5" ht="13" x14ac:dyDescent="0.15">
      <c r="A1338" s="5" t="s">
        <v>1759</v>
      </c>
      <c r="D1338" t="str">
        <f ca="1">IFERROR(__xludf.DUMMYFUNCTION("split(A1338,""("")"),"Help! My House Is Haunted ")</f>
        <v xml:space="preserve">Help! My House Is Haunted </v>
      </c>
      <c r="E1338" t="str">
        <f ca="1">IFERROR(__xludf.DUMMYFUNCTION("""COMPUTED_VALUE"""),"TV Series 2018– )")</f>
        <v>TV Series 2018– )</v>
      </c>
    </row>
    <row r="1339" spans="1:5" ht="13" x14ac:dyDescent="0.15">
      <c r="A1339" s="5" t="s">
        <v>23</v>
      </c>
      <c r="D1339" t="str">
        <f ca="1">IFERROR(__xludf.DUMMYFUNCTION("split(A1339,""("")"),"Hemlock Grove ")</f>
        <v xml:space="preserve">Hemlock Grove </v>
      </c>
      <c r="E1339" t="str">
        <f ca="1">IFERROR(__xludf.DUMMYFUNCTION("""COMPUTED_VALUE"""),"TV Series 2013–2015)")</f>
        <v>TV Series 2013–2015)</v>
      </c>
    </row>
    <row r="1340" spans="1:5" ht="13" x14ac:dyDescent="0.15">
      <c r="A1340" s="5" t="s">
        <v>1760</v>
      </c>
      <c r="D1340" t="str">
        <f ca="1">IFERROR(__xludf.DUMMYFUNCTION("split(A1340,""("")"),"Hendysovo Doupe ")</f>
        <v xml:space="preserve">Hendysovo Doupe </v>
      </c>
      <c r="E1340" t="str">
        <f ca="1">IFERROR(__xludf.DUMMYFUNCTION("""COMPUTED_VALUE"""),"TV Series 2016– )")</f>
        <v>TV Series 2016– )</v>
      </c>
    </row>
    <row r="1341" spans="1:5" ht="13" x14ac:dyDescent="0.15">
      <c r="A1341" s="5" t="s">
        <v>1761</v>
      </c>
      <c r="D1341" t="str">
        <f ca="1">IFERROR(__xludf.DUMMYFUNCTION("split(A1341,""("")"),"Henry Danger ")</f>
        <v xml:space="preserve">Henry Danger </v>
      </c>
      <c r="E1341" t="str">
        <f ca="1">IFERROR(__xludf.DUMMYFUNCTION("""COMPUTED_VALUE"""),"TV Series 2014– )")</f>
        <v>TV Series 2014– )</v>
      </c>
    </row>
    <row r="1342" spans="1:5" ht="13" x14ac:dyDescent="0.15">
      <c r="A1342" s="5" t="s">
        <v>1762</v>
      </c>
      <c r="D1342" t="str">
        <f ca="1">IFERROR(__xludf.DUMMYFUNCTION("split(A1342,""("")"),"Henry Hugglemonster ")</f>
        <v xml:space="preserve">Henry Hugglemonster </v>
      </c>
      <c r="E1342" t="str">
        <f ca="1">IFERROR(__xludf.DUMMYFUNCTION("""COMPUTED_VALUE"""),"TV Series 2013– )")</f>
        <v>TV Series 2013– )</v>
      </c>
    </row>
    <row r="1343" spans="1:5" ht="13" x14ac:dyDescent="0.15">
      <c r="A1343" s="5" t="s">
        <v>1763</v>
      </c>
      <c r="D1343" t="str">
        <f ca="1">IFERROR(__xludf.DUMMYFUNCTION("split(A1343,""("")"),"Hercules ")</f>
        <v xml:space="preserve">Hercules </v>
      </c>
      <c r="E1343" t="str">
        <f ca="1">IFERROR(__xludf.DUMMYFUNCTION("""COMPUTED_VALUE"""),"TV Series 1998–1999)")</f>
        <v>TV Series 1998–1999)</v>
      </c>
    </row>
    <row r="1344" spans="1:5" ht="13" x14ac:dyDescent="0.15">
      <c r="A1344" s="5" t="s">
        <v>1764</v>
      </c>
      <c r="D1344" t="str">
        <f ca="1">IFERROR(__xludf.DUMMYFUNCTION("split(A1344,""("")"),"Hercules: The Legendary Journeys ")</f>
        <v xml:space="preserve">Hercules: The Legendary Journeys </v>
      </c>
      <c r="E1344" t="str">
        <f ca="1">IFERROR(__xludf.DUMMYFUNCTION("""COMPUTED_VALUE"""),"TV Series 1995–1999)")</f>
        <v>TV Series 1995–1999)</v>
      </c>
    </row>
    <row r="1345" spans="1:5" ht="13" x14ac:dyDescent="0.15">
      <c r="A1345" s="5" t="s">
        <v>279</v>
      </c>
      <c r="D1345" t="str">
        <f ca="1">IFERROR(__xludf.DUMMYFUNCTION("split(A1345,""("")"),"Here and Now ")</f>
        <v xml:space="preserve">Here and Now </v>
      </c>
      <c r="E1345" t="str">
        <f ca="1">IFERROR(__xludf.DUMMYFUNCTION("""COMPUTED_VALUE"""),"TV Series 2018– )")</f>
        <v>TV Series 2018– )</v>
      </c>
    </row>
    <row r="1346" spans="1:5" ht="13" x14ac:dyDescent="0.15">
      <c r="A1346" s="5" t="s">
        <v>1765</v>
      </c>
      <c r="D1346" t="str">
        <f ca="1">IFERROR(__xludf.DUMMYFUNCTION("split(A1346,""("")"),"Here Comes Honey Boo Boo ")</f>
        <v xml:space="preserve">Here Comes Honey Boo Boo </v>
      </c>
      <c r="E1346" t="str">
        <f ca="1">IFERROR(__xludf.DUMMYFUNCTION("""COMPUTED_VALUE"""),"TV Series 2012–2017)")</f>
        <v>TV Series 2012–2017)</v>
      </c>
    </row>
    <row r="1347" spans="1:5" ht="13" x14ac:dyDescent="0.15">
      <c r="A1347" s="5" t="s">
        <v>1766</v>
      </c>
      <c r="D1347" t="str">
        <f ca="1">IFERROR(__xludf.DUMMYFUNCTION("split(A1347,""("")"),"Heritage Baptist Church ")</f>
        <v xml:space="preserve">Heritage Baptist Church </v>
      </c>
      <c r="E1347" t="str">
        <f ca="1">IFERROR(__xludf.DUMMYFUNCTION("""COMPUTED_VALUE"""),"TV Series 2014– )")</f>
        <v>TV Series 2014– )</v>
      </c>
    </row>
    <row r="1348" spans="1:5" ht="13" x14ac:dyDescent="0.15">
      <c r="A1348" s="5" t="s">
        <v>676</v>
      </c>
      <c r="D1348" t="str">
        <f ca="1">IFERROR(__xludf.DUMMYFUNCTION("split(A1348,""("")"),"Heroes ")</f>
        <v xml:space="preserve">Heroes </v>
      </c>
      <c r="E1348" t="str">
        <f ca="1">IFERROR(__xludf.DUMMYFUNCTION("""COMPUTED_VALUE"""),"TV Series 2006–2010)")</f>
        <v>TV Series 2006–2010)</v>
      </c>
    </row>
    <row r="1349" spans="1:5" ht="13" x14ac:dyDescent="0.15">
      <c r="A1349" s="5" t="s">
        <v>1767</v>
      </c>
      <c r="D1349" t="str">
        <f ca="1">IFERROR(__xludf.DUMMYFUNCTION("split(A1349,""("")"),"Heroes of the Public Sector ")</f>
        <v xml:space="preserve">Heroes of the Public Sector </v>
      </c>
      <c r="E1349" t="str">
        <f ca="1">IFERROR(__xludf.DUMMYFUNCTION("""COMPUTED_VALUE"""),"TV Series 2019– )")</f>
        <v>TV Series 2019– )</v>
      </c>
    </row>
    <row r="1350" spans="1:5" ht="13" x14ac:dyDescent="0.15">
      <c r="A1350" s="5" t="s">
        <v>1768</v>
      </c>
      <c r="D1350" t="str">
        <f ca="1">IFERROR(__xludf.DUMMYFUNCTION("split(A1350,""("")"),"Hetalia: Axis Powers ")</f>
        <v xml:space="preserve">Hetalia: Axis Powers </v>
      </c>
      <c r="E1350" t="str">
        <f ca="1">IFERROR(__xludf.DUMMYFUNCTION("""COMPUTED_VALUE"""),"TV Series 2009– )")</f>
        <v>TV Series 2009– )</v>
      </c>
    </row>
    <row r="1351" spans="1:5" ht="13" x14ac:dyDescent="0.15">
      <c r="A1351" s="5" t="s">
        <v>1769</v>
      </c>
      <c r="D1351" t="str">
        <f ca="1">IFERROR(__xludf.DUMMYFUNCTION("split(A1351,""("")"),"Hetty Feather ")</f>
        <v xml:space="preserve">Hetty Feather </v>
      </c>
      <c r="E1351" t="str">
        <f ca="1">IFERROR(__xludf.DUMMYFUNCTION("""COMPUTED_VALUE"""),"TV Series 2015– )")</f>
        <v>TV Series 2015– )</v>
      </c>
    </row>
    <row r="1352" spans="1:5" ht="13" x14ac:dyDescent="0.15">
      <c r="A1352" s="5" t="s">
        <v>1770</v>
      </c>
      <c r="D1352" t="str">
        <f ca="1">IFERROR(__xludf.DUMMYFUNCTION("split(A1352,""("")"),"Hetty Wainthropp Investigates ")</f>
        <v xml:space="preserve">Hetty Wainthropp Investigates </v>
      </c>
      <c r="E1352" t="str">
        <f ca="1">IFERROR(__xludf.DUMMYFUNCTION("""COMPUTED_VALUE"""),"TV Series 1996–1998)")</f>
        <v>TV Series 1996–1998)</v>
      </c>
    </row>
    <row r="1353" spans="1:5" ht="13" x14ac:dyDescent="0.15">
      <c r="A1353" s="5" t="s">
        <v>1771</v>
      </c>
      <c r="D1353" t="str">
        <f ca="1">IFERROR(__xludf.DUMMYFUNCTION("split(A1353,""("")"),"Hey Arnold! ")</f>
        <v xml:space="preserve">Hey Arnold! </v>
      </c>
      <c r="E1353" t="str">
        <f ca="1">IFERROR(__xludf.DUMMYFUNCTION("""COMPUTED_VALUE"""),"TV Series 1994–2004)")</f>
        <v>TV Series 1994–2004)</v>
      </c>
    </row>
    <row r="1354" spans="1:5" ht="13" x14ac:dyDescent="0.15">
      <c r="A1354" s="5" t="s">
        <v>1772</v>
      </c>
      <c r="D1354" t="str">
        <f ca="1">IFERROR(__xludf.DUMMYFUNCTION("split(A1354,""("")"),"Hey Dad..! ")</f>
        <v xml:space="preserve">Hey Dad..! </v>
      </c>
      <c r="E1354" t="str">
        <f ca="1">IFERROR(__xludf.DUMMYFUNCTION("""COMPUTED_VALUE"""),"TV Series 1987–1994)")</f>
        <v>TV Series 1987–1994)</v>
      </c>
    </row>
    <row r="1355" spans="1:5" ht="13" x14ac:dyDescent="0.15">
      <c r="A1355" s="5" t="s">
        <v>1773</v>
      </c>
      <c r="D1355" t="str">
        <f ca="1">IFERROR(__xludf.DUMMYFUNCTION("split(A1355,""("")"),"Hey Meisha ")</f>
        <v xml:space="preserve">Hey Meisha </v>
      </c>
      <c r="E1355" t="str">
        <f ca="1">IFERROR(__xludf.DUMMYFUNCTION("""COMPUTED_VALUE"""),"TV Series 2019– )")</f>
        <v>TV Series 2019– )</v>
      </c>
    </row>
    <row r="1356" spans="1:5" ht="13" x14ac:dyDescent="0.15">
      <c r="A1356" s="5" t="s">
        <v>1774</v>
      </c>
      <c r="D1356" t="str">
        <f ca="1">IFERROR(__xludf.DUMMYFUNCTION("split(A1356,""("")"),"Hi-5 ")</f>
        <v xml:space="preserve">Hi-5 </v>
      </c>
      <c r="E1356" t="str">
        <f ca="1">IFERROR(__xludf.DUMMYFUNCTION("""COMPUTED_VALUE"""),"TV Series 2003–2009)")</f>
        <v>TV Series 2003–2009)</v>
      </c>
    </row>
    <row r="1357" spans="1:5" ht="13" x14ac:dyDescent="0.15">
      <c r="A1357" s="5" t="s">
        <v>586</v>
      </c>
      <c r="D1357" t="str">
        <f ca="1">IFERROR(__xludf.DUMMYFUNCTION("split(A1357,""("")"),"Hi-5 vs. Hi-5 House ")</f>
        <v xml:space="preserve">Hi-5 vs. Hi-5 House </v>
      </c>
      <c r="E1357" t="str">
        <f ca="1">IFERROR(__xludf.DUMMYFUNCTION("""COMPUTED_VALUE"""),"TV Series 2008–2016)")</f>
        <v>TV Series 2008–2016)</v>
      </c>
    </row>
    <row r="1358" spans="1:5" ht="13" x14ac:dyDescent="0.15">
      <c r="A1358" s="5" t="s">
        <v>1775</v>
      </c>
      <c r="D1358" t="str">
        <f ca="1">IFERROR(__xludf.DUMMYFUNCTION("split(A1358,""("")"),"Hi-de-Hi! ")</f>
        <v xml:space="preserve">Hi-de-Hi! </v>
      </c>
      <c r="E1358" t="str">
        <f ca="1">IFERROR(__xludf.DUMMYFUNCTION("""COMPUTED_VALUE"""),"TV Series 1980–1988)")</f>
        <v>TV Series 1980–1988)</v>
      </c>
    </row>
    <row r="1359" spans="1:5" ht="13" x14ac:dyDescent="0.15">
      <c r="A1359" s="5" t="s">
        <v>1776</v>
      </c>
      <c r="D1359" t="str">
        <f ca="1">IFERROR(__xludf.DUMMYFUNCTION("split(A1359,""("")"),"Hidden ")</f>
        <v xml:space="preserve">Hidden </v>
      </c>
      <c r="E1359" t="str">
        <f ca="1">IFERROR(__xludf.DUMMYFUNCTION("""COMPUTED_VALUE"""),"TV Series 2018– )")</f>
        <v>TV Series 2018– )</v>
      </c>
    </row>
    <row r="1360" spans="1:5" ht="13" x14ac:dyDescent="0.15">
      <c r="A1360" s="5" t="s">
        <v>1777</v>
      </c>
      <c r="D1360" t="str">
        <f ca="1">IFERROR(__xludf.DUMMYFUNCTION("split(A1360,""("")"),"Hidden Truths ")</f>
        <v xml:space="preserve">Hidden Truths </v>
      </c>
      <c r="E1360" t="str">
        <f ca="1">IFERROR(__xludf.DUMMYFUNCTION("""COMPUTED_VALUE"""),"TV Series 2015)")</f>
        <v>TV Series 2015)</v>
      </c>
    </row>
    <row r="1361" spans="1:5" ht="13" x14ac:dyDescent="0.15">
      <c r="A1361" s="5" t="s">
        <v>1778</v>
      </c>
      <c r="D1361" t="str">
        <f ca="1">IFERROR(__xludf.DUMMYFUNCTION("split(A1361,""("")"),"High School Confidential ")</f>
        <v xml:space="preserve">High School Confidential </v>
      </c>
      <c r="E1361" t="str">
        <f ca="1">IFERROR(__xludf.DUMMYFUNCTION("""COMPUTED_VALUE"""),"TV Series 2008– )")</f>
        <v>TV Series 2008– )</v>
      </c>
    </row>
    <row r="1362" spans="1:5" ht="13" x14ac:dyDescent="0.15">
      <c r="A1362" s="5" t="s">
        <v>1779</v>
      </c>
      <c r="D1362" t="str">
        <f ca="1">IFERROR(__xludf.DUMMYFUNCTION("split(A1362,""("")"),"High School DxD ")</f>
        <v xml:space="preserve">High School DxD </v>
      </c>
      <c r="E1362" t="str">
        <f ca="1">IFERROR(__xludf.DUMMYFUNCTION("""COMPUTED_VALUE"""),"TV Series 2012– )")</f>
        <v>TV Series 2012– )</v>
      </c>
    </row>
    <row r="1363" spans="1:5" ht="13" x14ac:dyDescent="0.15">
      <c r="A1363" s="5" t="s">
        <v>439</v>
      </c>
      <c r="D1363" t="str">
        <f ca="1">IFERROR(__xludf.DUMMYFUNCTION("split(A1363,""("")"),"High School Musical: The Musical ")</f>
        <v xml:space="preserve">High School Musical: The Musical </v>
      </c>
      <c r="E1363" t="str">
        <f ca="1">IFERROR(__xludf.DUMMYFUNCTION("""COMPUTED_VALUE"""),"TV Series 2019– )")</f>
        <v>TV Series 2019– )</v>
      </c>
    </row>
    <row r="1364" spans="1:5" ht="13" x14ac:dyDescent="0.15">
      <c r="A1364" s="5" t="s">
        <v>1780</v>
      </c>
      <c r="D1364" t="str">
        <f ca="1">IFERROR(__xludf.DUMMYFUNCTION("split(A1364,""("")"),"High Society ")</f>
        <v xml:space="preserve">High Society </v>
      </c>
      <c r="E1364" t="str">
        <f ca="1">IFERROR(__xludf.DUMMYFUNCTION("""COMPUTED_VALUE"""),"TV Series 1995– )")</f>
        <v>TV Series 1995– )</v>
      </c>
    </row>
    <row r="1365" spans="1:5" ht="13" x14ac:dyDescent="0.15">
      <c r="A1365" s="5" t="s">
        <v>440</v>
      </c>
      <c r="D1365" t="str">
        <f ca="1">IFERROR(__xludf.DUMMYFUNCTION("split(A1365,""("")"),"Highlander ")</f>
        <v xml:space="preserve">Highlander </v>
      </c>
      <c r="E1365" t="str">
        <f ca="1">IFERROR(__xludf.DUMMYFUNCTION("""COMPUTED_VALUE"""),"TV Series 1992–1998)")</f>
        <v>TV Series 1992–1998)</v>
      </c>
    </row>
    <row r="1366" spans="1:5" ht="13" x14ac:dyDescent="0.15">
      <c r="A1366" s="5" t="s">
        <v>587</v>
      </c>
      <c r="D1366" t="str">
        <f ca="1">IFERROR(__xludf.DUMMYFUNCTION("split(A1366,""("")"),"Highlander: The Animated Series ")</f>
        <v xml:space="preserve">Highlander: The Animated Series </v>
      </c>
      <c r="E1366" t="str">
        <f ca="1">IFERROR(__xludf.DUMMYFUNCTION("""COMPUTED_VALUE"""),"TV Series 1994– )")</f>
        <v>TV Series 1994– )</v>
      </c>
    </row>
    <row r="1367" spans="1:5" ht="13" x14ac:dyDescent="0.15">
      <c r="A1367" s="5" t="s">
        <v>588</v>
      </c>
      <c r="D1367" t="str">
        <f ca="1">IFERROR(__xludf.DUMMYFUNCTION("split(A1367,""("")"),"Highlander: The Raven ")</f>
        <v xml:space="preserve">Highlander: The Raven </v>
      </c>
      <c r="E1367" t="str">
        <f ca="1">IFERROR(__xludf.DUMMYFUNCTION("""COMPUTED_VALUE"""),"TV Series 1998–1999)")</f>
        <v>TV Series 1998–1999)</v>
      </c>
    </row>
    <row r="1368" spans="1:5" ht="13" x14ac:dyDescent="0.15">
      <c r="A1368" s="5" t="s">
        <v>1781</v>
      </c>
      <c r="D1368" t="str">
        <f ca="1">IFERROR(__xludf.DUMMYFUNCTION("split(A1368,""("")"),"Highway Thru Hell ")</f>
        <v xml:space="preserve">Highway Thru Hell </v>
      </c>
      <c r="E1368" t="str">
        <f ca="1">IFERROR(__xludf.DUMMYFUNCTION("""COMPUTED_VALUE"""),"TV Series 2011– )")</f>
        <v>TV Series 2011– )</v>
      </c>
    </row>
    <row r="1369" spans="1:5" ht="13" x14ac:dyDescent="0.15">
      <c r="A1369" s="5" t="s">
        <v>1782</v>
      </c>
      <c r="D1369" t="str">
        <f ca="1">IFERROR(__xludf.DUMMYFUNCTION("split(A1369,""("")"),"Hilda ")</f>
        <v xml:space="preserve">Hilda </v>
      </c>
      <c r="E1369" t="str">
        <f ca="1">IFERROR(__xludf.DUMMYFUNCTION("""COMPUTED_VALUE"""),"TV Series 2018–2020)")</f>
        <v>TV Series 2018–2020)</v>
      </c>
    </row>
    <row r="1370" spans="1:5" ht="13" x14ac:dyDescent="0.15">
      <c r="A1370" s="5" t="s">
        <v>1783</v>
      </c>
      <c r="D1370" t="str">
        <f ca="1">IFERROR(__xludf.DUMMYFUNCTION("split(A1370,""("")"),"Hill Street Blues ")</f>
        <v xml:space="preserve">Hill Street Blues </v>
      </c>
      <c r="E1370" t="str">
        <f ca="1">IFERROR(__xludf.DUMMYFUNCTION("""COMPUTED_VALUE"""),"TV Series 1981–1987)")</f>
        <v>TV Series 1981–1987)</v>
      </c>
    </row>
    <row r="1371" spans="1:5" ht="13" x14ac:dyDescent="0.15">
      <c r="A1371" s="5" t="s">
        <v>1784</v>
      </c>
      <c r="D1371" t="str">
        <f ca="1">IFERROR(__xludf.DUMMYFUNCTION("split(A1371,""("")"),"Hillbilly Handfishin' ")</f>
        <v xml:space="preserve">Hillbilly Handfishin' </v>
      </c>
      <c r="E1371" t="str">
        <f ca="1">IFERROR(__xludf.DUMMYFUNCTION("""COMPUTED_VALUE"""),"TV Movie 2010)")</f>
        <v>TV Movie 2010)</v>
      </c>
    </row>
    <row r="1372" spans="1:5" ht="13" x14ac:dyDescent="0.15">
      <c r="A1372" s="5" t="s">
        <v>1785</v>
      </c>
      <c r="D1372" t="str">
        <f ca="1">IFERROR(__xludf.DUMMYFUNCTION("split(A1372,""("")"),"Him &amp; Her ")</f>
        <v xml:space="preserve">Him &amp; Her </v>
      </c>
      <c r="E1372" t="str">
        <f ca="1">IFERROR(__xludf.DUMMYFUNCTION("""COMPUTED_VALUE"""),"TV Series 2010–2013)")</f>
        <v>TV Series 2010–2013)</v>
      </c>
    </row>
    <row r="1373" spans="1:5" ht="13" x14ac:dyDescent="0.15">
      <c r="A1373" s="5" t="s">
        <v>1786</v>
      </c>
      <c r="D1373" t="str">
        <f ca="1">IFERROR(__xludf.DUMMYFUNCTION("split(A1373,""("")"),"Himitsu: Top SecretThe Revelation ")</f>
        <v xml:space="preserve">Himitsu: Top SecretThe Revelation </v>
      </c>
      <c r="E1373" t="str">
        <f ca="1">IFERROR(__xludf.DUMMYFUNCTION("""COMPUTED_VALUE"""),"TV Series 2008– )")</f>
        <v>TV Series 2008– )</v>
      </c>
    </row>
    <row r="1374" spans="1:5" ht="13" x14ac:dyDescent="0.15">
      <c r="A1374" s="5" t="s">
        <v>1787</v>
      </c>
      <c r="D1374" t="str">
        <f ca="1">IFERROR(__xludf.DUMMYFUNCTION("split(A1374,""("")"),"Hinterland ")</f>
        <v xml:space="preserve">Hinterland </v>
      </c>
      <c r="E1374" t="str">
        <f ca="1">IFERROR(__xludf.DUMMYFUNCTION("""COMPUTED_VALUE"""),"TV Series 2013– )")</f>
        <v>TV Series 2013– )</v>
      </c>
    </row>
    <row r="1375" spans="1:5" ht="13" x14ac:dyDescent="0.15">
      <c r="A1375" s="5" t="s">
        <v>214</v>
      </c>
      <c r="D1375" t="str">
        <f ca="1">IFERROR(__xludf.DUMMYFUNCTION("split(A1375,""("")"),"Hip-Hop Evolution ")</f>
        <v xml:space="preserve">Hip-Hop Evolution </v>
      </c>
      <c r="E1375" t="str">
        <f ca="1">IFERROR(__xludf.DUMMYFUNCTION("""COMPUTED_VALUE"""),"2016)")</f>
        <v>2016)</v>
      </c>
    </row>
    <row r="1376" spans="1:5" ht="13" x14ac:dyDescent="0.15">
      <c r="A1376" s="5" t="s">
        <v>1788</v>
      </c>
      <c r="D1376" t="str">
        <f ca="1">IFERROR(__xludf.DUMMYFUNCTION("split(A1376,""("")"),"His and Her Circumstances ")</f>
        <v xml:space="preserve">His and Her Circumstances </v>
      </c>
      <c r="E1376" t="str">
        <f ca="1">IFERROR(__xludf.DUMMYFUNCTION("""COMPUTED_VALUE"""),"TV Series 1998– )")</f>
        <v>TV Series 1998– )</v>
      </c>
    </row>
    <row r="1377" spans="1:5" ht="13" x14ac:dyDescent="0.15">
      <c r="A1377" s="5" t="s">
        <v>107</v>
      </c>
      <c r="D1377" t="str">
        <f ca="1">IFERROR(__xludf.DUMMYFUNCTION("split(A1377,""("")"),"His Dark Materials ")</f>
        <v xml:space="preserve">His Dark Materials </v>
      </c>
      <c r="E1377" t="str">
        <f ca="1">IFERROR(__xludf.DUMMYFUNCTION("""COMPUTED_VALUE"""),"TV Series 2019– )")</f>
        <v>TV Series 2019– )</v>
      </c>
    </row>
    <row r="1378" spans="1:5" ht="13" x14ac:dyDescent="0.15">
      <c r="A1378" s="5" t="s">
        <v>1789</v>
      </c>
      <c r="D1378" t="str">
        <f ca="1">IFERROR(__xludf.DUMMYFUNCTION("split(A1378,""("")"),"History Bites ")</f>
        <v xml:space="preserve">History Bites </v>
      </c>
      <c r="E1378" t="str">
        <f ca="1">IFERROR(__xludf.DUMMYFUNCTION("""COMPUTED_VALUE"""),"TV Series 1998–2008)")</f>
        <v>TV Series 1998–2008)</v>
      </c>
    </row>
    <row r="1379" spans="1:5" ht="13" x14ac:dyDescent="0.15">
      <c r="A1379" s="5" t="s">
        <v>1790</v>
      </c>
      <c r="D1379" t="str">
        <f ca="1">IFERROR(__xludf.DUMMYFUNCTION("split(A1379,""("")"),"History's Lost &amp; Found ")</f>
        <v xml:space="preserve">History's Lost &amp; Found </v>
      </c>
      <c r="E1379" t="str">
        <f ca="1">IFERROR(__xludf.DUMMYFUNCTION("""COMPUTED_VALUE"""),"TV Series 1999–2005)")</f>
        <v>TV Series 1999–2005)</v>
      </c>
    </row>
    <row r="1380" spans="1:5" ht="13" x14ac:dyDescent="0.15">
      <c r="A1380" s="5" t="s">
        <v>1791</v>
      </c>
      <c r="D1380" t="str">
        <f ca="1">IFERROR(__xludf.DUMMYFUNCTION("split(A1380,""("")"),"Hive Minds ")</f>
        <v xml:space="preserve">Hive Minds </v>
      </c>
      <c r="E1380" t="str">
        <f ca="1">IFERROR(__xludf.DUMMYFUNCTION("""COMPUTED_VALUE"""),"TV Series 2015– )")</f>
        <v>TV Series 2015– )</v>
      </c>
    </row>
    <row r="1381" spans="1:5" ht="13" x14ac:dyDescent="0.15">
      <c r="A1381" s="5" t="s">
        <v>1792</v>
      </c>
      <c r="D1381" t="str">
        <f ca="1">IFERROR(__xludf.DUMMYFUNCTION("split(A1381,""("")"),"Hoarders ")</f>
        <v xml:space="preserve">Hoarders </v>
      </c>
      <c r="E1381" t="str">
        <f ca="1">IFERROR(__xludf.DUMMYFUNCTION("""COMPUTED_VALUE"""),"TV Series 2009– )")</f>
        <v>TV Series 2009– )</v>
      </c>
    </row>
    <row r="1382" spans="1:5" ht="13" x14ac:dyDescent="0.15">
      <c r="A1382" s="5" t="s">
        <v>1793</v>
      </c>
      <c r="D1382" t="str">
        <f ca="1">IFERROR(__xludf.DUMMYFUNCTION("split(A1382,""("")"),"Holby City ")</f>
        <v xml:space="preserve">Holby City </v>
      </c>
      <c r="E1382" t="str">
        <f ca="1">IFERROR(__xludf.DUMMYFUNCTION("""COMPUTED_VALUE"""),"TV Series 1999– )")</f>
        <v>TV Series 1999– )</v>
      </c>
    </row>
    <row r="1383" spans="1:5" ht="13" x14ac:dyDescent="0.15">
      <c r="A1383" s="5" t="s">
        <v>1794</v>
      </c>
      <c r="D1383" t="str">
        <f ca="1">IFERROR(__xludf.DUMMYFUNCTION("split(A1383,""("")"),"Hold the Sunset ")</f>
        <v xml:space="preserve">Hold the Sunset </v>
      </c>
      <c r="E1383" t="str">
        <f ca="1">IFERROR(__xludf.DUMMYFUNCTION("""COMPUTED_VALUE"""),"TV Series 2018– )")</f>
        <v>TV Series 2018– )</v>
      </c>
    </row>
    <row r="1384" spans="1:5" ht="13" x14ac:dyDescent="0.15">
      <c r="A1384" s="5" t="s">
        <v>1795</v>
      </c>
      <c r="D1384" t="str">
        <f ca="1">IFERROR(__xludf.DUMMYFUNCTION("split(A1384,""("")"),"Holey Moley ")</f>
        <v xml:space="preserve">Holey Moley </v>
      </c>
      <c r="E1384" t="str">
        <f ca="1">IFERROR(__xludf.DUMMYFUNCTION("""COMPUTED_VALUE"""),"TV Series 2019– )")</f>
        <v>TV Series 2019– )</v>
      </c>
    </row>
    <row r="1385" spans="1:5" ht="13" x14ac:dyDescent="0.15">
      <c r="A1385" s="5" t="s">
        <v>1796</v>
      </c>
      <c r="D1385" t="str">
        <f ca="1">IFERROR(__xludf.DUMMYFUNCTION("split(A1385,""("")"),"Holiday Baking Championship ")</f>
        <v xml:space="preserve">Holiday Baking Championship </v>
      </c>
      <c r="E1385" t="str">
        <f ca="1">IFERROR(__xludf.DUMMYFUNCTION("""COMPUTED_VALUE"""),"TV Series 2014– )")</f>
        <v>TV Series 2014– )</v>
      </c>
    </row>
    <row r="1386" spans="1:5" ht="13" x14ac:dyDescent="0.15">
      <c r="A1386" s="5" t="s">
        <v>1797</v>
      </c>
      <c r="D1386" t="str">
        <f ca="1">IFERROR(__xludf.DUMMYFUNCTION("split(A1386,""("")"),"Hollyoaks ")</f>
        <v xml:space="preserve">Hollyoaks </v>
      </c>
      <c r="E1386" t="str">
        <f ca="1">IFERROR(__xludf.DUMMYFUNCTION("""COMPUTED_VALUE"""),"TV Series 1995– )")</f>
        <v>TV Series 1995– )</v>
      </c>
    </row>
    <row r="1387" spans="1:5" ht="13" x14ac:dyDescent="0.15">
      <c r="A1387" s="5" t="s">
        <v>1798</v>
      </c>
      <c r="D1387" t="str">
        <f ca="1">IFERROR(__xludf.DUMMYFUNCTION("split(A1387,""("")"),"Hollywood Game Night ")</f>
        <v xml:space="preserve">Hollywood Game Night </v>
      </c>
      <c r="E1387" t="str">
        <f ca="1">IFERROR(__xludf.DUMMYFUNCTION("""COMPUTED_VALUE"""),"TV Series 2013– )")</f>
        <v>TV Series 2013– )</v>
      </c>
    </row>
    <row r="1388" spans="1:5" ht="13" x14ac:dyDescent="0.15">
      <c r="A1388" s="5" t="s">
        <v>1799</v>
      </c>
      <c r="D1388" t="str">
        <f ca="1">IFERROR(__xludf.DUMMYFUNCTION("split(A1388,""("")"),"Hollywood Horrors ")</f>
        <v xml:space="preserve">Hollywood Horrors </v>
      </c>
      <c r="E1388" t="str">
        <f ca="1">IFERROR(__xludf.DUMMYFUNCTION("""COMPUTED_VALUE"""),"TV Series 2018– )")</f>
        <v>TV Series 2018– )</v>
      </c>
    </row>
    <row r="1389" spans="1:5" ht="13" x14ac:dyDescent="0.15">
      <c r="A1389" s="5" t="s">
        <v>1800</v>
      </c>
      <c r="D1389" t="str">
        <f ca="1">IFERROR(__xludf.DUMMYFUNCTION("split(A1389,""("")"),"Hollywood Medium ")</f>
        <v xml:space="preserve">Hollywood Medium </v>
      </c>
      <c r="E1389" t="str">
        <f ca="1">IFERROR(__xludf.DUMMYFUNCTION("""COMPUTED_VALUE"""),"TV Series 2016– )")</f>
        <v>TV Series 2016– )</v>
      </c>
    </row>
    <row r="1390" spans="1:5" ht="13" x14ac:dyDescent="0.15">
      <c r="A1390" s="7" t="s">
        <v>1801</v>
      </c>
      <c r="D1390" t="str">
        <f ca="1">IFERROR(__xludf.DUMMYFUNCTION("split(A1390,""("")"),"Hollywood the Golden Years: The RKO Story ")</f>
        <v xml:space="preserve">Hollywood the Golden Years: The RKO Story </v>
      </c>
      <c r="E1390" t="str">
        <f ca="1">IFERROR(__xludf.DUMMYFUNCTION("""COMPUTED_VALUE"""),"TV Series 1987– )")</f>
        <v>TV Series 1987– )</v>
      </c>
    </row>
    <row r="1391" spans="1:5" ht="13" x14ac:dyDescent="0.15">
      <c r="A1391" s="5" t="s">
        <v>441</v>
      </c>
      <c r="D1391" t="str">
        <f ca="1">IFERROR(__xludf.DUMMYFUNCTION("split(A1391,""("")"),"Home Alone ")</f>
        <v xml:space="preserve">Home Alone </v>
      </c>
      <c r="E1391" t="str">
        <f ca="1">IFERROR(__xludf.DUMMYFUNCTION("""COMPUTED_VALUE"""),"TV Series 2017– )")</f>
        <v>TV Series 2017– )</v>
      </c>
    </row>
    <row r="1392" spans="1:5" ht="13" x14ac:dyDescent="0.15">
      <c r="A1392" s="5" t="s">
        <v>1802</v>
      </c>
      <c r="D1392" t="str">
        <f ca="1">IFERROR(__xludf.DUMMYFUNCTION("split(A1392,""("")"),"Home and Away ")</f>
        <v xml:space="preserve">Home and Away </v>
      </c>
      <c r="E1392" t="str">
        <f ca="1">IFERROR(__xludf.DUMMYFUNCTION("""COMPUTED_VALUE"""),"TV Series 1988– )")</f>
        <v>TV Series 1988– )</v>
      </c>
    </row>
    <row r="1393" spans="1:5" ht="13" x14ac:dyDescent="0.15">
      <c r="A1393" s="5" t="s">
        <v>1803</v>
      </c>
      <c r="D1393" t="str">
        <f ca="1">IFERROR(__xludf.DUMMYFUNCTION("split(A1393,""("")"),"Home Brewed ")</f>
        <v xml:space="preserve">Home Brewed </v>
      </c>
      <c r="E1393" t="str">
        <f ca="1">IFERROR(__xludf.DUMMYFUNCTION("""COMPUTED_VALUE"""),"TV Series 2012– )")</f>
        <v>TV Series 2012– )</v>
      </c>
    </row>
    <row r="1394" spans="1:5" ht="13" x14ac:dyDescent="0.15">
      <c r="A1394" s="5" t="s">
        <v>1804</v>
      </c>
      <c r="D1394" t="str">
        <f ca="1">IFERROR(__xludf.DUMMYFUNCTION("split(A1394,""("")"),"Home Cooking Made Easy ")</f>
        <v xml:space="preserve">Home Cooking Made Easy </v>
      </c>
      <c r="E1394" t="str">
        <f ca="1">IFERROR(__xludf.DUMMYFUNCTION("""COMPUTED_VALUE"""),"TV Series 2011– )")</f>
        <v>TV Series 2011– )</v>
      </c>
    </row>
    <row r="1395" spans="1:5" ht="13" x14ac:dyDescent="0.15">
      <c r="A1395" s="5" t="s">
        <v>1805</v>
      </c>
      <c r="D1395" t="str">
        <f ca="1">IFERROR(__xludf.DUMMYFUNCTION("split(A1395,""("")"),"Home Fires ")</f>
        <v xml:space="preserve">Home Fires </v>
      </c>
      <c r="E1395" t="str">
        <f ca="1">IFERROR(__xludf.DUMMYFUNCTION("""COMPUTED_VALUE"""),"TV Series 2015–2016)")</f>
        <v>TV Series 2015–2016)</v>
      </c>
    </row>
    <row r="1396" spans="1:5" ht="13" x14ac:dyDescent="0.15">
      <c r="A1396" s="5" t="s">
        <v>1806</v>
      </c>
      <c r="D1396" t="str">
        <f ca="1">IFERROR(__xludf.DUMMYFUNCTION("split(A1396,""("")"),"Home Free ")</f>
        <v xml:space="preserve">Home Free </v>
      </c>
      <c r="E1396" t="str">
        <f ca="1">IFERROR(__xludf.DUMMYFUNCTION("""COMPUTED_VALUE"""),"TV Series 2015– )")</f>
        <v>TV Series 2015– )</v>
      </c>
    </row>
    <row r="1397" spans="1:5" ht="13" x14ac:dyDescent="0.15">
      <c r="A1397" s="5" t="s">
        <v>1807</v>
      </c>
      <c r="D1397" t="str">
        <f ca="1">IFERROR(__xludf.DUMMYFUNCTION("split(A1397,""("")"),"Home Improvement ")</f>
        <v xml:space="preserve">Home Improvement </v>
      </c>
      <c r="E1397" t="str">
        <f ca="1">IFERROR(__xludf.DUMMYFUNCTION("""COMPUTED_VALUE"""),"TV Series 1991–1999)")</f>
        <v>TV Series 1991–1999)</v>
      </c>
    </row>
    <row r="1398" spans="1:5" ht="13" x14ac:dyDescent="0.15">
      <c r="A1398" s="5" t="s">
        <v>1808</v>
      </c>
      <c r="D1398" t="str">
        <f ca="1">IFERROR(__xludf.DUMMYFUNCTION("split(A1398,""("")"),"Home Movies ")</f>
        <v xml:space="preserve">Home Movies </v>
      </c>
      <c r="E1398" t="str">
        <f ca="1">IFERROR(__xludf.DUMMYFUNCTION("""COMPUTED_VALUE"""),"TV Series 1999–2004)")</f>
        <v>TV Series 1999–2004)</v>
      </c>
    </row>
    <row r="1399" spans="1:5" ht="13" x14ac:dyDescent="0.15">
      <c r="A1399" s="5" t="s">
        <v>1809</v>
      </c>
      <c r="D1399" t="str">
        <f ca="1">IFERROR(__xludf.DUMMYFUNCTION("split(A1399,""("")"),"Homefront ")</f>
        <v xml:space="preserve">Homefront </v>
      </c>
      <c r="E1399" t="str">
        <f ca="1">IFERROR(__xludf.DUMMYFUNCTION("""COMPUTED_VALUE"""),"TV Series 1991–1993)")</f>
        <v>TV Series 1991–1993)</v>
      </c>
    </row>
    <row r="1400" spans="1:5" ht="13" x14ac:dyDescent="0.15">
      <c r="A1400" s="5" t="s">
        <v>589</v>
      </c>
      <c r="D1400" t="str">
        <f ca="1">IFERROR(__xludf.DUMMYFUNCTION("split(A1400,""("")"),"Homeland ")</f>
        <v xml:space="preserve">Homeland </v>
      </c>
      <c r="E1400" t="str">
        <f ca="1">IFERROR(__xludf.DUMMYFUNCTION("""COMPUTED_VALUE"""),"TV Series 2011– )")</f>
        <v>TV Series 2011– )</v>
      </c>
    </row>
    <row r="1401" spans="1:5" ht="13" x14ac:dyDescent="0.15">
      <c r="A1401" s="5" t="s">
        <v>1810</v>
      </c>
      <c r="D1401" t="str">
        <f ca="1">IFERROR(__xludf.DUMMYFUNCTION("split(A1401,""("")"),"Homicide City ")</f>
        <v xml:space="preserve">Homicide City </v>
      </c>
      <c r="E1401" t="str">
        <f ca="1">IFERROR(__xludf.DUMMYFUNCTION("""COMPUTED_VALUE"""),"TV Series 2018– )")</f>
        <v>TV Series 2018– )</v>
      </c>
    </row>
    <row r="1402" spans="1:5" ht="13" x14ac:dyDescent="0.15">
      <c r="A1402" s="5" t="s">
        <v>1811</v>
      </c>
      <c r="D1402" t="str">
        <f ca="1">IFERROR(__xludf.DUMMYFUNCTION("split(A1402,""("")"),"Homicide Hunter: Lt. Joe Kenda ")</f>
        <v xml:space="preserve">Homicide Hunter: Lt. Joe Kenda </v>
      </c>
      <c r="E1402" t="str">
        <f ca="1">IFERROR(__xludf.DUMMYFUNCTION("""COMPUTED_VALUE"""),"TV Series 2011– )")</f>
        <v>TV Series 2011– )</v>
      </c>
    </row>
    <row r="1403" spans="1:5" ht="13" x14ac:dyDescent="0.15">
      <c r="A1403" s="5" t="s">
        <v>1812</v>
      </c>
      <c r="D1403" t="str">
        <f ca="1">IFERROR(__xludf.DUMMYFUNCTION("split(A1403,""("")"),"Honest ")</f>
        <v xml:space="preserve">Honest </v>
      </c>
      <c r="E1403" t="str">
        <f ca="1">IFERROR(__xludf.DUMMYFUNCTION("""COMPUTED_VALUE"""),"TV Series 2008– )")</f>
        <v>TV Series 2008– )</v>
      </c>
    </row>
    <row r="1404" spans="1:5" ht="13" x14ac:dyDescent="0.15">
      <c r="A1404" s="5" t="s">
        <v>1813</v>
      </c>
      <c r="D1404" t="str">
        <f ca="1">IFERROR(__xludf.DUMMYFUNCTION("split(A1404,""("")"),"Hoof and Safety with Nuzzle and Scratch ")</f>
        <v xml:space="preserve">Hoof and Safety with Nuzzle and Scratch </v>
      </c>
      <c r="E1404" t="str">
        <f ca="1">IFERROR(__xludf.DUMMYFUNCTION("""COMPUTED_VALUE"""),"TV Series 2010– )")</f>
        <v>TV Series 2010– )</v>
      </c>
    </row>
    <row r="1405" spans="1:5" ht="13" x14ac:dyDescent="0.15">
      <c r="A1405" s="5" t="s">
        <v>1814</v>
      </c>
      <c r="D1405" t="str">
        <f ca="1">IFERROR(__xludf.DUMMYFUNCTION("split(A1405,""("")"),"Hope &amp; Faith ")</f>
        <v xml:space="preserve">Hope &amp; Faith </v>
      </c>
      <c r="E1405" t="str">
        <f ca="1">IFERROR(__xludf.DUMMYFUNCTION("""COMPUTED_VALUE"""),"TV Series 2003–2006)")</f>
        <v>TV Series 2003–2006)</v>
      </c>
    </row>
    <row r="1406" spans="1:5" ht="13" x14ac:dyDescent="0.15">
      <c r="A1406" s="5" t="s">
        <v>1815</v>
      </c>
      <c r="D1406" t="str">
        <f ca="1">IFERROR(__xludf.DUMMYFUNCTION("split(A1406,""("")"),"Horizon ")</f>
        <v xml:space="preserve">Horizon </v>
      </c>
      <c r="E1406" t="str">
        <f ca="1">IFERROR(__xludf.DUMMYFUNCTION("""COMPUTED_VALUE"""),"TV Mini-Series 2015– )")</f>
        <v>TV Mini-Series 2015– )</v>
      </c>
    </row>
    <row r="1407" spans="1:5" ht="13" x14ac:dyDescent="0.15">
      <c r="A1407" s="5" t="s">
        <v>1816</v>
      </c>
      <c r="D1407" t="str">
        <f ca="1">IFERROR(__xludf.DUMMYFUNCTION("split(A1407,""("")"),"Horror Hotel ")</f>
        <v xml:space="preserve">Horror Hotel </v>
      </c>
      <c r="E1407" t="str">
        <f ca="1">IFERROR(__xludf.DUMMYFUNCTION("""COMPUTED_VALUE"""),"TV Series 2013– )")</f>
        <v>TV Series 2013– )</v>
      </c>
    </row>
    <row r="1408" spans="1:5" ht="13" x14ac:dyDescent="0.15">
      <c r="A1408" s="5" t="s">
        <v>1817</v>
      </c>
      <c r="D1408" t="str">
        <f ca="1">IFERROR(__xludf.DUMMYFUNCTION("split(A1408,""("")"),"Hospital Central ")</f>
        <v xml:space="preserve">Hospital Central </v>
      </c>
      <c r="E1408" t="str">
        <f ca="1">IFERROR(__xludf.DUMMYFUNCTION("""COMPUTED_VALUE"""),"TV Series 2000–2012)")</f>
        <v>TV Series 2000–2012)</v>
      </c>
    </row>
    <row r="1409" spans="1:5" ht="13" x14ac:dyDescent="0.15">
      <c r="A1409" s="5" t="s">
        <v>1818</v>
      </c>
      <c r="D1409" t="str">
        <f ca="1">IFERROR(__xludf.DUMMYFUNCTION("split(A1409,""("")"),"Hospital IT ")</f>
        <v xml:space="preserve">Hospital IT </v>
      </c>
      <c r="E1409" t="str">
        <f ca="1">IFERROR(__xludf.DUMMYFUNCTION("""COMPUTED_VALUE"""),"TV Series 2017– )")</f>
        <v>TV Series 2017– )</v>
      </c>
    </row>
    <row r="1410" spans="1:5" ht="13" x14ac:dyDescent="0.15">
      <c r="A1410" s="5" t="s">
        <v>1819</v>
      </c>
      <c r="D1410" t="str">
        <f ca="1">IFERROR(__xludf.DUMMYFUNCTION("split(A1410,""("")"),"Hostages ")</f>
        <v xml:space="preserve">Hostages </v>
      </c>
      <c r="E1410" t="str">
        <f ca="1">IFERROR(__xludf.DUMMYFUNCTION("""COMPUTED_VALUE"""),"TV Series 2013–2014)")</f>
        <v>TV Series 2013–2014)</v>
      </c>
    </row>
    <row r="1411" spans="1:5" ht="13" x14ac:dyDescent="0.15">
      <c r="A1411" s="5" t="s">
        <v>1820</v>
      </c>
      <c r="D1411" t="str">
        <f ca="1">IFERROR(__xludf.DUMMYFUNCTION("split(A1411,""("")"),"Hot in Cleveland ")</f>
        <v xml:space="preserve">Hot in Cleveland </v>
      </c>
      <c r="E1411" t="str">
        <f ca="1">IFERROR(__xludf.DUMMYFUNCTION("""COMPUTED_VALUE"""),"TV Series 2010–2015)")</f>
        <v>TV Series 2010–2015)</v>
      </c>
    </row>
    <row r="1412" spans="1:5" ht="13" x14ac:dyDescent="0.15">
      <c r="A1412" s="5" t="s">
        <v>1821</v>
      </c>
      <c r="D1412" t="str">
        <f ca="1">IFERROR(__xludf.DUMMYFUNCTION("split(A1412,""("")"),"Hot Line ")</f>
        <v xml:space="preserve">Hot Line </v>
      </c>
      <c r="E1412" t="str">
        <f ca="1">IFERROR(__xludf.DUMMYFUNCTION("""COMPUTED_VALUE"""),"TV Series 1994– )")</f>
        <v>TV Series 1994– )</v>
      </c>
    </row>
    <row r="1413" spans="1:5" ht="13" x14ac:dyDescent="0.15">
      <c r="A1413" s="5" t="s">
        <v>1822</v>
      </c>
      <c r="D1413" t="str">
        <f ca="1">IFERROR(__xludf.DUMMYFUNCTION("split(A1413,""("")"),"Hot Properties ")</f>
        <v xml:space="preserve">Hot Properties </v>
      </c>
      <c r="E1413" t="str">
        <f ca="1">IFERROR(__xludf.DUMMYFUNCTION("""COMPUTED_VALUE"""),"TV Series 2005)")</f>
        <v>TV Series 2005)</v>
      </c>
    </row>
    <row r="1414" spans="1:5" ht="13" x14ac:dyDescent="0.15">
      <c r="A1414" s="5" t="s">
        <v>1823</v>
      </c>
      <c r="D1414" t="str">
        <f ca="1">IFERROR(__xludf.DUMMYFUNCTION("split(A1414,""("")"),"Hot Pursuit ")</f>
        <v xml:space="preserve">Hot Pursuit </v>
      </c>
      <c r="E1414" t="str">
        <f ca="1">IFERROR(__xludf.DUMMYFUNCTION("""COMPUTED_VALUE"""),"TV Series 1984– )")</f>
        <v>TV Series 1984– )</v>
      </c>
    </row>
    <row r="1415" spans="1:5" ht="13" x14ac:dyDescent="0.15">
      <c r="A1415" s="5" t="s">
        <v>1824</v>
      </c>
      <c r="D1415" t="str">
        <f ca="1">IFERROR(__xludf.DUMMYFUNCTION("split(A1415,""("")"),"Hot Summer Down Under ")</f>
        <v xml:space="preserve">Hot Summer Down Under </v>
      </c>
      <c r="E1415" t="str">
        <f ca="1">IFERROR(__xludf.DUMMYFUNCTION("""COMPUTED_VALUE"""),"TV Series 1998– )")</f>
        <v>TV Series 1998– )</v>
      </c>
    </row>
    <row r="1416" spans="1:5" ht="13" x14ac:dyDescent="0.15">
      <c r="A1416" s="5" t="s">
        <v>503</v>
      </c>
      <c r="D1416" t="str">
        <f ca="1">IFERROR(__xludf.DUMMYFUNCTION("split(A1416,""("")"),"Hot Wheels Challenge Accepted ")</f>
        <v xml:space="preserve">Hot Wheels Challenge Accepted </v>
      </c>
      <c r="E1416" t="str">
        <f ca="1">IFERROR(__xludf.DUMMYFUNCTION("""COMPUTED_VALUE"""),"TV Series 2018– )")</f>
        <v>TV Series 2018– )</v>
      </c>
    </row>
    <row r="1417" spans="1:5" ht="13" x14ac:dyDescent="0.15">
      <c r="A1417" s="5" t="s">
        <v>1825</v>
      </c>
      <c r="D1417" t="str">
        <f ca="1">IFERROR(__xludf.DUMMYFUNCTION("split(A1417,""("")"),"Hotbox ")</f>
        <v xml:space="preserve">Hotbox </v>
      </c>
      <c r="E1417" t="str">
        <f ca="1">IFERROR(__xludf.DUMMYFUNCTION("""COMPUTED_VALUE"""),"TV Series 2009– )")</f>
        <v>TV Series 2009– )</v>
      </c>
    </row>
    <row r="1418" spans="1:5" ht="13" x14ac:dyDescent="0.15">
      <c r="A1418" s="5" t="s">
        <v>1826</v>
      </c>
      <c r="D1418" t="str">
        <f ca="1">IFERROR(__xludf.DUMMYFUNCTION("split(A1418,""("")"),"Hotel Babylon ")</f>
        <v xml:space="preserve">Hotel Babylon </v>
      </c>
      <c r="E1418" t="str">
        <f ca="1">IFERROR(__xludf.DUMMYFUNCTION("""COMPUTED_VALUE"""),"TV Series 2006–2009)")</f>
        <v>TV Series 2006–2009)</v>
      </c>
    </row>
    <row r="1419" spans="1:5" ht="13" x14ac:dyDescent="0.15">
      <c r="A1419" s="5" t="s">
        <v>1827</v>
      </c>
      <c r="D1419" t="str">
        <f ca="1">IFERROR(__xludf.DUMMYFUNCTION("split(A1419,""("")"),"Hotel Cæsar ")</f>
        <v xml:space="preserve">Hotel Cæsar </v>
      </c>
      <c r="E1419" t="str">
        <f ca="1">IFERROR(__xludf.DUMMYFUNCTION("""COMPUTED_VALUE"""),"TV Series 1998– )")</f>
        <v>TV Series 1998– )</v>
      </c>
    </row>
    <row r="1420" spans="1:5" ht="13" x14ac:dyDescent="0.15">
      <c r="A1420" s="5" t="s">
        <v>1828</v>
      </c>
      <c r="D1420" t="str">
        <f ca="1">IFERROR(__xludf.DUMMYFUNCTION("split(A1420,""("")"),"Hotel Hell ")</f>
        <v xml:space="preserve">Hotel Hell </v>
      </c>
      <c r="E1420" t="str">
        <f ca="1">IFERROR(__xludf.DUMMYFUNCTION("""COMPUTED_VALUE"""),"TV Series 2012– )")</f>
        <v>TV Series 2012– )</v>
      </c>
    </row>
    <row r="1421" spans="1:5" ht="13" x14ac:dyDescent="0.15">
      <c r="A1421" s="5" t="s">
        <v>1829</v>
      </c>
      <c r="D1421" t="str">
        <f ca="1">IFERROR(__xludf.DUMMYFUNCTION("split(A1421,""("")"),"Hotel Impossible ")</f>
        <v xml:space="preserve">Hotel Impossible </v>
      </c>
      <c r="E1421" t="str">
        <f ca="1">IFERROR(__xludf.DUMMYFUNCTION("""COMPUTED_VALUE"""),"TV Series 2012– )")</f>
        <v>TV Series 2012– )</v>
      </c>
    </row>
    <row r="1422" spans="1:5" ht="13" x14ac:dyDescent="0.15">
      <c r="A1422" s="5" t="s">
        <v>402</v>
      </c>
      <c r="D1422" t="str">
        <f ca="1">IFERROR(__xludf.DUMMYFUNCTION("split(A1422,""("")"),"Hotel Transylvania: The Series ")</f>
        <v xml:space="preserve">Hotel Transylvania: The Series </v>
      </c>
      <c r="E1422" t="str">
        <f ca="1">IFERROR(__xludf.DUMMYFUNCTION("""COMPUTED_VALUE"""),"TV Series 2017– )")</f>
        <v>TV Series 2017– )</v>
      </c>
    </row>
    <row r="1423" spans="1:5" ht="13" x14ac:dyDescent="0.15">
      <c r="A1423" s="5" t="s">
        <v>1830</v>
      </c>
      <c r="D1423" t="str">
        <f ca="1">IFERROR(__xludf.DUMMYFUNCTION("split(A1423,""("")"),"House ")</f>
        <v xml:space="preserve">House </v>
      </c>
      <c r="E1423" t="str">
        <f ca="1">IFERROR(__xludf.DUMMYFUNCTION("""COMPUTED_VALUE"""),"TV Series 2004–2012)")</f>
        <v>TV Series 2004–2012)</v>
      </c>
    </row>
    <row r="1424" spans="1:5" ht="13" x14ac:dyDescent="0.15">
      <c r="A1424" s="5" t="s">
        <v>1831</v>
      </c>
      <c r="D1424" t="str">
        <f ca="1">IFERROR(__xludf.DUMMYFUNCTION("split(A1424,""("")"),"House Doctor ")</f>
        <v xml:space="preserve">House Doctor </v>
      </c>
      <c r="E1424" t="str">
        <f ca="1">IFERROR(__xludf.DUMMYFUNCTION("""COMPUTED_VALUE"""),"TV Series 1998– )")</f>
        <v>TV Series 1998– )</v>
      </c>
    </row>
    <row r="1425" spans="1:5" ht="13" x14ac:dyDescent="0.15">
      <c r="A1425" s="5" t="s">
        <v>8</v>
      </c>
      <c r="D1425" t="str">
        <f ca="1">IFERROR(__xludf.DUMMYFUNCTION("split(A1425,""("")"),"House of Cards ")</f>
        <v xml:space="preserve">House of Cards </v>
      </c>
      <c r="E1425" t="str">
        <f ca="1">IFERROR(__xludf.DUMMYFUNCTION("""COMPUTED_VALUE"""),"TV Series 2013–2018)")</f>
        <v>TV Series 2013–2018)</v>
      </c>
    </row>
    <row r="1426" spans="1:5" ht="13" x14ac:dyDescent="0.15">
      <c r="A1426" s="5" t="s">
        <v>1832</v>
      </c>
      <c r="D1426" t="str">
        <f ca="1">IFERROR(__xludf.DUMMYFUNCTION("split(A1426,""("")"),"House of DMaaj ")</f>
        <v xml:space="preserve">House of DMaaj </v>
      </c>
      <c r="E1426" t="str">
        <f ca="1">IFERROR(__xludf.DUMMYFUNCTION("""COMPUTED_VALUE"""),"TV Series 2018– )")</f>
        <v>TV Series 2018– )</v>
      </c>
    </row>
    <row r="1427" spans="1:5" ht="13" x14ac:dyDescent="0.15">
      <c r="A1427" s="5" t="s">
        <v>1833</v>
      </c>
      <c r="D1427" t="str">
        <f ca="1">IFERROR(__xludf.DUMMYFUNCTION("split(A1427,""("")"),"House of Horrors: Kidnapped ")</f>
        <v xml:space="preserve">House of Horrors: Kidnapped </v>
      </c>
      <c r="E1427" t="str">
        <f ca="1">IFERROR(__xludf.DUMMYFUNCTION("""COMPUTED_VALUE"""),"TV Series 2014– )")</f>
        <v>TV Series 2014– )</v>
      </c>
    </row>
    <row r="1428" spans="1:5" ht="13" x14ac:dyDescent="0.15">
      <c r="A1428" s="5" t="s">
        <v>215</v>
      </c>
      <c r="D1428" t="str">
        <f ca="1">IFERROR(__xludf.DUMMYFUNCTION("split(A1428,""("")"),"House of Lies ")</f>
        <v xml:space="preserve">House of Lies </v>
      </c>
      <c r="E1428" t="str">
        <f ca="1">IFERROR(__xludf.DUMMYFUNCTION("""COMPUTED_VALUE"""),"TV Series 2012–2016)")</f>
        <v>TV Series 2012–2016)</v>
      </c>
    </row>
    <row r="1429" spans="1:5" ht="13" x14ac:dyDescent="0.15">
      <c r="A1429" s="5" t="s">
        <v>1834</v>
      </c>
      <c r="D1429" t="str">
        <f ca="1">IFERROR(__xludf.DUMMYFUNCTION("split(A1429,""("")"),"House of Mouse ")</f>
        <v xml:space="preserve">House of Mouse </v>
      </c>
      <c r="E1429" t="str">
        <f ca="1">IFERROR(__xludf.DUMMYFUNCTION("""COMPUTED_VALUE"""),"TV Series 2001–2002)")</f>
        <v>TV Series 2001–2002)</v>
      </c>
    </row>
    <row r="1430" spans="1:5" ht="13" x14ac:dyDescent="0.15">
      <c r="A1430" s="5" t="s">
        <v>1835</v>
      </c>
      <c r="D1430" t="str">
        <f ca="1">IFERROR(__xludf.DUMMYFUNCTION("split(A1430,""("")"),"House of Saud: A Family at War ")</f>
        <v xml:space="preserve">House of Saud: A Family at War </v>
      </c>
      <c r="E1430" t="str">
        <f ca="1">IFERROR(__xludf.DUMMYFUNCTION("""COMPUTED_VALUE"""),"TV Series 2018– )")</f>
        <v>TV Series 2018– )</v>
      </c>
    </row>
    <row r="1431" spans="1:5" ht="13" x14ac:dyDescent="0.15">
      <c r="A1431" s="5" t="s">
        <v>1836</v>
      </c>
      <c r="D1431" t="str">
        <f ca="1">IFERROR(__xludf.DUMMYFUNCTION("split(A1431,""("")"),"How Do I Look? ")</f>
        <v xml:space="preserve">How Do I Look? </v>
      </c>
      <c r="E1431" t="str">
        <f ca="1">IFERROR(__xludf.DUMMYFUNCTION("""COMPUTED_VALUE"""),"TV Series 2004– )")</f>
        <v>TV Series 2004– )</v>
      </c>
    </row>
    <row r="1432" spans="1:5" ht="13" x14ac:dyDescent="0.15">
      <c r="A1432" s="5" t="s">
        <v>1837</v>
      </c>
      <c r="D1432" t="str">
        <f ca="1">IFERROR(__xludf.DUMMYFUNCTION("split(A1432,""("")"),"How Do They Do It? ")</f>
        <v xml:space="preserve">How Do They Do It? </v>
      </c>
      <c r="E1432" t="str">
        <f ca="1">IFERROR(__xludf.DUMMYFUNCTION("""COMPUTED_VALUE"""),"TV Series 2006– )")</f>
        <v>TV Series 2006– )</v>
      </c>
    </row>
    <row r="1433" spans="1:5" ht="13" x14ac:dyDescent="0.15">
      <c r="A1433" s="5" t="s">
        <v>1838</v>
      </c>
      <c r="D1433" t="str">
        <f ca="1">IFERROR(__xludf.DUMMYFUNCTION("split(A1433,""("")"),"How I Met Your Mother ")</f>
        <v xml:space="preserve">How I Met Your Mother </v>
      </c>
      <c r="E1433" t="str">
        <f ca="1">IFERROR(__xludf.DUMMYFUNCTION("""COMPUTED_VALUE"""),"TV Series 2005–2014)")</f>
        <v>TV Series 2005–2014)</v>
      </c>
    </row>
    <row r="1434" spans="1:5" ht="13" x14ac:dyDescent="0.15">
      <c r="A1434" s="5" t="s">
        <v>1839</v>
      </c>
      <c r="D1434" t="str">
        <f ca="1">IFERROR(__xludf.DUMMYFUNCTION("split(A1434,""("")"),"How It's Made ")</f>
        <v xml:space="preserve">How It's Made </v>
      </c>
      <c r="E1434" t="str">
        <f ca="1">IFERROR(__xludf.DUMMYFUNCTION("""COMPUTED_VALUE"""),"TV Series 2001– )")</f>
        <v>TV Series 2001– )</v>
      </c>
    </row>
    <row r="1435" spans="1:5" ht="13" x14ac:dyDescent="0.15">
      <c r="A1435" s="5" t="s">
        <v>1840</v>
      </c>
      <c r="D1435" t="str">
        <f ca="1">IFERROR(__xludf.DUMMYFUNCTION("split(A1435,""("")"),"How It's Made: American Made ")</f>
        <v xml:space="preserve">How It's Made: American Made </v>
      </c>
      <c r="E1435" t="str">
        <f ca="1">IFERROR(__xludf.DUMMYFUNCTION("""COMPUTED_VALUE"""),"TV Series 2017– )")</f>
        <v>TV Series 2017– )</v>
      </c>
    </row>
    <row r="1436" spans="1:5" ht="13" x14ac:dyDescent="0.15">
      <c r="A1436" s="5" t="s">
        <v>1841</v>
      </c>
      <c r="D1436" t="str">
        <f ca="1">IFERROR(__xludf.DUMMYFUNCTION("split(A1436,""("")"),"How the Universe Works ")</f>
        <v xml:space="preserve">How the Universe Works </v>
      </c>
      <c r="E1436" t="str">
        <f ca="1">IFERROR(__xludf.DUMMYFUNCTION("""COMPUTED_VALUE"""),"TV Series 2010– )")</f>
        <v>TV Series 2010– )</v>
      </c>
    </row>
    <row r="1437" spans="1:5" ht="13" x14ac:dyDescent="0.15">
      <c r="A1437" s="5" t="s">
        <v>182</v>
      </c>
      <c r="D1437" t="str">
        <f ca="1">IFERROR(__xludf.DUMMYFUNCTION("split(A1437,""("")"),"How to Get Away with Murder ")</f>
        <v xml:space="preserve">How to Get Away with Murder </v>
      </c>
      <c r="E1437" t="str">
        <f ca="1">IFERROR(__xludf.DUMMYFUNCTION("""COMPUTED_VALUE"""),"TV Series 2014– )")</f>
        <v>TV Series 2014– )</v>
      </c>
    </row>
    <row r="1438" spans="1:5" ht="13" x14ac:dyDescent="0.15">
      <c r="A1438" s="5" t="s">
        <v>1842</v>
      </c>
      <c r="D1438" t="str">
        <f ca="1">IFERROR(__xludf.DUMMYFUNCTION("split(A1438,""("")"),"How to Lose Weight Well ")</f>
        <v xml:space="preserve">How to Lose Weight Well </v>
      </c>
      <c r="E1438" t="str">
        <f ca="1">IFERROR(__xludf.DUMMYFUNCTION("""COMPUTED_VALUE"""),"TV Series 2016– )")</f>
        <v>TV Series 2016– )</v>
      </c>
    </row>
    <row r="1439" spans="1:5" ht="13" x14ac:dyDescent="0.15">
      <c r="A1439" s="5" t="s">
        <v>1843</v>
      </c>
      <c r="D1439" t="str">
        <f ca="1">IFERROR(__xludf.DUMMYFUNCTION("split(A1439,""("")"),"How to Make It in America ")</f>
        <v xml:space="preserve">How to Make It in America </v>
      </c>
      <c r="E1439" t="str">
        <f ca="1">IFERROR(__xludf.DUMMYFUNCTION("""COMPUTED_VALUE"""),"TV Series 2010–2011)")</f>
        <v>TV Series 2010–2011)</v>
      </c>
    </row>
    <row r="1440" spans="1:5" ht="13" x14ac:dyDescent="0.15">
      <c r="A1440" s="5" t="s">
        <v>1844</v>
      </c>
      <c r="D1440" t="str">
        <f ca="1">IFERROR(__xludf.DUMMYFUNCTION("split(A1440,""("")"),"HowToBasic ")</f>
        <v xml:space="preserve">HowToBasic </v>
      </c>
      <c r="E1440" t="str">
        <f ca="1">IFERROR(__xludf.DUMMYFUNCTION("""COMPUTED_VALUE"""),"TV Series 2011– )")</f>
        <v>TV Series 2011– )</v>
      </c>
    </row>
    <row r="1441" spans="1:5" ht="13" x14ac:dyDescent="0.15">
      <c r="A1441" s="5" t="s">
        <v>1845</v>
      </c>
      <c r="D1441" t="str">
        <f ca="1">IFERROR(__xludf.DUMMYFUNCTION("split(A1441,""("")"),"Huff ")</f>
        <v xml:space="preserve">Huff </v>
      </c>
      <c r="E1441" t="str">
        <f ca="1">IFERROR(__xludf.DUMMYFUNCTION("""COMPUTED_VALUE"""),"TV Series 2004–2006)")</f>
        <v>TV Series 2004–2006)</v>
      </c>
    </row>
    <row r="1442" spans="1:5" ht="13" x14ac:dyDescent="0.15">
      <c r="A1442" s="5" t="s">
        <v>43</v>
      </c>
      <c r="D1442" t="str">
        <f ca="1">IFERROR(__xludf.DUMMYFUNCTION("split(A1442,""("")"),"Hulk and the Agents of S.M.A.S.H. ")</f>
        <v xml:space="preserve">Hulk and the Agents of S.M.A.S.H. </v>
      </c>
      <c r="E1442" t="str">
        <f ca="1">IFERROR(__xludf.DUMMYFUNCTION("""COMPUTED_VALUE"""),"TV Series 2013–2015)")</f>
        <v>TV Series 2013–2015)</v>
      </c>
    </row>
    <row r="1443" spans="1:5" ht="13" x14ac:dyDescent="0.15">
      <c r="A1443" s="5" t="s">
        <v>1846</v>
      </c>
      <c r="D1443" t="str">
        <f ca="1">IFERROR(__xludf.DUMMYFUNCTION("split(A1443,""("")"),"Hull High ")</f>
        <v xml:space="preserve">Hull High </v>
      </c>
      <c r="E1443" t="str">
        <f ca="1">IFERROR(__xludf.DUMMYFUNCTION("""COMPUTED_VALUE"""),"TV Series 1990– )")</f>
        <v>TV Series 1990– )</v>
      </c>
    </row>
    <row r="1444" spans="1:5" ht="13" x14ac:dyDescent="0.15">
      <c r="A1444" s="5" t="s">
        <v>1847</v>
      </c>
      <c r="D1444" t="str">
        <f ca="1">IFERROR(__xludf.DUMMYFUNCTION("split(A1444,""("")"),"Human Giant ")</f>
        <v xml:space="preserve">Human Giant </v>
      </c>
      <c r="E1444" t="str">
        <f ca="1">IFERROR(__xludf.DUMMYFUNCTION("""COMPUTED_VALUE"""),"TV Series 2007–2008)")</f>
        <v>TV Series 2007–2008)</v>
      </c>
    </row>
    <row r="1445" spans="1:5" ht="13" x14ac:dyDescent="0.15">
      <c r="A1445" s="5" t="s">
        <v>1848</v>
      </c>
      <c r="D1445" t="str">
        <f ca="1">IFERROR(__xludf.DUMMYFUNCTION("split(A1445,""("")"),"Human Target ")</f>
        <v xml:space="preserve">Human Target </v>
      </c>
      <c r="E1445" t="str">
        <f ca="1">IFERROR(__xludf.DUMMYFUNCTION("""COMPUTED_VALUE"""),"TV Series 2010–2011)")</f>
        <v>TV Series 2010–2011)</v>
      </c>
    </row>
    <row r="1446" spans="1:5" ht="13" x14ac:dyDescent="0.15">
      <c r="A1446" s="5" t="s">
        <v>1849</v>
      </c>
      <c r="D1446" t="str">
        <f ca="1">IFERROR(__xludf.DUMMYFUNCTION("split(A1446,""("")"),"Human Weapon ")</f>
        <v xml:space="preserve">Human Weapon </v>
      </c>
      <c r="E1446" t="str">
        <f ca="1">IFERROR(__xludf.DUMMYFUNCTION("""COMPUTED_VALUE"""),"TV Series 2007– )")</f>
        <v>TV Series 2007– )</v>
      </c>
    </row>
    <row r="1447" spans="1:5" ht="13" x14ac:dyDescent="0.15">
      <c r="A1447" s="5" t="s">
        <v>1850</v>
      </c>
      <c r="D1447" t="str">
        <f ca="1">IFERROR(__xludf.DUMMYFUNCTION("split(A1447,""("")"),"Hunderby ")</f>
        <v xml:space="preserve">Hunderby </v>
      </c>
      <c r="E1447" t="str">
        <f ca="1">IFERROR(__xludf.DUMMYFUNCTION("""COMPUTED_VALUE"""),"TV Mini-Series 2012– )")</f>
        <v>TV Mini-Series 2012– )</v>
      </c>
    </row>
    <row r="1448" spans="1:5" ht="13" x14ac:dyDescent="0.15">
      <c r="A1448" s="5" t="s">
        <v>1851</v>
      </c>
      <c r="D1448" t="str">
        <f ca="1">IFERROR(__xludf.DUMMYFUNCTION("split(A1448,""("")"),"Hung ")</f>
        <v xml:space="preserve">Hung </v>
      </c>
      <c r="E1448" t="str">
        <f ca="1">IFERROR(__xludf.DUMMYFUNCTION("""COMPUTED_VALUE"""),"TV Series 2009–2011)")</f>
        <v>TV Series 2009–2011)</v>
      </c>
    </row>
    <row r="1449" spans="1:5" ht="13" x14ac:dyDescent="0.15">
      <c r="A1449" s="5" t="s">
        <v>1852</v>
      </c>
      <c r="D1449" t="str">
        <f ca="1">IFERROR(__xludf.DUMMYFUNCTION("split(A1449,""("")"),"Hunted ")</f>
        <v xml:space="preserve">Hunted </v>
      </c>
      <c r="E1449" t="str">
        <f ca="1">IFERROR(__xludf.DUMMYFUNCTION("""COMPUTED_VALUE"""),"TV Series 2017– )")</f>
        <v>TV Series 2017– )</v>
      </c>
    </row>
    <row r="1450" spans="1:5" ht="13" x14ac:dyDescent="0.15">
      <c r="A1450" s="5" t="s">
        <v>1853</v>
      </c>
      <c r="D1450" t="str">
        <f ca="1">IFERROR(__xludf.DUMMYFUNCTION("split(A1450,""("")"),"Hunter ")</f>
        <v xml:space="preserve">Hunter </v>
      </c>
      <c r="E1450" t="str">
        <f ca="1">IFERROR(__xludf.DUMMYFUNCTION("""COMPUTED_VALUE"""),"TV Series 1984–1991)")</f>
        <v>TV Series 1984–1991)</v>
      </c>
    </row>
    <row r="1451" spans="1:5" ht="13" x14ac:dyDescent="0.15">
      <c r="A1451" s="5" t="s">
        <v>590</v>
      </c>
      <c r="D1451" t="str">
        <f ca="1">IFERROR(__xludf.DUMMYFUNCTION("split(A1451,""("")"),"Hunter ")</f>
        <v xml:space="preserve">Hunter </v>
      </c>
      <c r="E1451" t="str">
        <f ca="1">IFERROR(__xludf.DUMMYFUNCTION("""COMPUTED_VALUE"""),"TV Series 2003– )")</f>
        <v>TV Series 2003– )</v>
      </c>
    </row>
    <row r="1452" spans="1:5" ht="13" x14ac:dyDescent="0.15">
      <c r="A1452" s="5" t="s">
        <v>1854</v>
      </c>
      <c r="D1452" t="str">
        <f ca="1">IFERROR(__xludf.DUMMYFUNCTION("split(A1452,""("")"),"Hunter Street ")</f>
        <v xml:space="preserve">Hunter Street </v>
      </c>
      <c r="E1452" t="str">
        <f ca="1">IFERROR(__xludf.DUMMYFUNCTION("""COMPUTED_VALUE"""),"TV Series 2017– )")</f>
        <v>TV Series 2017– )</v>
      </c>
    </row>
    <row r="1453" spans="1:5" ht="13" x14ac:dyDescent="0.15">
      <c r="A1453" s="5" t="s">
        <v>1855</v>
      </c>
      <c r="D1453" t="str">
        <f ca="1">IFERROR(__xludf.DUMMYFUNCTION("split(A1453,""("")"),"Hunting Hitler ")</f>
        <v xml:space="preserve">Hunting Hitler </v>
      </c>
      <c r="E1453" t="str">
        <f ca="1">IFERROR(__xludf.DUMMYFUNCTION("""COMPUTED_VALUE"""),"TV Series 2015– )")</f>
        <v>TV Series 2015– )</v>
      </c>
    </row>
    <row r="1454" spans="1:5" ht="13" x14ac:dyDescent="0.15">
      <c r="A1454" s="5" t="s">
        <v>1856</v>
      </c>
      <c r="D1454" t="str">
        <f ca="1">IFERROR(__xludf.DUMMYFUNCTION("split(A1454,""("")"),"Hustle ")</f>
        <v xml:space="preserve">Hustle </v>
      </c>
      <c r="E1454" t="str">
        <f ca="1">IFERROR(__xludf.DUMMYFUNCTION("""COMPUTED_VALUE"""),"TV Series 2004–2012)")</f>
        <v>TV Series 2004–2012)</v>
      </c>
    </row>
    <row r="1455" spans="1:5" ht="13" x14ac:dyDescent="0.15">
      <c r="A1455" s="5" t="s">
        <v>1857</v>
      </c>
      <c r="D1455" t="str">
        <f ca="1">IFERROR(__xludf.DUMMYFUNCTION("split(A1455,""("")"),"Hyperdimension Neptunia ")</f>
        <v xml:space="preserve">Hyperdimension Neptunia </v>
      </c>
      <c r="E1455" t="str">
        <f ca="1">IFERROR(__xludf.DUMMYFUNCTION("""COMPUTED_VALUE"""),"TV Series 2013– )")</f>
        <v>TV Series 2013– )</v>
      </c>
    </row>
    <row r="1456" spans="1:5" ht="13" x14ac:dyDescent="0.15">
      <c r="A1456" s="5" t="s">
        <v>1858</v>
      </c>
      <c r="D1456" t="str">
        <f ca="1">IFERROR(__xludf.DUMMYFUNCTION("split(A1456,""("")"),"Hyvien ihmisten kylä ")</f>
        <v xml:space="preserve">Hyvien ihmisten kylä </v>
      </c>
      <c r="E1456" t="str">
        <f ca="1">IFERROR(__xludf.DUMMYFUNCTION("""COMPUTED_VALUE"""),"TV Series 1993–1994)")</f>
        <v>TV Series 1993–1994)</v>
      </c>
    </row>
    <row r="1457" spans="1:6" ht="13" x14ac:dyDescent="0.15">
      <c r="A1457" s="5" t="s">
        <v>1859</v>
      </c>
      <c r="D1457" t="str">
        <f ca="1">IFERROR(__xludf.DUMMYFUNCTION("split(A1457,""("")"),"I ")</f>
        <v xml:space="preserve">I </v>
      </c>
      <c r="E1457" t="str">
        <f ca="1">IFERROR(__xludf.DUMMYFUNCTION("""COMPUTED_VALUE"""),"Almost) Got Away with It ")</f>
        <v xml:space="preserve">Almost) Got Away with It </v>
      </c>
      <c r="F1457" t="str">
        <f ca="1">IFERROR(__xludf.DUMMYFUNCTION("""COMPUTED_VALUE"""),"TV Series 2010– )")</f>
        <v>TV Series 2010– )</v>
      </c>
    </row>
    <row r="1458" spans="1:6" ht="13" x14ac:dyDescent="0.15">
      <c r="A1458" s="5" t="s">
        <v>1860</v>
      </c>
      <c r="D1458" t="str">
        <f ca="1">IFERROR(__xludf.DUMMYFUNCTION("split(A1458,""("")"),"I Am Cait ")</f>
        <v xml:space="preserve">I Am Cait </v>
      </c>
      <c r="E1458" t="str">
        <f ca="1">IFERROR(__xludf.DUMMYFUNCTION("""COMPUTED_VALUE"""),"TV Series 2015– )")</f>
        <v>TV Series 2015– )</v>
      </c>
    </row>
    <row r="1459" spans="1:6" ht="13" x14ac:dyDescent="0.15">
      <c r="A1459" s="5" t="s">
        <v>1861</v>
      </c>
      <c r="D1459" t="str">
        <f ca="1">IFERROR(__xludf.DUMMYFUNCTION("split(A1459,""("")"),"I Am Jazz ")</f>
        <v xml:space="preserve">I Am Jazz </v>
      </c>
      <c r="E1459" t="str">
        <f ca="1">IFERROR(__xludf.DUMMYFUNCTION("""COMPUTED_VALUE"""),"TV Series 2015– )")</f>
        <v>TV Series 2015– )</v>
      </c>
    </row>
    <row r="1460" spans="1:6" ht="13" x14ac:dyDescent="0.15">
      <c r="A1460" s="5" t="s">
        <v>1862</v>
      </c>
      <c r="D1460" t="str">
        <f ca="1">IFERROR(__xludf.DUMMYFUNCTION("split(A1460,""("")"),"I Am the Night ")</f>
        <v xml:space="preserve">I Am the Night </v>
      </c>
      <c r="E1460" t="str">
        <f ca="1">IFERROR(__xludf.DUMMYFUNCTION("""COMPUTED_VALUE"""),"TV Mini-Series 2019)")</f>
        <v>TV Mini-Series 2019)</v>
      </c>
    </row>
    <row r="1461" spans="1:6" ht="13" x14ac:dyDescent="0.15">
      <c r="A1461" s="5" t="s">
        <v>1863</v>
      </c>
      <c r="D1461" t="str">
        <f ca="1">IFERROR(__xludf.DUMMYFUNCTION("split(A1461,""("")"),"I Didn't Do It ")</f>
        <v xml:space="preserve">I Didn't Do It </v>
      </c>
      <c r="E1461" t="str">
        <f ca="1">IFERROR(__xludf.DUMMYFUNCTION("""COMPUTED_VALUE"""),"TV Series 2014–2015)")</f>
        <v>TV Series 2014–2015)</v>
      </c>
    </row>
    <row r="1462" spans="1:6" ht="13" x14ac:dyDescent="0.15">
      <c r="A1462" s="5" t="s">
        <v>1864</v>
      </c>
      <c r="D1462" t="str">
        <f ca="1">IFERROR(__xludf.DUMMYFUNCTION("split(A1462,""("")"),"I Didn't Know I Was Pregnant ")</f>
        <v xml:space="preserve">I Didn't Know I Was Pregnant </v>
      </c>
      <c r="E1462" t="str">
        <f ca="1">IFERROR(__xludf.DUMMYFUNCTION("""COMPUTED_VALUE"""),"TV Series 2008– )")</f>
        <v>TV Series 2008– )</v>
      </c>
    </row>
    <row r="1463" spans="1:6" ht="13" x14ac:dyDescent="0.15">
      <c r="A1463" s="5" t="s">
        <v>1865</v>
      </c>
      <c r="D1463" t="str">
        <f ca="1">IFERROR(__xludf.DUMMYFUNCTION("split(A1463,""("")"),"I Feel Bad ")</f>
        <v xml:space="preserve">I Feel Bad </v>
      </c>
      <c r="E1463" t="str">
        <f ca="1">IFERROR(__xludf.DUMMYFUNCTION("""COMPUTED_VALUE"""),"TV Series 2018– )")</f>
        <v>TV Series 2018– )</v>
      </c>
    </row>
    <row r="1464" spans="1:6" ht="13" x14ac:dyDescent="0.15">
      <c r="A1464" s="5" t="s">
        <v>1866</v>
      </c>
      <c r="D1464" t="str">
        <f ca="1">IFERROR(__xludf.DUMMYFUNCTION("split(A1464,""("")"),"I Hate Everything: the Search for the Worst ")</f>
        <v xml:space="preserve">I Hate Everything: the Search for the Worst </v>
      </c>
      <c r="E1464" t="str">
        <f ca="1">IFERROR(__xludf.DUMMYFUNCTION("""COMPUTED_VALUE"""),"TV Series 2014– )")</f>
        <v>TV Series 2014– )</v>
      </c>
    </row>
    <row r="1465" spans="1:6" ht="13" x14ac:dyDescent="0.15">
      <c r="A1465" s="5" t="s">
        <v>1867</v>
      </c>
      <c r="D1465" t="str">
        <f ca="1">IFERROR(__xludf.DUMMYFUNCTION("split(A1465,""("")"),"I Married a Princess ")</f>
        <v xml:space="preserve">I Married a Princess </v>
      </c>
      <c r="E1465" t="str">
        <f ca="1">IFERROR(__xludf.DUMMYFUNCTION("""COMPUTED_VALUE"""),"TV Series 2005)")</f>
        <v>TV Series 2005)</v>
      </c>
    </row>
    <row r="1466" spans="1:6" ht="13" x14ac:dyDescent="0.15">
      <c r="A1466" s="5" t="s">
        <v>1868</v>
      </c>
      <c r="D1466" t="str">
        <f ca="1">IFERROR(__xludf.DUMMYFUNCTION("split(A1466,""("")"),"I Married Dora ")</f>
        <v xml:space="preserve">I Married Dora </v>
      </c>
      <c r="E1466" t="str">
        <f ca="1">IFERROR(__xludf.DUMMYFUNCTION("""COMPUTED_VALUE"""),"TV Series 1987–1988)")</f>
        <v>TV Series 1987–1988)</v>
      </c>
    </row>
    <row r="1467" spans="1:6" ht="13" x14ac:dyDescent="0.15">
      <c r="A1467" s="5" t="s">
        <v>1869</v>
      </c>
      <c r="D1467" t="str">
        <f ca="1">IFERROR(__xludf.DUMMYFUNCTION("split(A1467,""("")"),"I Remember Nelson ")</f>
        <v xml:space="preserve">I Remember Nelson </v>
      </c>
      <c r="E1467" t="str">
        <f ca="1">IFERROR(__xludf.DUMMYFUNCTION("""COMPUTED_VALUE"""),"TV Series 1982– )")</f>
        <v>TV Series 1982– )</v>
      </c>
    </row>
    <row r="1468" spans="1:6" ht="13" x14ac:dyDescent="0.15">
      <c r="A1468" s="5" t="s">
        <v>1870</v>
      </c>
      <c r="D1468" t="str">
        <f ca="1">IFERROR(__xludf.DUMMYFUNCTION("split(A1468,""("")"),"I Ship It ")</f>
        <v xml:space="preserve">I Ship It </v>
      </c>
      <c r="E1468" t="str">
        <f ca="1">IFERROR(__xludf.DUMMYFUNCTION("""COMPUTED_VALUE"""),"TV Series 2016– )")</f>
        <v>TV Series 2016– )</v>
      </c>
    </row>
    <row r="1469" spans="1:6" ht="13" x14ac:dyDescent="0.15">
      <c r="A1469" s="5" t="s">
        <v>1871</v>
      </c>
      <c r="D1469" t="str">
        <f ca="1">IFERROR(__xludf.DUMMYFUNCTION("split(A1469,""("")"),"I vse-taki ya lyublyu... ")</f>
        <v xml:space="preserve">I vse-taki ya lyublyu... </v>
      </c>
      <c r="E1469" t="str">
        <f ca="1">IFERROR(__xludf.DUMMYFUNCTION("""COMPUTED_VALUE"""),"TV Series 2008– )")</f>
        <v>TV Series 2008– )</v>
      </c>
    </row>
    <row r="1470" spans="1:6" ht="13" x14ac:dyDescent="0.15">
      <c r="A1470" s="5" t="s">
        <v>1872</v>
      </c>
      <c r="D1470" t="str">
        <f ca="1">IFERROR(__xludf.DUMMYFUNCTION("split(A1470,""("")"),"I Wanna Marry 'Harry' ")</f>
        <v xml:space="preserve">I Wanna Marry 'Harry' </v>
      </c>
      <c r="E1470" t="str">
        <f ca="1">IFERROR(__xludf.DUMMYFUNCTION("""COMPUTED_VALUE"""),"TV Series 2014)")</f>
        <v>TV Series 2014)</v>
      </c>
    </row>
    <row r="1471" spans="1:6" ht="13" x14ac:dyDescent="0.15">
      <c r="A1471" s="5" t="s">
        <v>1873</v>
      </c>
      <c r="D1471" t="str">
        <f ca="1">IFERROR(__xludf.DUMMYFUNCTION("split(A1471,""("")"),"I'll Fly Away ")</f>
        <v xml:space="preserve">I'll Fly Away </v>
      </c>
      <c r="E1471" t="str">
        <f ca="1">IFERROR(__xludf.DUMMYFUNCTION("""COMPUTED_VALUE"""),"TV Series 1991–1993)")</f>
        <v>TV Series 1991–1993)</v>
      </c>
    </row>
    <row r="1472" spans="1:6" ht="13" x14ac:dyDescent="0.15">
      <c r="A1472" s="5" t="s">
        <v>1874</v>
      </c>
      <c r="D1472" t="str">
        <f ca="1">IFERROR(__xludf.DUMMYFUNCTION("split(A1472,""("")"),"I'll Get This ")</f>
        <v xml:space="preserve">I'll Get This </v>
      </c>
      <c r="E1472" t="str">
        <f ca="1">IFERROR(__xludf.DUMMYFUNCTION("""COMPUTED_VALUE"""),"TV Series 2018– )")</f>
        <v>TV Series 2018– )</v>
      </c>
    </row>
    <row r="1473" spans="1:5" ht="13" x14ac:dyDescent="0.15">
      <c r="A1473" s="5" t="s">
        <v>1875</v>
      </c>
      <c r="D1473" t="str">
        <f ca="1">IFERROR(__xludf.DUMMYFUNCTION("split(A1473,""("")"),"I'm a Celebrity, Get Me Out of Here! ")</f>
        <v xml:space="preserve">I'm a Celebrity, Get Me Out of Here! </v>
      </c>
      <c r="E1473" t="str">
        <f ca="1">IFERROR(__xludf.DUMMYFUNCTION("""COMPUTED_VALUE"""),"TV Series 2002– )")</f>
        <v>TV Series 2002– )</v>
      </c>
    </row>
    <row r="1474" spans="1:5" ht="13" x14ac:dyDescent="0.15">
      <c r="A1474" s="5" t="s">
        <v>591</v>
      </c>
      <c r="D1474" t="str">
        <f ca="1">IFERROR(__xludf.DUMMYFUNCTION("split(A1474,""("")"),"I'm a Celebrity... Extra Camp ")</f>
        <v xml:space="preserve">I'm a Celebrity... Extra Camp </v>
      </c>
      <c r="E1474" t="str">
        <f ca="1">IFERROR(__xludf.DUMMYFUNCTION("""COMPUTED_VALUE"""),"TV Series 2016– )")</f>
        <v>TV Series 2016– )</v>
      </c>
    </row>
    <row r="1475" spans="1:5" ht="13" x14ac:dyDescent="0.15">
      <c r="A1475" s="5" t="s">
        <v>1876</v>
      </c>
      <c r="D1475" t="str">
        <f ca="1">IFERROR(__xludf.DUMMYFUNCTION("split(A1475,""("")"),"I'm Alan Partridge ")</f>
        <v xml:space="preserve">I'm Alan Partridge </v>
      </c>
      <c r="E1475" t="str">
        <f ca="1">IFERROR(__xludf.DUMMYFUNCTION("""COMPUTED_VALUE"""),"TV Series 1997–2002)")</f>
        <v>TV Series 1997–2002)</v>
      </c>
    </row>
    <row r="1476" spans="1:5" ht="13" x14ac:dyDescent="0.15">
      <c r="A1476" s="5" t="s">
        <v>1877</v>
      </c>
      <c r="D1476" t="str">
        <f ca="1">IFERROR(__xludf.DUMMYFUNCTION("split(A1476,""("")"),"I'm Dying Up Here ")</f>
        <v xml:space="preserve">I'm Dying Up Here </v>
      </c>
      <c r="E1476" t="str">
        <f ca="1">IFERROR(__xludf.DUMMYFUNCTION("""COMPUTED_VALUE"""),"TV Series 2017–2018)")</f>
        <v>TV Series 2017–2018)</v>
      </c>
    </row>
    <row r="1477" spans="1:5" ht="13" x14ac:dyDescent="0.15">
      <c r="A1477" s="5" t="s">
        <v>1878</v>
      </c>
      <c r="D1477" t="str">
        <f ca="1">IFERROR(__xludf.DUMMYFUNCTION("split(A1477,""("")"),"I'm Having Their Baby ")</f>
        <v xml:space="preserve">I'm Having Their Baby </v>
      </c>
      <c r="E1477" t="str">
        <f ca="1">IFERROR(__xludf.DUMMYFUNCTION("""COMPUTED_VALUE"""),"TV Series 2012– )")</f>
        <v>TV Series 2012– )</v>
      </c>
    </row>
    <row r="1478" spans="1:5" ht="13" x14ac:dyDescent="0.15">
      <c r="A1478" s="5" t="s">
        <v>1879</v>
      </c>
      <c r="D1478" t="str">
        <f ca="1">IFERROR(__xludf.DUMMYFUNCTION("split(A1478,""("")"),"I'm Pregnant and... ")</f>
        <v xml:space="preserve">I'm Pregnant and... </v>
      </c>
      <c r="E1478" t="str">
        <f ca="1">IFERROR(__xludf.DUMMYFUNCTION("""COMPUTED_VALUE"""),"TV Series 2009– )")</f>
        <v>TV Series 2009– )</v>
      </c>
    </row>
    <row r="1479" spans="1:5" ht="13" x14ac:dyDescent="0.15">
      <c r="A1479" s="5" t="s">
        <v>1880</v>
      </c>
      <c r="D1479" t="str">
        <f ca="1">IFERROR(__xludf.DUMMYFUNCTION("split(A1479,""("")"),"I'm Sorry ")</f>
        <v xml:space="preserve">I'm Sorry </v>
      </c>
      <c r="E1479" t="str">
        <f ca="1">IFERROR(__xludf.DUMMYFUNCTION("""COMPUTED_VALUE"""),"TV Series 2017– )")</f>
        <v>TV Series 2017– )</v>
      </c>
    </row>
    <row r="1480" spans="1:5" ht="13" x14ac:dyDescent="0.15">
      <c r="A1480" s="5" t="s">
        <v>1881</v>
      </c>
      <c r="D1480" t="str">
        <f ca="1">IFERROR(__xludf.DUMMYFUNCTION("split(A1480,""("")"),"Ibiza Uncovered ")</f>
        <v xml:space="preserve">Ibiza Uncovered </v>
      </c>
      <c r="E1480" t="str">
        <f ca="1">IFERROR(__xludf.DUMMYFUNCTION("""COMPUTED_VALUE"""),"TV Series 1998– )")</f>
        <v>TV Series 1998– )</v>
      </c>
    </row>
    <row r="1481" spans="1:5" ht="13" x14ac:dyDescent="0.15">
      <c r="A1481" s="5" t="s">
        <v>1882</v>
      </c>
      <c r="D1481" t="str">
        <f ca="1">IFERROR(__xludf.DUMMYFUNCTION("split(A1481,""("")"),"iCarly ")</f>
        <v xml:space="preserve">iCarly </v>
      </c>
      <c r="E1481" t="str">
        <f ca="1">IFERROR(__xludf.DUMMYFUNCTION("""COMPUTED_VALUE"""),"TV Series 2007–2012)")</f>
        <v>TV Series 2007–2012)</v>
      </c>
    </row>
    <row r="1482" spans="1:5" ht="13" x14ac:dyDescent="0.15">
      <c r="A1482" s="5" t="s">
        <v>1883</v>
      </c>
      <c r="D1482" t="str">
        <f ca="1">IFERROR(__xludf.DUMMYFUNCTION("split(A1482,""("")"),"Ice Cold Gold ")</f>
        <v xml:space="preserve">Ice Cold Gold </v>
      </c>
      <c r="E1482" t="str">
        <f ca="1">IFERROR(__xludf.DUMMYFUNCTION("""COMPUTED_VALUE"""),"TV Series 2013– )")</f>
        <v>TV Series 2013– )</v>
      </c>
    </row>
    <row r="1483" spans="1:5" ht="13" x14ac:dyDescent="0.15">
      <c r="A1483" s="5" t="s">
        <v>1884</v>
      </c>
      <c r="D1483" t="str">
        <f ca="1">IFERROR(__xludf.DUMMYFUNCTION("split(A1483,""("")"),"Ice Cold Killers ")</f>
        <v xml:space="preserve">Ice Cold Killers </v>
      </c>
      <c r="E1483" t="str">
        <f ca="1">IFERROR(__xludf.DUMMYFUNCTION("""COMPUTED_VALUE"""),"TV Series 2012– )")</f>
        <v>TV Series 2012– )</v>
      </c>
    </row>
    <row r="1484" spans="1:5" ht="13" x14ac:dyDescent="0.15">
      <c r="A1484" s="5" t="s">
        <v>216</v>
      </c>
      <c r="D1484" t="str">
        <f ca="1">IFERROR(__xludf.DUMMYFUNCTION("split(A1484,""("")"),"Ice Loves Coco ")</f>
        <v xml:space="preserve">Ice Loves Coco </v>
      </c>
      <c r="E1484" t="str">
        <f ca="1">IFERROR(__xludf.DUMMYFUNCTION("""COMPUTED_VALUE"""),"TV Series 2011– )")</f>
        <v>TV Series 2011– )</v>
      </c>
    </row>
    <row r="1485" spans="1:5" ht="13" x14ac:dyDescent="0.15">
      <c r="A1485" s="5" t="s">
        <v>1885</v>
      </c>
      <c r="D1485" t="str">
        <f ca="1">IFERROR(__xludf.DUMMYFUNCTION("split(A1485,""("")"),"Ice Pilots NWT ")</f>
        <v xml:space="preserve">Ice Pilots NWT </v>
      </c>
      <c r="E1485" t="str">
        <f ca="1">IFERROR(__xludf.DUMMYFUNCTION("""COMPUTED_VALUE"""),"TV Series 2009–2014)")</f>
        <v>TV Series 2009–2014)</v>
      </c>
    </row>
    <row r="1486" spans="1:5" ht="13" x14ac:dyDescent="0.15">
      <c r="A1486" s="5" t="s">
        <v>1886</v>
      </c>
      <c r="D1486" t="str">
        <f ca="1">IFERROR(__xludf.DUMMYFUNCTION("split(A1486,""("")"),"Ice Road Truckers ")</f>
        <v xml:space="preserve">Ice Road Truckers </v>
      </c>
      <c r="E1486" t="str">
        <f ca="1">IFERROR(__xludf.DUMMYFUNCTION("""COMPUTED_VALUE"""),"TV Series 2007– )")</f>
        <v>TV Series 2007– )</v>
      </c>
    </row>
    <row r="1487" spans="1:5" ht="13" x14ac:dyDescent="0.15">
      <c r="A1487" s="5" t="s">
        <v>1887</v>
      </c>
      <c r="D1487" t="str">
        <f ca="1">IFERROR(__xludf.DUMMYFUNCTION("split(A1487,""("")"),"Içerde ")</f>
        <v xml:space="preserve">Içerde </v>
      </c>
      <c r="E1487" t="str">
        <f ca="1">IFERROR(__xludf.DUMMYFUNCTION("""COMPUTED_VALUE"""),"TV Series 2016–2017)")</f>
        <v>TV Series 2016–2017)</v>
      </c>
    </row>
    <row r="1488" spans="1:5" ht="13" x14ac:dyDescent="0.15">
      <c r="A1488" s="5" t="s">
        <v>1888</v>
      </c>
      <c r="D1488" t="str">
        <f ca="1">IFERROR(__xludf.DUMMYFUNCTION("split(A1488,""("")"),"Ich bin ein Star, holt mich hier raus! ")</f>
        <v xml:space="preserve">Ich bin ein Star, holt mich hier raus! </v>
      </c>
      <c r="E1488" t="str">
        <f ca="1">IFERROR(__xludf.DUMMYFUNCTION("""COMPUTED_VALUE"""),"TV Series 2004– )")</f>
        <v>TV Series 2004– )</v>
      </c>
    </row>
    <row r="1489" spans="1:5" ht="13" x14ac:dyDescent="0.15">
      <c r="A1489" s="5" t="s">
        <v>1889</v>
      </c>
      <c r="D1489" t="str">
        <f ca="1">IFERROR(__xludf.DUMMYFUNCTION("split(A1489,""("")"),"Idiotsitter ")</f>
        <v xml:space="preserve">Idiotsitter </v>
      </c>
      <c r="E1489" t="str">
        <f ca="1">IFERROR(__xludf.DUMMYFUNCTION("""COMPUTED_VALUE"""),"TV Series 2014– )")</f>
        <v>TV Series 2014– )</v>
      </c>
    </row>
    <row r="1490" spans="1:5" ht="13" x14ac:dyDescent="0.15">
      <c r="A1490" s="5" t="s">
        <v>1890</v>
      </c>
      <c r="D1490" t="str">
        <f ca="1">IFERROR(__xludf.DUMMYFUNCTION("split(A1490,""("")"),"If Loving You Is Wrong ")</f>
        <v xml:space="preserve">If Loving You Is Wrong </v>
      </c>
      <c r="E1490" t="str">
        <f ca="1">IFERROR(__xludf.DUMMYFUNCTION("""COMPUTED_VALUE"""),"TV Series 2014– )")</f>
        <v>TV Series 2014– )</v>
      </c>
    </row>
    <row r="1491" spans="1:5" ht="13" x14ac:dyDescent="0.15">
      <c r="A1491" s="5" t="s">
        <v>1891</v>
      </c>
      <c r="D1491" t="str">
        <f ca="1">IFERROR(__xludf.DUMMYFUNCTION("split(A1491,""("")"),"Ika-5 utos ")</f>
        <v xml:space="preserve">Ika-5 utos </v>
      </c>
      <c r="E1491" t="str">
        <f ca="1">IFERROR(__xludf.DUMMYFUNCTION("""COMPUTED_VALUE"""),"TV Series 2018– )")</f>
        <v>TV Series 2018– )</v>
      </c>
    </row>
    <row r="1492" spans="1:5" ht="13" x14ac:dyDescent="0.15">
      <c r="A1492" s="5" t="s">
        <v>1892</v>
      </c>
      <c r="D1492" t="str">
        <f ca="1">IFERROR(__xludf.DUMMYFUNCTION("split(A1492,""("")"),"Ikaro ")</f>
        <v xml:space="preserve">Ikaro </v>
      </c>
      <c r="E1492" t="str">
        <f ca="1">IFERROR(__xludf.DUMMYFUNCTION("""COMPUTED_VALUE"""),"TV Series 2013– )")</f>
        <v>TV Series 2013– )</v>
      </c>
    </row>
    <row r="1493" spans="1:5" ht="13" x14ac:dyDescent="0.15">
      <c r="A1493" s="5" t="s">
        <v>1893</v>
      </c>
      <c r="D1493" t="str">
        <f ca="1">IFERROR(__xludf.DUMMYFUNCTION("split(A1493,""("")"),"Ikki tôsen: Dragon Destiny ")</f>
        <v xml:space="preserve">Ikki tôsen: Dragon Destiny </v>
      </c>
      <c r="E1493" t="str">
        <f ca="1">IFERROR(__xludf.DUMMYFUNCTION("""COMPUTED_VALUE"""),"TV Series 2003– )")</f>
        <v>TV Series 2003– )</v>
      </c>
    </row>
    <row r="1494" spans="1:5" ht="13" x14ac:dyDescent="0.15">
      <c r="A1494" s="5" t="s">
        <v>1894</v>
      </c>
      <c r="D1494" t="str">
        <f ca="1">IFERROR(__xludf.DUMMYFUNCTION("split(A1494,""("")"),"Iljimae ")</f>
        <v xml:space="preserve">Iljimae </v>
      </c>
      <c r="E1494" t="str">
        <f ca="1">IFERROR(__xludf.DUMMYFUNCTION("""COMPUTED_VALUE"""),"TV Series 2008– )")</f>
        <v>TV Series 2008– )</v>
      </c>
    </row>
    <row r="1495" spans="1:5" ht="13" x14ac:dyDescent="0.15">
      <c r="A1495" s="5" t="s">
        <v>1895</v>
      </c>
      <c r="D1495" t="str">
        <f ca="1">IFERROR(__xludf.DUMMYFUNCTION("split(A1495,""("")"),"Imortal ")</f>
        <v xml:space="preserve">Imortal </v>
      </c>
      <c r="E1495" t="str">
        <f ca="1">IFERROR(__xludf.DUMMYFUNCTION("""COMPUTED_VALUE"""),"TV Series 2010–2011)")</f>
        <v>TV Series 2010–2011)</v>
      </c>
    </row>
    <row r="1496" spans="1:5" ht="13" x14ac:dyDescent="0.15">
      <c r="A1496" s="5" t="s">
        <v>1896</v>
      </c>
      <c r="D1496" t="str">
        <f ca="1">IFERROR(__xludf.DUMMYFUNCTION("split(A1496,""("")"),"Important Things with Demetri Martin ")</f>
        <v xml:space="preserve">Important Things with Demetri Martin </v>
      </c>
      <c r="E1496" t="str">
        <f ca="1">IFERROR(__xludf.DUMMYFUNCTION("""COMPUTED_VALUE"""),"TV Series 2009–2010)")</f>
        <v>TV Series 2009–2010)</v>
      </c>
    </row>
    <row r="1497" spans="1:5" ht="13" x14ac:dyDescent="0.15">
      <c r="A1497" s="5" t="s">
        <v>1897</v>
      </c>
      <c r="D1497" t="str">
        <f ca="1">IFERROR(__xludf.DUMMYFUNCTION("split(A1497,""("")"),"Imposters ")</f>
        <v xml:space="preserve">Imposters </v>
      </c>
      <c r="E1497" t="str">
        <f ca="1">IFERROR(__xludf.DUMMYFUNCTION("""COMPUTED_VALUE"""),"TV Series 2017– )")</f>
        <v>TV Series 2017– )</v>
      </c>
    </row>
    <row r="1498" spans="1:5" ht="13" x14ac:dyDescent="0.15">
      <c r="A1498" s="5" t="s">
        <v>1898</v>
      </c>
      <c r="D1498" t="str">
        <f ca="1">IFERROR(__xludf.DUMMYFUNCTION("split(A1498,""("")"),"Impostora ")</f>
        <v xml:space="preserve">Impostora </v>
      </c>
      <c r="E1498" t="str">
        <f ca="1">IFERROR(__xludf.DUMMYFUNCTION("""COMPUTED_VALUE"""),"TV Series 2007)")</f>
        <v>TV Series 2007)</v>
      </c>
    </row>
    <row r="1499" spans="1:5" ht="13" x14ac:dyDescent="0.15">
      <c r="A1499" s="5" t="s">
        <v>1899</v>
      </c>
      <c r="D1499" t="str">
        <f ca="1">IFERROR(__xludf.DUMMYFUNCTION("split(A1499,""("")"),"Impractical Jokers ")</f>
        <v xml:space="preserve">Impractical Jokers </v>
      </c>
      <c r="E1499" t="str">
        <f ca="1">IFERROR(__xludf.DUMMYFUNCTION("""COMPUTED_VALUE"""),"TV Series 2011– )")</f>
        <v>TV Series 2011– )</v>
      </c>
    </row>
    <row r="1500" spans="1:5" ht="13" x14ac:dyDescent="0.15">
      <c r="A1500" s="5" t="s">
        <v>592</v>
      </c>
      <c r="D1500" t="str">
        <f ca="1">IFERROR(__xludf.DUMMYFUNCTION("split(A1500,""("")"),"Impractical Jokers ")</f>
        <v xml:space="preserve">Impractical Jokers </v>
      </c>
      <c r="E1500" t="str">
        <f ca="1">IFERROR(__xludf.DUMMYFUNCTION("""COMPUTED_VALUE"""),"TV Series 2012– )")</f>
        <v>TV Series 2012– )</v>
      </c>
    </row>
    <row r="1501" spans="1:5" ht="13" x14ac:dyDescent="0.15">
      <c r="A1501" s="5" t="s">
        <v>593</v>
      </c>
      <c r="D1501" t="str">
        <f ca="1">IFERROR(__xludf.DUMMYFUNCTION("split(A1501,""("")"),"Impractical Jokers: Inside Jokes ")</f>
        <v xml:space="preserve">Impractical Jokers: Inside Jokes </v>
      </c>
      <c r="E1501" t="str">
        <f ca="1">IFERROR(__xludf.DUMMYFUNCTION("""COMPUTED_VALUE"""),"TV Series 2016– )")</f>
        <v>TV Series 2016– )</v>
      </c>
    </row>
    <row r="1502" spans="1:5" ht="13" x14ac:dyDescent="0.15">
      <c r="A1502" s="5" t="s">
        <v>1900</v>
      </c>
      <c r="D1502" t="str">
        <f ca="1">IFERROR(__xludf.DUMMYFUNCTION("split(A1502,""("")"),"Impulse ")</f>
        <v xml:space="preserve">Impulse </v>
      </c>
      <c r="E1502" t="str">
        <f ca="1">IFERROR(__xludf.DUMMYFUNCTION("""COMPUTED_VALUE"""),"TV Series 2018– )")</f>
        <v>TV Series 2018– )</v>
      </c>
    </row>
    <row r="1503" spans="1:5" ht="13" x14ac:dyDescent="0.15">
      <c r="A1503" s="5" t="s">
        <v>1901</v>
      </c>
      <c r="D1503" t="str">
        <f ca="1">IFERROR(__xludf.DUMMYFUNCTION("split(A1503,""("")"),"In Contempt ")</f>
        <v xml:space="preserve">In Contempt </v>
      </c>
      <c r="E1503" t="str">
        <f ca="1">IFERROR(__xludf.DUMMYFUNCTION("""COMPUTED_VALUE"""),"TV Series 2018– )")</f>
        <v>TV Series 2018– )</v>
      </c>
    </row>
    <row r="1504" spans="1:5" ht="13" x14ac:dyDescent="0.15">
      <c r="A1504" s="5" t="s">
        <v>1902</v>
      </c>
      <c r="D1504" t="str">
        <f ca="1">IFERROR(__xludf.DUMMYFUNCTION("split(A1504,""("")"),"In Kgantse &amp; Kenny's Paradise ")</f>
        <v xml:space="preserve">In Kgantse &amp; Kenny's Paradise </v>
      </c>
      <c r="E1504" t="str">
        <f ca="1">IFERROR(__xludf.DUMMYFUNCTION("""COMPUTED_VALUE"""),"TV Series 2014– )")</f>
        <v>TV Series 2014– )</v>
      </c>
    </row>
    <row r="1505" spans="1:5" ht="13" x14ac:dyDescent="0.15">
      <c r="A1505" s="5" t="s">
        <v>1903</v>
      </c>
      <c r="D1505" t="str">
        <f ca="1">IFERROR(__xludf.DUMMYFUNCTION("split(A1505,""("")"),"In Living Color ")</f>
        <v xml:space="preserve">In Living Color </v>
      </c>
      <c r="E1505" t="str">
        <f ca="1">IFERROR(__xludf.DUMMYFUNCTION("""COMPUTED_VALUE"""),"TV Series 1990–1994)")</f>
        <v>TV Series 1990–1994)</v>
      </c>
    </row>
    <row r="1506" spans="1:5" ht="13" x14ac:dyDescent="0.15">
      <c r="A1506" s="5" t="s">
        <v>1904</v>
      </c>
      <c r="D1506" t="str">
        <f ca="1">IFERROR(__xludf.DUMMYFUNCTION("split(A1506,""("")"),"In Our Lives ")</f>
        <v xml:space="preserve">In Our Lives </v>
      </c>
      <c r="E1506" t="str">
        <f ca="1">IFERROR(__xludf.DUMMYFUNCTION("""COMPUTED_VALUE"""),"TV Series 1980–1994)")</f>
        <v>TV Series 1980–1994)</v>
      </c>
    </row>
    <row r="1507" spans="1:5" ht="13" x14ac:dyDescent="0.15">
      <c r="A1507" s="5" t="s">
        <v>1905</v>
      </c>
      <c r="D1507" t="str">
        <f ca="1">IFERROR(__xludf.DUMMYFUNCTION("split(A1507,""("")"),"In Plain Sight ")</f>
        <v xml:space="preserve">In Plain Sight </v>
      </c>
      <c r="E1507" t="str">
        <f ca="1">IFERROR(__xludf.DUMMYFUNCTION("""COMPUTED_VALUE"""),"TV Series 2008–2012)")</f>
        <v>TV Series 2008–2012)</v>
      </c>
    </row>
    <row r="1508" spans="1:5" ht="13" x14ac:dyDescent="0.15">
      <c r="A1508" s="5" t="s">
        <v>1906</v>
      </c>
      <c r="D1508" t="str">
        <f ca="1">IFERROR(__xludf.DUMMYFUNCTION("split(A1508,""("")"),"In Search of Perfection ")</f>
        <v xml:space="preserve">In Search of Perfection </v>
      </c>
      <c r="E1508" t="str">
        <f ca="1">IFERROR(__xludf.DUMMYFUNCTION("""COMPUTED_VALUE"""),"TV Series 2006–2007)")</f>
        <v>TV Series 2006–2007)</v>
      </c>
    </row>
    <row r="1509" spans="1:5" ht="13" x14ac:dyDescent="0.15">
      <c r="A1509" s="5" t="s">
        <v>1907</v>
      </c>
      <c r="D1509" t="str">
        <f ca="1">IFERROR(__xludf.DUMMYFUNCTION("split(A1509,""("")"),"In the Big House ")</f>
        <v xml:space="preserve">In the Big House </v>
      </c>
      <c r="E1509" t="str">
        <f ca="1">IFERROR(__xludf.DUMMYFUNCTION("""COMPUTED_VALUE"""),"TV Series 2012– )")</f>
        <v>TV Series 2012– )</v>
      </c>
    </row>
    <row r="1510" spans="1:5" ht="13" x14ac:dyDescent="0.15">
      <c r="A1510" s="5" t="s">
        <v>1908</v>
      </c>
      <c r="D1510" t="str">
        <f ca="1">IFERROR(__xludf.DUMMYFUNCTION("split(A1510,""("")"),"In the Cut ")</f>
        <v xml:space="preserve">In the Cut </v>
      </c>
      <c r="E1510" t="str">
        <f ca="1">IFERROR(__xludf.DUMMYFUNCTION("""COMPUTED_VALUE"""),"TV Series 2015– )")</f>
        <v>TV Series 2015– )</v>
      </c>
    </row>
    <row r="1511" spans="1:5" ht="13" x14ac:dyDescent="0.15">
      <c r="A1511" s="5" t="s">
        <v>1909</v>
      </c>
      <c r="D1511" t="str">
        <f ca="1">IFERROR(__xludf.DUMMYFUNCTION("split(A1511,""("")"),"In the Flesh ")</f>
        <v xml:space="preserve">In the Flesh </v>
      </c>
      <c r="E1511" t="str">
        <f ca="1">IFERROR(__xludf.DUMMYFUNCTION("""COMPUTED_VALUE"""),"TV Series 2013–2014)")</f>
        <v>TV Series 2013–2014)</v>
      </c>
    </row>
    <row r="1512" spans="1:5" ht="13" x14ac:dyDescent="0.15">
      <c r="A1512" s="5" t="s">
        <v>1910</v>
      </c>
      <c r="D1512" t="str">
        <f ca="1">IFERROR(__xludf.DUMMYFUNCTION("split(A1512,""("")"),"In the Long Run ")</f>
        <v xml:space="preserve">In the Long Run </v>
      </c>
      <c r="E1512" t="str">
        <f ca="1">IFERROR(__xludf.DUMMYFUNCTION("""COMPUTED_VALUE"""),"TV Series 2018– )")</f>
        <v>TV Series 2018– )</v>
      </c>
    </row>
    <row r="1513" spans="1:5" ht="13" x14ac:dyDescent="0.15">
      <c r="A1513" s="5" t="s">
        <v>1911</v>
      </c>
      <c r="D1513" t="str">
        <f ca="1">IFERROR(__xludf.DUMMYFUNCTION("split(A1513,""("")"),"In the Name of Love ")</f>
        <v xml:space="preserve">In the Name of Love </v>
      </c>
      <c r="E1513" t="str">
        <f ca="1">IFERROR(__xludf.DUMMYFUNCTION("""COMPUTED_VALUE"""),"TV Series 2008–2009)")</f>
        <v>TV Series 2008–2009)</v>
      </c>
    </row>
    <row r="1514" spans="1:5" ht="13" x14ac:dyDescent="0.15">
      <c r="A1514" s="5" t="s">
        <v>1912</v>
      </c>
      <c r="D1514" t="str">
        <f ca="1">IFERROR(__xludf.DUMMYFUNCTION("split(A1514,""("")"),"In The Nick Of Time ")</f>
        <v xml:space="preserve">In The Nick Of Time </v>
      </c>
      <c r="E1514" t="str">
        <f ca="1">IFERROR(__xludf.DUMMYFUNCTION("""COMPUTED_VALUE"""),"TV Series 2005–2007)")</f>
        <v>TV Series 2005–2007)</v>
      </c>
    </row>
    <row r="1515" spans="1:5" ht="13" x14ac:dyDescent="0.15">
      <c r="A1515" s="5" t="s">
        <v>1913</v>
      </c>
      <c r="D1515" t="str">
        <f ca="1">IFERROR(__xludf.DUMMYFUNCTION("split(A1515,""("")"),"In Touch with Charles Stanley ")</f>
        <v xml:space="preserve">In Touch with Charles Stanley </v>
      </c>
      <c r="E1515" t="str">
        <f ca="1">IFERROR(__xludf.DUMMYFUNCTION("""COMPUTED_VALUE"""),"TV Series 1990– )")</f>
        <v>TV Series 1990– )</v>
      </c>
    </row>
    <row r="1516" spans="1:5" ht="13" x14ac:dyDescent="0.15">
      <c r="A1516" s="5" t="s">
        <v>1914</v>
      </c>
      <c r="D1516" t="str">
        <f ca="1">IFERROR(__xludf.DUMMYFUNCTION("split(A1516,""("")"),"Independence Year 4 Kidz ")</f>
        <v xml:space="preserve">Independence Year 4 Kidz </v>
      </c>
      <c r="E1516" t="str">
        <f ca="1">IFERROR(__xludf.DUMMYFUNCTION("""COMPUTED_VALUE"""),"TV Series 2013– )")</f>
        <v>TV Series 2013– )</v>
      </c>
    </row>
    <row r="1517" spans="1:5" ht="13" x14ac:dyDescent="0.15">
      <c r="A1517" s="5" t="s">
        <v>1915</v>
      </c>
      <c r="D1517" t="str">
        <f ca="1">IFERROR(__xludf.DUMMYFUNCTION("split(A1517,""("")"),"Indian Food Made Easy ")</f>
        <v xml:space="preserve">Indian Food Made Easy </v>
      </c>
      <c r="E1517" t="str">
        <f ca="1">IFERROR(__xludf.DUMMYFUNCTION("""COMPUTED_VALUE"""),"TV Series 2007– )")</f>
        <v>TV Series 2007– )</v>
      </c>
    </row>
    <row r="1518" spans="1:5" ht="13" x14ac:dyDescent="0.15">
      <c r="A1518" s="5" t="s">
        <v>1916</v>
      </c>
      <c r="D1518" t="str">
        <f ca="1">IFERROR(__xludf.DUMMYFUNCTION("split(A1518,""("")"),"Infernal Realities ")</f>
        <v xml:space="preserve">Infernal Realities </v>
      </c>
      <c r="E1518" t="str">
        <f ca="1">IFERROR(__xludf.DUMMYFUNCTION("""COMPUTED_VALUE"""),"TV Series 2018– )")</f>
        <v>TV Series 2018– )</v>
      </c>
    </row>
    <row r="1519" spans="1:5" ht="13" x14ac:dyDescent="0.15">
      <c r="A1519" s="5" t="s">
        <v>1917</v>
      </c>
      <c r="D1519" t="str">
        <f ca="1">IFERROR(__xludf.DUMMYFUNCTION("split(A1519,""("")"),"Infested! ")</f>
        <v xml:space="preserve">Infested! </v>
      </c>
      <c r="E1519" t="str">
        <f ca="1">IFERROR(__xludf.DUMMYFUNCTION("""COMPUTED_VALUE"""),"TV Series 2011– )")</f>
        <v>TV Series 2011– )</v>
      </c>
    </row>
    <row r="1520" spans="1:5" ht="13" x14ac:dyDescent="0.15">
      <c r="A1520" s="5" t="s">
        <v>1918</v>
      </c>
      <c r="D1520" t="str">
        <f ca="1">IFERROR(__xludf.DUMMYFUNCTION("split(A1520,""("")"),"Informer ")</f>
        <v xml:space="preserve">Informer </v>
      </c>
      <c r="E1520" t="str">
        <f ca="1">IFERROR(__xludf.DUMMYFUNCTION("""COMPUTED_VALUE"""),"TV Series 2018– )")</f>
        <v>TV Series 2018– )</v>
      </c>
    </row>
    <row r="1521" spans="1:5" ht="13" x14ac:dyDescent="0.15">
      <c r="A1521" s="5" t="s">
        <v>1919</v>
      </c>
      <c r="D1521" t="str">
        <f ca="1">IFERROR(__xludf.DUMMYFUNCTION("split(A1521,""("")"),"InHumanoids ")</f>
        <v xml:space="preserve">InHumanoids </v>
      </c>
      <c r="E1521" t="str">
        <f ca="1">IFERROR(__xludf.DUMMYFUNCTION("""COMPUTED_VALUE"""),"TV Series 1986– )")</f>
        <v>TV Series 1986– )</v>
      </c>
    </row>
    <row r="1522" spans="1:5" ht="13" x14ac:dyDescent="0.15">
      <c r="A1522" s="5" t="s">
        <v>1920</v>
      </c>
      <c r="D1522" t="str">
        <f ca="1">IFERROR(__xludf.DUMMYFUNCTION("split(A1522,""("")"),"Ink Master ")</f>
        <v xml:space="preserve">Ink Master </v>
      </c>
      <c r="E1522" t="str">
        <f ca="1">IFERROR(__xludf.DUMMYFUNCTION("""COMPUTED_VALUE"""),"TV Series 2012– )")</f>
        <v>TV Series 2012– )</v>
      </c>
    </row>
    <row r="1523" spans="1:5" ht="13" x14ac:dyDescent="0.15">
      <c r="A1523" s="5" t="s">
        <v>1921</v>
      </c>
      <c r="D1523" t="str">
        <f ca="1">IFERROR(__xludf.DUMMYFUNCTION("split(A1523,""("")"),"Innocent Love ")</f>
        <v xml:space="preserve">Innocent Love </v>
      </c>
      <c r="E1523" t="str">
        <f ca="1">IFERROR(__xludf.DUMMYFUNCTION("""COMPUTED_VALUE"""),"TV Series 2008– )")</f>
        <v>TV Series 2008– )</v>
      </c>
    </row>
    <row r="1524" spans="1:5" ht="13" x14ac:dyDescent="0.15">
      <c r="A1524" s="5" t="s">
        <v>1922</v>
      </c>
      <c r="D1524" t="str">
        <f ca="1">IFERROR(__xludf.DUMMYFUNCTION("split(A1524,""("")"),"Inocente de ti ")</f>
        <v xml:space="preserve">Inocente de ti </v>
      </c>
      <c r="E1524" t="str">
        <f ca="1">IFERROR(__xludf.DUMMYFUNCTION("""COMPUTED_VALUE"""),"TV Series 2004–2005)")</f>
        <v>TV Series 2004–2005)</v>
      </c>
    </row>
    <row r="1525" spans="1:5" ht="13" x14ac:dyDescent="0.15">
      <c r="A1525" s="5" t="s">
        <v>1923</v>
      </c>
      <c r="D1525" t="str">
        <f ca="1">IFERROR(__xludf.DUMMYFUNCTION("split(A1525,""("")"),"Insatiable ")</f>
        <v xml:space="preserve">Insatiable </v>
      </c>
      <c r="E1525" t="str">
        <f ca="1">IFERROR(__xludf.DUMMYFUNCTION("""COMPUTED_VALUE"""),"TV Series 2018– )")</f>
        <v>TV Series 2018– )</v>
      </c>
    </row>
    <row r="1526" spans="1:5" ht="13" x14ac:dyDescent="0.15">
      <c r="A1526" s="5" t="s">
        <v>1924</v>
      </c>
      <c r="D1526" t="str">
        <f ca="1">IFERROR(__xludf.DUMMYFUNCTION("split(A1526,""("")"),"Inside American Jail ")</f>
        <v xml:space="preserve">Inside American Jail </v>
      </c>
      <c r="E1526" t="str">
        <f ca="1">IFERROR(__xludf.DUMMYFUNCTION("""COMPUTED_VALUE"""),"TV Series 2007– )")</f>
        <v>TV Series 2007– )</v>
      </c>
    </row>
    <row r="1527" spans="1:5" ht="13" x14ac:dyDescent="0.15">
      <c r="A1527" s="5" t="s">
        <v>280</v>
      </c>
      <c r="D1527" t="str">
        <f ca="1">IFERROR(__xludf.DUMMYFUNCTION("split(A1527,""("")"),"Inside Look: The Assassination of Gianni VersaceAmerican Crime Story ")</f>
        <v xml:space="preserve">Inside Look: The Assassination of Gianni VersaceAmerican Crime Story </v>
      </c>
      <c r="E1527" t="str">
        <f ca="1">IFERROR(__xludf.DUMMYFUNCTION("""COMPUTED_VALUE"""),"TV Series 2017–2018)")</f>
        <v>TV Series 2017–2018)</v>
      </c>
    </row>
    <row r="1528" spans="1:5" ht="13" x14ac:dyDescent="0.15">
      <c r="A1528" s="5" t="s">
        <v>1925</v>
      </c>
      <c r="D1528" t="str">
        <f ca="1">IFERROR(__xludf.DUMMYFUNCTION("split(A1528,""("")"),"Inside Look: The People v. O.J. SimpsonAmerican Crime Story ")</f>
        <v xml:space="preserve">Inside Look: The People v. O.J. SimpsonAmerican Crime Story </v>
      </c>
      <c r="E1528" t="str">
        <f ca="1">IFERROR(__xludf.DUMMYFUNCTION("""COMPUTED_VALUE"""),"TV Series 2016)")</f>
        <v>TV Series 2016)</v>
      </c>
    </row>
    <row r="1529" spans="1:5" ht="13" x14ac:dyDescent="0.15">
      <c r="A1529" s="5" t="s">
        <v>1926</v>
      </c>
      <c r="D1529" t="str">
        <f ca="1">IFERROR(__xludf.DUMMYFUNCTION("split(A1529,""("")"),"Inside No. 9 ")</f>
        <v xml:space="preserve">Inside No. 9 </v>
      </c>
      <c r="E1529" t="str">
        <f ca="1">IFERROR(__xludf.DUMMYFUNCTION("""COMPUTED_VALUE"""),"TV Series 2014– )")</f>
        <v>TV Series 2014– )</v>
      </c>
    </row>
    <row r="1530" spans="1:5" ht="13" x14ac:dyDescent="0.15">
      <c r="A1530" s="5" t="s">
        <v>1927</v>
      </c>
      <c r="D1530" t="str">
        <f ca="1">IFERROR(__xludf.DUMMYFUNCTION("split(A1530,""("")"),"Inside Windsor Castle ")</f>
        <v xml:space="preserve">Inside Windsor Castle </v>
      </c>
      <c r="E1530" t="str">
        <f ca="1">IFERROR(__xludf.DUMMYFUNCTION("""COMPUTED_VALUE"""),"TV Series 2017)")</f>
        <v>TV Series 2017)</v>
      </c>
    </row>
    <row r="1531" spans="1:5" ht="13" x14ac:dyDescent="0.15">
      <c r="A1531" s="5" t="s">
        <v>1928</v>
      </c>
      <c r="D1531" t="str">
        <f ca="1">IFERROR(__xludf.DUMMYFUNCTION("split(A1531,""("")"),"Inspector Gadget ")</f>
        <v xml:space="preserve">Inspector Gadget </v>
      </c>
      <c r="E1531" t="str">
        <f ca="1">IFERROR(__xludf.DUMMYFUNCTION("""COMPUTED_VALUE"""),"TV Series 1983–1986)")</f>
        <v>TV Series 1983–1986)</v>
      </c>
    </row>
    <row r="1532" spans="1:5" ht="13" x14ac:dyDescent="0.15">
      <c r="A1532" s="5" t="s">
        <v>594</v>
      </c>
      <c r="D1532" t="str">
        <f ca="1">IFERROR(__xludf.DUMMYFUNCTION("split(A1532,""("")"),"Inspector Gadget ")</f>
        <v xml:space="preserve">Inspector Gadget </v>
      </c>
      <c r="E1532" t="str">
        <f ca="1">IFERROR(__xludf.DUMMYFUNCTION("""COMPUTED_VALUE"""),"TV Series 2015– )")</f>
        <v>TV Series 2015– )</v>
      </c>
    </row>
    <row r="1533" spans="1:5" ht="13" x14ac:dyDescent="0.15">
      <c r="A1533" s="5" t="s">
        <v>1929</v>
      </c>
      <c r="D1533" t="str">
        <f ca="1">IFERROR(__xludf.DUMMYFUNCTION("split(A1533,""("")"),"Inspector George Gently ")</f>
        <v xml:space="preserve">Inspector George Gently </v>
      </c>
      <c r="E1533" t="str">
        <f ca="1">IFERROR(__xludf.DUMMYFUNCTION("""COMPUTED_VALUE"""),"TV Series 2007–2017)")</f>
        <v>TV Series 2007–2017)</v>
      </c>
    </row>
    <row r="1534" spans="1:5" ht="13" x14ac:dyDescent="0.15">
      <c r="A1534" s="5" t="s">
        <v>1930</v>
      </c>
      <c r="D1534" t="str">
        <f ca="1">IFERROR(__xludf.DUMMYFUNCTION("split(A1534,""("")"),"Inspector Lewis ")</f>
        <v xml:space="preserve">Inspector Lewis </v>
      </c>
      <c r="E1534" t="str">
        <f ca="1">IFERROR(__xludf.DUMMYFUNCTION("""COMPUTED_VALUE"""),"TV Series 2006–2015)")</f>
        <v>TV Series 2006–2015)</v>
      </c>
    </row>
    <row r="1535" spans="1:5" ht="13" x14ac:dyDescent="0.15">
      <c r="A1535" s="5" t="s">
        <v>1931</v>
      </c>
      <c r="D1535" t="str">
        <f ca="1">IFERROR(__xludf.DUMMYFUNCTION("split(A1535,""("")"),"Inspector Morse ")</f>
        <v xml:space="preserve">Inspector Morse </v>
      </c>
      <c r="E1535" t="str">
        <f ca="1">IFERROR(__xludf.DUMMYFUNCTION("""COMPUTED_VALUE"""),"TV Series 1987–2000)")</f>
        <v>TV Series 1987–2000)</v>
      </c>
    </row>
    <row r="1536" spans="1:5" ht="13" x14ac:dyDescent="0.15">
      <c r="A1536" s="5" t="s">
        <v>1932</v>
      </c>
      <c r="D1536" t="str">
        <f ca="1">IFERROR(__xludf.DUMMYFUNCTION("split(A1536,""("")"),"Instant Mom ")</f>
        <v xml:space="preserve">Instant Mom </v>
      </c>
      <c r="E1536" t="str">
        <f ca="1">IFERROR(__xludf.DUMMYFUNCTION("""COMPUTED_VALUE"""),"TV Series 2013–2015)")</f>
        <v>TV Series 2013–2015)</v>
      </c>
    </row>
    <row r="1537" spans="1:5" ht="13" x14ac:dyDescent="0.15">
      <c r="A1537" s="5" t="s">
        <v>128</v>
      </c>
      <c r="D1537" t="str">
        <f ca="1">IFERROR(__xludf.DUMMYFUNCTION("split(A1537,""("")"),"Instinct ")</f>
        <v xml:space="preserve">Instinct </v>
      </c>
      <c r="E1537" t="str">
        <f ca="1">IFERROR(__xludf.DUMMYFUNCTION("""COMPUTED_VALUE"""),"TV Series 2018– )")</f>
        <v>TV Series 2018– )</v>
      </c>
    </row>
    <row r="1538" spans="1:5" ht="13" x14ac:dyDescent="0.15">
      <c r="A1538" s="5" t="s">
        <v>1933</v>
      </c>
      <c r="D1538" t="str">
        <f ca="1">IFERROR(__xludf.DUMMYFUNCTION("split(A1538,""("")"),"Instruktor ")</f>
        <v xml:space="preserve">Instruktor </v>
      </c>
      <c r="E1538" t="str">
        <f ca="1">IFERROR(__xludf.DUMMYFUNCTION("""COMPUTED_VALUE"""),"TV Series 2010– )")</f>
        <v>TV Series 2010– )</v>
      </c>
    </row>
    <row r="1539" spans="1:5" ht="13" x14ac:dyDescent="0.15">
      <c r="A1539" s="5" t="s">
        <v>1934</v>
      </c>
      <c r="D1539" t="str">
        <f ca="1">IFERROR(__xludf.DUMMYFUNCTION("split(A1539,""("")"),"Intelekt-shou LG Evryka! ")</f>
        <v xml:space="preserve">Intelekt-shou LG Evryka! </v>
      </c>
      <c r="E1539" t="str">
        <f ca="1">IFERROR(__xludf.DUMMYFUNCTION("""COMPUTED_VALUE"""),"TV Series 2001–2006)")</f>
        <v>TV Series 2001–2006)</v>
      </c>
    </row>
    <row r="1540" spans="1:5" ht="13" x14ac:dyDescent="0.15">
      <c r="A1540" s="5" t="s">
        <v>1935</v>
      </c>
      <c r="D1540" t="str">
        <f ca="1">IFERROR(__xludf.DUMMYFUNCTION("split(A1540,""("")"),"Intelligence ")</f>
        <v xml:space="preserve">Intelligence </v>
      </c>
      <c r="E1540" t="str">
        <f ca="1">IFERROR(__xludf.DUMMYFUNCTION("""COMPUTED_VALUE"""),"TV Series 2014)")</f>
        <v>TV Series 2014)</v>
      </c>
    </row>
    <row r="1541" spans="1:5" ht="13" x14ac:dyDescent="0.15">
      <c r="A1541" s="5" t="s">
        <v>1936</v>
      </c>
      <c r="D1541" t="str">
        <f ca="1">IFERROR(__xludf.DUMMYFUNCTION("split(A1541,""("")"),"Intervention ")</f>
        <v xml:space="preserve">Intervention </v>
      </c>
      <c r="E1541" t="str">
        <f ca="1">IFERROR(__xludf.DUMMYFUNCTION("""COMPUTED_VALUE"""),"TV Series 2005– )")</f>
        <v>TV Series 2005– )</v>
      </c>
    </row>
    <row r="1542" spans="1:5" ht="13" x14ac:dyDescent="0.15">
      <c r="A1542" s="5" t="s">
        <v>1937</v>
      </c>
      <c r="D1542" t="str">
        <f ca="1">IFERROR(__xludf.DUMMYFUNCTION("split(A1542,""("")"),"Into the Dark ")</f>
        <v xml:space="preserve">Into the Dark </v>
      </c>
      <c r="E1542" t="str">
        <f ca="1">IFERROR(__xludf.DUMMYFUNCTION("""COMPUTED_VALUE"""),"TV Series 2018– )")</f>
        <v>TV Series 2018– )</v>
      </c>
    </row>
    <row r="1543" spans="1:5" ht="13" x14ac:dyDescent="0.15">
      <c r="A1543" s="5" t="s">
        <v>1938</v>
      </c>
      <c r="D1543" t="str">
        <f ca="1">IFERROR(__xludf.DUMMYFUNCTION("split(A1543,""("")"),"Intruders ")</f>
        <v xml:space="preserve">Intruders </v>
      </c>
      <c r="E1543" t="str">
        <f ca="1">IFERROR(__xludf.DUMMYFUNCTION("""COMPUTED_VALUE"""),"TV Series 1992– )")</f>
        <v>TV Series 1992– )</v>
      </c>
    </row>
    <row r="1544" spans="1:5" ht="13" x14ac:dyDescent="0.15">
      <c r="A1544" s="5" t="s">
        <v>1939</v>
      </c>
      <c r="D1544" t="str">
        <f ca="1">IFERROR(__xludf.DUMMYFUNCTION("split(A1544,""("")"),"Inuyasha ")</f>
        <v xml:space="preserve">Inuyasha </v>
      </c>
      <c r="E1544" t="str">
        <f ca="1">IFERROR(__xludf.DUMMYFUNCTION("""COMPUTED_VALUE"""),"TV Series 2000–2004)")</f>
        <v>TV Series 2000–2004)</v>
      </c>
    </row>
    <row r="1545" spans="1:5" ht="13" x14ac:dyDescent="0.15">
      <c r="A1545" s="5" t="s">
        <v>1940</v>
      </c>
      <c r="D1545" t="str">
        <f ca="1">IFERROR(__xludf.DUMMYFUNCTION("split(A1545,""("")"),"Invader ZIM ")</f>
        <v xml:space="preserve">Invader ZIM </v>
      </c>
      <c r="E1545" t="str">
        <f ca="1">IFERROR(__xludf.DUMMYFUNCTION("""COMPUTED_VALUE"""),"TV Series 2001–2004)")</f>
        <v>TV Series 2001–2004)</v>
      </c>
    </row>
    <row r="1546" spans="1:5" ht="13" x14ac:dyDescent="0.15">
      <c r="A1546" s="5" t="s">
        <v>1941</v>
      </c>
      <c r="D1546" t="str">
        <f ca="1">IFERROR(__xludf.DUMMYFUNCTION("split(A1546,""("")"),"Invasion ")</f>
        <v xml:space="preserve">Invasion </v>
      </c>
      <c r="E1546" t="str">
        <f ca="1">IFERROR(__xludf.DUMMYFUNCTION("""COMPUTED_VALUE"""),"TV Series 2005–2006)")</f>
        <v>TV Series 2005–2006)</v>
      </c>
    </row>
    <row r="1547" spans="1:5" ht="13" x14ac:dyDescent="0.15">
      <c r="A1547" s="5" t="s">
        <v>1942</v>
      </c>
      <c r="D1547" t="str">
        <f ca="1">IFERROR(__xludf.DUMMYFUNCTION("split(A1547,""("")"),"Invasion America ")</f>
        <v xml:space="preserve">Invasion America </v>
      </c>
      <c r="E1547" t="str">
        <f ca="1">IFERROR(__xludf.DUMMYFUNCTION("""COMPUTED_VALUE"""),"TV Series 1998– )")</f>
        <v>TV Series 1998– )</v>
      </c>
    </row>
    <row r="1548" spans="1:5" ht="13" x14ac:dyDescent="0.15">
      <c r="A1548" s="5" t="s">
        <v>1943</v>
      </c>
      <c r="D1548" t="str">
        <f ca="1">IFERROR(__xludf.DUMMYFUNCTION("split(A1548,""("")"),"Invisible Heroes ")</f>
        <v xml:space="preserve">Invisible Heroes </v>
      </c>
      <c r="E1548" t="str">
        <f ca="1">IFERROR(__xludf.DUMMYFUNCTION("""COMPUTED_VALUE"""),"TV Series 2019– )")</f>
        <v>TV Series 2019– )</v>
      </c>
    </row>
    <row r="1549" spans="1:5" ht="13" x14ac:dyDescent="0.15">
      <c r="A1549" s="5" t="s">
        <v>1944</v>
      </c>
      <c r="D1549" t="str">
        <f ca="1">IFERROR(__xludf.DUMMYFUNCTION("split(A1549,""("")"),"Irgendwie und sowieso ")</f>
        <v xml:space="preserve">Irgendwie und sowieso </v>
      </c>
      <c r="E1549" t="str">
        <f ca="1">IFERROR(__xludf.DUMMYFUNCTION("""COMPUTED_VALUE"""),"TV Series 1986– )")</f>
        <v>TV Series 1986– )</v>
      </c>
    </row>
    <row r="1550" spans="1:5" ht="13" x14ac:dyDescent="0.15">
      <c r="A1550" s="5" t="s">
        <v>1945</v>
      </c>
      <c r="D1550" t="str">
        <f ca="1">IFERROR(__xludf.DUMMYFUNCTION("split(A1550,""("")"),"Iron Fist ")</f>
        <v xml:space="preserve">Iron Fist </v>
      </c>
      <c r="E1550" t="str">
        <f ca="1">IFERROR(__xludf.DUMMYFUNCTION("""COMPUTED_VALUE"""),"TV Series 2017–2018)")</f>
        <v>TV Series 2017–2018)</v>
      </c>
    </row>
    <row r="1551" spans="1:5" ht="13" x14ac:dyDescent="0.15">
      <c r="A1551" s="5" t="s">
        <v>69</v>
      </c>
      <c r="D1551" t="str">
        <f ca="1">IFERROR(__xludf.DUMMYFUNCTION("split(A1551,""("")"),"Iron Man ")</f>
        <v xml:space="preserve">Iron Man </v>
      </c>
      <c r="E1551" t="str">
        <f ca="1">IFERROR(__xludf.DUMMYFUNCTION("""COMPUTED_VALUE"""),"TV Series 2010– )")</f>
        <v>TV Series 2010– )</v>
      </c>
    </row>
    <row r="1552" spans="1:5" ht="13" x14ac:dyDescent="0.15">
      <c r="A1552" s="5" t="s">
        <v>70</v>
      </c>
      <c r="D1552" t="str">
        <f ca="1">IFERROR(__xludf.DUMMYFUNCTION("split(A1552,""("")"),"Iron Man: Armored Adventures ")</f>
        <v xml:space="preserve">Iron Man: Armored Adventures </v>
      </c>
      <c r="E1552" t="str">
        <f ca="1">IFERROR(__xludf.DUMMYFUNCTION("""COMPUTED_VALUE"""),"TV Series 2008–2012)")</f>
        <v>TV Series 2008–2012)</v>
      </c>
    </row>
    <row r="1553" spans="1:5" ht="13" x14ac:dyDescent="0.15">
      <c r="A1553" s="5" t="s">
        <v>1946</v>
      </c>
      <c r="D1553" t="str">
        <f ca="1">IFERROR(__xludf.DUMMYFUNCTION("split(A1553,""("")"),"Irrational Heart ")</f>
        <v xml:space="preserve">Irrational Heart </v>
      </c>
      <c r="E1553" t="str">
        <f ca="1">IFERROR(__xludf.DUMMYFUNCTION("""COMPUTED_VALUE"""),"TV Series 2011)")</f>
        <v>TV Series 2011)</v>
      </c>
    </row>
    <row r="1554" spans="1:5" ht="13" x14ac:dyDescent="0.15">
      <c r="A1554" s="5" t="s">
        <v>1947</v>
      </c>
      <c r="D1554" t="str">
        <f ca="1">IFERROR(__xludf.DUMMYFUNCTION("split(A1554,""("")"),"Isabel ")</f>
        <v xml:space="preserve">Isabel </v>
      </c>
      <c r="E1554" t="str">
        <f ca="1">IFERROR(__xludf.DUMMYFUNCTION("""COMPUTED_VALUE"""),"TV Series 2011–2014)")</f>
        <v>TV Series 2011–2014)</v>
      </c>
    </row>
    <row r="1555" spans="1:5" ht="13" x14ac:dyDescent="0.15">
      <c r="A1555" s="5" t="s">
        <v>1948</v>
      </c>
      <c r="D1555" t="str">
        <f ca="1">IFERROR(__xludf.DUMMYFUNCTION("split(A1555,""("")"),"Israel Moment ")</f>
        <v xml:space="preserve">Israel Moment </v>
      </c>
      <c r="E1555" t="str">
        <f ca="1">IFERROR(__xludf.DUMMYFUNCTION("""COMPUTED_VALUE"""),"TV Series 2014– )")</f>
        <v>TV Series 2014– )</v>
      </c>
    </row>
    <row r="1556" spans="1:5" ht="13" x14ac:dyDescent="0.15">
      <c r="A1556" s="5" t="s">
        <v>1949</v>
      </c>
      <c r="D1556" t="str">
        <f ca="1">IFERROR(__xludf.DUMMYFUNCTION("split(A1556,""("")"),"Issues ")</f>
        <v xml:space="preserve">Issues </v>
      </c>
      <c r="E1556" t="str">
        <f ca="1">IFERROR(__xludf.DUMMYFUNCTION("""COMPUTED_VALUE"""),"TV Series 2012– )")</f>
        <v>TV Series 2012– )</v>
      </c>
    </row>
    <row r="1557" spans="1:5" ht="13" x14ac:dyDescent="0.15">
      <c r="A1557" s="5" t="s">
        <v>1950</v>
      </c>
      <c r="D1557" t="str">
        <f ca="1">IFERROR(__xludf.DUMMYFUNCTION("split(A1557,""("")"),"It Could Be Worse ")</f>
        <v xml:space="preserve">It Could Be Worse </v>
      </c>
      <c r="E1557" t="str">
        <f ca="1">IFERROR(__xludf.DUMMYFUNCTION("""COMPUTED_VALUE"""),"TV Series 2013– )")</f>
        <v>TV Series 2013– )</v>
      </c>
    </row>
    <row r="1558" spans="1:5" ht="13" x14ac:dyDescent="0.15">
      <c r="A1558" s="5" t="s">
        <v>1951</v>
      </c>
      <c r="D1558" t="str">
        <f ca="1">IFERROR(__xludf.DUMMYFUNCTION("split(A1558,""("")"),"It Was Alright in the... ")</f>
        <v xml:space="preserve">It Was Alright in the... </v>
      </c>
      <c r="E1558" t="str">
        <f ca="1">IFERROR(__xludf.DUMMYFUNCTION("""COMPUTED_VALUE"""),"TV Series 2014– )")</f>
        <v>TV Series 2014– )</v>
      </c>
    </row>
    <row r="1559" spans="1:5" ht="13" x14ac:dyDescent="0.15">
      <c r="A1559" s="5" t="s">
        <v>1952</v>
      </c>
      <c r="D1559" t="str">
        <f ca="1">IFERROR(__xludf.DUMMYFUNCTION("split(A1559,""("")"),"It's a Hard Goth Life ")</f>
        <v xml:space="preserve">It's a Hard Goth Life </v>
      </c>
      <c r="E1559" t="str">
        <f ca="1">IFERROR(__xludf.DUMMYFUNCTION("""COMPUTED_VALUE"""),"TV Series 2016– )")</f>
        <v>TV Series 2016– )</v>
      </c>
    </row>
    <row r="1560" spans="1:5" ht="13" x14ac:dyDescent="0.15">
      <c r="A1560" s="5" t="s">
        <v>1953</v>
      </c>
      <c r="D1560" t="str">
        <f ca="1">IFERROR(__xludf.DUMMYFUNCTION("split(A1560,""("")"),"It's All Relative ")</f>
        <v xml:space="preserve">It's All Relative </v>
      </c>
      <c r="E1560" t="str">
        <f ca="1">IFERROR(__xludf.DUMMYFUNCTION("""COMPUTED_VALUE"""),"TV Series 2003–2004)")</f>
        <v>TV Series 2003–2004)</v>
      </c>
    </row>
    <row r="1561" spans="1:5" ht="13" x14ac:dyDescent="0.15">
      <c r="A1561" s="5" t="s">
        <v>1954</v>
      </c>
      <c r="D1561" t="str">
        <f ca="1">IFERROR(__xludf.DUMMYFUNCTION("split(A1561,""("")"),"It's Always Sunny in Philadelphia ")</f>
        <v xml:space="preserve">It's Always Sunny in Philadelphia </v>
      </c>
      <c r="E1561" t="str">
        <f ca="1">IFERROR(__xludf.DUMMYFUNCTION("""COMPUTED_VALUE"""),"TV Series 2005– )")</f>
        <v>TV Series 2005– )</v>
      </c>
    </row>
    <row r="1562" spans="1:5" ht="13" x14ac:dyDescent="0.15">
      <c r="A1562" s="5" t="s">
        <v>1955</v>
      </c>
      <c r="D1562" t="str">
        <f ca="1">IFERROR(__xludf.DUMMYFUNCTION("split(A1562,""("")"),"It's Me or the Dog ")</f>
        <v xml:space="preserve">It's Me or the Dog </v>
      </c>
      <c r="E1562" t="str">
        <f ca="1">IFERROR(__xludf.DUMMYFUNCTION("""COMPUTED_VALUE"""),"TV Series 2005–2008)")</f>
        <v>TV Series 2005–2008)</v>
      </c>
    </row>
    <row r="1563" spans="1:5" ht="13" x14ac:dyDescent="0.15">
      <c r="A1563" s="5" t="s">
        <v>1956</v>
      </c>
      <c r="D1563" t="str">
        <f ca="1">IFERROR(__xludf.DUMMYFUNCTION("split(A1563,""("")"),"Iznogoud ")</f>
        <v xml:space="preserve">Iznogoud </v>
      </c>
      <c r="E1563" t="str">
        <f ca="1">IFERROR(__xludf.DUMMYFUNCTION("""COMPUTED_VALUE"""),"TV Series 1995– )")</f>
        <v>TV Series 1995– )</v>
      </c>
    </row>
    <row r="1564" spans="1:5" ht="13" x14ac:dyDescent="0.15">
      <c r="A1564" s="5" t="s">
        <v>129</v>
      </c>
      <c r="D1564" t="str">
        <f ca="1">IFERROR(__xludf.DUMMYFUNCTION("split(A1564,""("")"),"iZombie ")</f>
        <v xml:space="preserve">iZombie </v>
      </c>
      <c r="E1564" t="str">
        <f ca="1">IFERROR(__xludf.DUMMYFUNCTION("""COMPUTED_VALUE"""),"TV Series 2015–2019)")</f>
        <v>TV Series 2015–2019)</v>
      </c>
    </row>
    <row r="1565" spans="1:5" ht="13" x14ac:dyDescent="0.15">
      <c r="A1565" s="5" t="s">
        <v>1957</v>
      </c>
      <c r="D1565" t="str">
        <f ca="1">IFERROR(__xludf.DUMMYFUNCTION("split(A1565,""("")"),"Ja'mie: Private School Girl ")</f>
        <v xml:space="preserve">Ja'mie: Private School Girl </v>
      </c>
      <c r="E1565" t="str">
        <f ca="1">IFERROR(__xludf.DUMMYFUNCTION("""COMPUTED_VALUE"""),"TV Series 2013)")</f>
        <v>TV Series 2013)</v>
      </c>
    </row>
    <row r="1566" spans="1:5" ht="13" x14ac:dyDescent="0.15">
      <c r="A1566" s="5" t="s">
        <v>1958</v>
      </c>
      <c r="D1566" t="str">
        <f ca="1">IFERROR(__xludf.DUMMYFUNCTION("split(A1566,""("")"),"Jack &amp; Bobby ")</f>
        <v xml:space="preserve">Jack &amp; Bobby </v>
      </c>
      <c r="E1566" t="str">
        <f ca="1">IFERROR(__xludf.DUMMYFUNCTION("""COMPUTED_VALUE"""),"TV Series 2004–2005)")</f>
        <v>TV Series 2004–2005)</v>
      </c>
    </row>
    <row r="1567" spans="1:5" ht="13" x14ac:dyDescent="0.15">
      <c r="A1567" s="5" t="s">
        <v>1959</v>
      </c>
      <c r="D1567" t="str">
        <f ca="1">IFERROR(__xludf.DUMMYFUNCTION("split(A1567,""("")"),"Jack of All Trades ")</f>
        <v xml:space="preserve">Jack of All Trades </v>
      </c>
      <c r="E1567" t="str">
        <f ca="1">IFERROR(__xludf.DUMMYFUNCTION("""COMPUTED_VALUE"""),"TV Series 2000)")</f>
        <v>TV Series 2000)</v>
      </c>
    </row>
    <row r="1568" spans="1:5" ht="13" x14ac:dyDescent="0.15">
      <c r="A1568" s="5" t="s">
        <v>1960</v>
      </c>
      <c r="D1568" t="str">
        <f ca="1">IFERROR(__xludf.DUMMYFUNCTION("split(A1568,""("")"),"Jack Whitehall: Travels with My Father ")</f>
        <v xml:space="preserve">Jack Whitehall: Travels with My Father </v>
      </c>
      <c r="E1568" t="str">
        <f ca="1">IFERROR(__xludf.DUMMYFUNCTION("""COMPUTED_VALUE"""),"TV Series 2017– )")</f>
        <v>TV Series 2017– )</v>
      </c>
    </row>
    <row r="1569" spans="1:5" ht="13" x14ac:dyDescent="0.15">
      <c r="A1569" s="5" t="s">
        <v>1961</v>
      </c>
      <c r="D1569" t="str">
        <f ca="1">IFERROR(__xludf.DUMMYFUNCTION("split(A1569,""("")"),"Jackass ")</f>
        <v xml:space="preserve">Jackass </v>
      </c>
      <c r="E1569" t="str">
        <f ca="1">IFERROR(__xludf.DUMMYFUNCTION("""COMPUTED_VALUE"""),"TV Series 2000–2007)")</f>
        <v>TV Series 2000–2007)</v>
      </c>
    </row>
    <row r="1570" spans="1:5" ht="13" x14ac:dyDescent="0.15">
      <c r="A1570" s="5" t="s">
        <v>217</v>
      </c>
      <c r="D1570" t="str">
        <f ca="1">IFERROR(__xludf.DUMMYFUNCTION("split(A1570,""("")"),"Jackie Chan Adventures ")</f>
        <v xml:space="preserve">Jackie Chan Adventures </v>
      </c>
      <c r="E1570" t="str">
        <f ca="1">IFERROR(__xludf.DUMMYFUNCTION("""COMPUTED_VALUE"""),"TV Series 2000–2005)")</f>
        <v>TV Series 2000–2005)</v>
      </c>
    </row>
    <row r="1571" spans="1:5" ht="13" x14ac:dyDescent="0.15">
      <c r="A1571" s="5" t="s">
        <v>1962</v>
      </c>
      <c r="D1571" t="str">
        <f ca="1">IFERROR(__xludf.DUMMYFUNCTION("split(A1571,""("")"),"JAG ")</f>
        <v xml:space="preserve">JAG </v>
      </c>
      <c r="E1571" t="str">
        <f ca="1">IFERROR(__xludf.DUMMYFUNCTION("""COMPUTED_VALUE"""),"TV Series 1995–2005)")</f>
        <v>TV Series 1995–2005)</v>
      </c>
    </row>
    <row r="1572" spans="1:5" ht="13" x14ac:dyDescent="0.15">
      <c r="A1572" s="5" t="s">
        <v>1963</v>
      </c>
      <c r="D1572" t="str">
        <f ca="1">IFERROR(__xludf.DUMMYFUNCTION("split(A1572,""("")"),"Jakers! The Adventures of Piggley Winks ")</f>
        <v xml:space="preserve">Jakers! The Adventures of Piggley Winks </v>
      </c>
      <c r="E1572" t="str">
        <f ca="1">IFERROR(__xludf.DUMMYFUNCTION("""COMPUTED_VALUE"""),"TV Series 2003–2005)")</f>
        <v>TV Series 2003–2005)</v>
      </c>
    </row>
    <row r="1573" spans="1:5" ht="13" x14ac:dyDescent="0.15">
      <c r="A1573" s="5" t="s">
        <v>442</v>
      </c>
      <c r="D1573" t="str">
        <f ca="1">IFERROR(__xludf.DUMMYFUNCTION("split(A1573,""("")"),"James Bond Jr. ")</f>
        <v xml:space="preserve">James Bond Jr. </v>
      </c>
      <c r="E1573" t="str">
        <f ca="1">IFERROR(__xludf.DUMMYFUNCTION("""COMPUTED_VALUE"""),"TV Series 1991–1992)")</f>
        <v>TV Series 1991–1992)</v>
      </c>
    </row>
    <row r="1574" spans="1:5" ht="13" x14ac:dyDescent="0.15">
      <c r="A1574" s="5" t="s">
        <v>595</v>
      </c>
      <c r="D1574" t="str">
        <f ca="1">IFERROR(__xludf.DUMMYFUNCTION("split(A1574,""("")"),"James May's Cars of the People ")</f>
        <v xml:space="preserve">James May's Cars of the People </v>
      </c>
      <c r="E1574" t="str">
        <f ca="1">IFERROR(__xludf.DUMMYFUNCTION("""COMPUTED_VALUE"""),"TV Mini-Series 2014– )")</f>
        <v>TV Mini-Series 2014– )</v>
      </c>
    </row>
    <row r="1575" spans="1:5" ht="13" x14ac:dyDescent="0.15">
      <c r="A1575" s="5" t="s">
        <v>596</v>
      </c>
      <c r="D1575" t="str">
        <f ca="1">IFERROR(__xludf.DUMMYFUNCTION("split(A1575,""("")"),"James May's Man Lab ")</f>
        <v xml:space="preserve">James May's Man Lab </v>
      </c>
      <c r="E1575" t="str">
        <f ca="1">IFERROR(__xludf.DUMMYFUNCTION("""COMPUTED_VALUE"""),"TV Series 2010– )")</f>
        <v>TV Series 2010– )</v>
      </c>
    </row>
    <row r="1576" spans="1:5" ht="13" x14ac:dyDescent="0.15">
      <c r="A1576" s="5" t="s">
        <v>130</v>
      </c>
      <c r="D1576" t="str">
        <f ca="1">IFERROR(__xludf.DUMMYFUNCTION("split(A1576,""("")"),"James Patterson's Murder Is Forever ")</f>
        <v xml:space="preserve">James Patterson's Murder Is Forever </v>
      </c>
      <c r="E1576" t="str">
        <f ca="1">IFERROR(__xludf.DUMMYFUNCTION("""COMPUTED_VALUE"""),"TV Series 2018– )")</f>
        <v>TV Series 2018– )</v>
      </c>
    </row>
    <row r="1577" spans="1:5" ht="13" x14ac:dyDescent="0.15">
      <c r="A1577" s="5" t="s">
        <v>1964</v>
      </c>
      <c r="D1577" t="str">
        <f ca="1">IFERROR(__xludf.DUMMYFUNCTION("split(A1577,""("")"),"Jamestown ")</f>
        <v xml:space="preserve">Jamestown </v>
      </c>
      <c r="E1577" t="str">
        <f ca="1">IFERROR(__xludf.DUMMYFUNCTION("""COMPUTED_VALUE"""),"TV Series 2017– )")</f>
        <v>TV Series 2017– )</v>
      </c>
    </row>
    <row r="1578" spans="1:5" ht="13" x14ac:dyDescent="0.15">
      <c r="A1578" s="5" t="s">
        <v>597</v>
      </c>
      <c r="D1578" t="str">
        <f ca="1">IFERROR(__xludf.DUMMYFUNCTION("split(A1578,""("")"),"Jamie's 30 Minute Meals ")</f>
        <v xml:space="preserve">Jamie's 30 Minute Meals </v>
      </c>
      <c r="E1578" t="str">
        <f ca="1">IFERROR(__xludf.DUMMYFUNCTION("""COMPUTED_VALUE"""),"TV Series 2010– )")</f>
        <v>TV Series 2010– )</v>
      </c>
    </row>
    <row r="1579" spans="1:5" ht="13" x14ac:dyDescent="0.15">
      <c r="A1579" s="5" t="s">
        <v>598</v>
      </c>
      <c r="D1579" t="str">
        <f ca="1">IFERROR(__xludf.DUMMYFUNCTION("split(A1579,""("")"),"Jamie's Great Escape ")</f>
        <v xml:space="preserve">Jamie's Great Escape </v>
      </c>
      <c r="E1579" t="str">
        <f ca="1">IFERROR(__xludf.DUMMYFUNCTION("""COMPUTED_VALUE"""),"TV Series 2005– )")</f>
        <v>TV Series 2005– )</v>
      </c>
    </row>
    <row r="1580" spans="1:5" ht="13" x14ac:dyDescent="0.15">
      <c r="A1580" s="5" t="s">
        <v>599</v>
      </c>
      <c r="D1580" t="str">
        <f ca="1">IFERROR(__xludf.DUMMYFUNCTION("split(A1580,""("")"),"Jamie's Money Saving Meals ")</f>
        <v xml:space="preserve">Jamie's Money Saving Meals </v>
      </c>
      <c r="E1580" t="str">
        <f ca="1">IFERROR(__xludf.DUMMYFUNCTION("""COMPUTED_VALUE"""),"TV Series 2013– )")</f>
        <v>TV Series 2013– )</v>
      </c>
    </row>
    <row r="1581" spans="1:5" ht="13" x14ac:dyDescent="0.15">
      <c r="A1581" s="5" t="s">
        <v>1965</v>
      </c>
      <c r="D1581" t="str">
        <f ca="1">IFERROR(__xludf.DUMMYFUNCTION("split(A1581,""("")"),"Jamillah and Aladdin ")</f>
        <v xml:space="preserve">Jamillah and Aladdin </v>
      </c>
      <c r="E1581" t="str">
        <f ca="1">IFERROR(__xludf.DUMMYFUNCTION("""COMPUTED_VALUE"""),"TV Series 2015– )")</f>
        <v>TV Series 2015– )</v>
      </c>
    </row>
    <row r="1582" spans="1:5" ht="13" x14ac:dyDescent="0.15">
      <c r="A1582" s="5" t="s">
        <v>1966</v>
      </c>
      <c r="D1582" t="str">
        <f ca="1">IFERROR(__xludf.DUMMYFUNCTION("split(A1582,""("")"),"Jan Hanko ")</f>
        <v xml:space="preserve">Jan Hanko </v>
      </c>
      <c r="E1582" t="str">
        <f ca="1">IFERROR(__xludf.DUMMYFUNCTION("""COMPUTED_VALUE"""),"TV Series 2017– )")</f>
        <v>TV Series 2017– )</v>
      </c>
    </row>
    <row r="1583" spans="1:5" ht="13" x14ac:dyDescent="0.15">
      <c r="A1583" s="5" t="s">
        <v>1967</v>
      </c>
      <c r="D1583" t="str">
        <f ca="1">IFERROR(__xludf.DUMMYFUNCTION("split(A1583,""("")"),"Jana Kotysan ")</f>
        <v xml:space="preserve">Jana Kotysan </v>
      </c>
      <c r="E1583" t="str">
        <f ca="1">IFERROR(__xludf.DUMMYFUNCTION("""COMPUTED_VALUE"""),"TV Series 2017– )")</f>
        <v>TV Series 2017– )</v>
      </c>
    </row>
    <row r="1584" spans="1:5" ht="13" x14ac:dyDescent="0.15">
      <c r="A1584" s="5" t="s">
        <v>1968</v>
      </c>
      <c r="D1584" t="str">
        <f ca="1">IFERROR(__xludf.DUMMYFUNCTION("split(A1584,""("")"),"Jane ")</f>
        <v xml:space="preserve">Jane </v>
      </c>
      <c r="E1584" t="str">
        <f ca="1">IFERROR(__xludf.DUMMYFUNCTION("""COMPUTED_VALUE"""),"TV Series 1982–1984)")</f>
        <v>TV Series 1982–1984)</v>
      </c>
    </row>
    <row r="1585" spans="1:5" ht="13" x14ac:dyDescent="0.15">
      <c r="A1585" s="5" t="s">
        <v>218</v>
      </c>
      <c r="D1585" t="str">
        <f ca="1">IFERROR(__xludf.DUMMYFUNCTION("split(A1585,""("")"),"Jane the Virgin ")</f>
        <v xml:space="preserve">Jane the Virgin </v>
      </c>
      <c r="E1585" t="str">
        <f ca="1">IFERROR(__xludf.DUMMYFUNCTION("""COMPUTED_VALUE"""),"TV Series 2014–2019)")</f>
        <v>TV Series 2014–2019)</v>
      </c>
    </row>
    <row r="1586" spans="1:5" ht="13" x14ac:dyDescent="0.15">
      <c r="A1586" s="5" t="s">
        <v>1969</v>
      </c>
      <c r="D1586" t="str">
        <f ca="1">IFERROR(__xludf.DUMMYFUNCTION("split(A1586,""("")"),"Janet King ")</f>
        <v xml:space="preserve">Janet King </v>
      </c>
      <c r="E1586" t="str">
        <f ca="1">IFERROR(__xludf.DUMMYFUNCTION("""COMPUTED_VALUE"""),"TV Series 2014– )")</f>
        <v>TV Series 2014– )</v>
      </c>
    </row>
    <row r="1587" spans="1:5" ht="13" x14ac:dyDescent="0.15">
      <c r="A1587" s="5" t="s">
        <v>1970</v>
      </c>
      <c r="D1587" t="str">
        <f ca="1">IFERROR(__xludf.DUMMYFUNCTION("split(A1587,""("")"),"Jeeves and Wooster ")</f>
        <v xml:space="preserve">Jeeves and Wooster </v>
      </c>
      <c r="E1587" t="str">
        <f ca="1">IFERROR(__xludf.DUMMYFUNCTION("""COMPUTED_VALUE"""),"TV Series 1990–1993)")</f>
        <v>TV Series 1990–1993)</v>
      </c>
    </row>
    <row r="1588" spans="1:5" ht="13" x14ac:dyDescent="0.15">
      <c r="A1588" s="5" t="s">
        <v>1971</v>
      </c>
      <c r="D1588" t="str">
        <f ca="1">IFERROR(__xludf.DUMMYFUNCTION("split(A1588,""("")"),"JellybeanASMR ")</f>
        <v xml:space="preserve">JellybeanASMR </v>
      </c>
      <c r="E1588" t="str">
        <f ca="1">IFERROR(__xludf.DUMMYFUNCTION("""COMPUTED_VALUE"""),"TV Series 2014– )")</f>
        <v>TV Series 2014– )</v>
      </c>
    </row>
    <row r="1589" spans="1:5" ht="13" x14ac:dyDescent="0.15">
      <c r="A1589" s="5" t="s">
        <v>1972</v>
      </c>
      <c r="D1589" t="str">
        <f ca="1">IFERROR(__xludf.DUMMYFUNCTION("split(A1589,""("")"),"Jem ")</f>
        <v xml:space="preserve">Jem </v>
      </c>
      <c r="E1589" t="str">
        <f ca="1">IFERROR(__xludf.DUMMYFUNCTION("""COMPUTED_VALUE"""),"TV Series 1985–1988)")</f>
        <v>TV Series 1985–1988)</v>
      </c>
    </row>
    <row r="1590" spans="1:5" ht="13" x14ac:dyDescent="0.15">
      <c r="A1590" s="5" t="s">
        <v>1973</v>
      </c>
      <c r="D1590" t="str">
        <f ca="1">IFERROR(__xludf.DUMMYFUNCTION("split(A1590,""("")"),"Jericho ")</f>
        <v xml:space="preserve">Jericho </v>
      </c>
      <c r="E1590" t="str">
        <f ca="1">IFERROR(__xludf.DUMMYFUNCTION("""COMPUTED_VALUE"""),"TV Series 2006–2008)")</f>
        <v>TV Series 2006–2008)</v>
      </c>
    </row>
    <row r="1591" spans="1:5" ht="13" x14ac:dyDescent="0.15">
      <c r="A1591" s="5" t="s">
        <v>1974</v>
      </c>
      <c r="D1591" t="str">
        <f ca="1">IFERROR(__xludf.DUMMYFUNCTION("split(A1591,""("")"),"Jersey Shore ")</f>
        <v xml:space="preserve">Jersey Shore </v>
      </c>
      <c r="E1591" t="str">
        <f ca="1">IFERROR(__xludf.DUMMYFUNCTION("""COMPUTED_VALUE"""),"TV Series 2009–2012)")</f>
        <v>TV Series 2009–2012)</v>
      </c>
    </row>
    <row r="1592" spans="1:5" ht="13" x14ac:dyDescent="0.15">
      <c r="A1592" s="5" t="s">
        <v>600</v>
      </c>
      <c r="D1592" t="str">
        <f ca="1">IFERROR(__xludf.DUMMYFUNCTION("split(A1592,""("")"),"Jersey Shore Family Vacation ")</f>
        <v xml:space="preserve">Jersey Shore Family Vacation </v>
      </c>
      <c r="E1592" t="str">
        <f ca="1">IFERROR(__xludf.DUMMYFUNCTION("""COMPUTED_VALUE"""),"TV Series 2018– )")</f>
        <v>TV Series 2018– )</v>
      </c>
    </row>
    <row r="1593" spans="1:5" ht="13" x14ac:dyDescent="0.15">
      <c r="A1593" s="5" t="s">
        <v>601</v>
      </c>
      <c r="D1593" t="str">
        <f ca="1">IFERROR(__xludf.DUMMYFUNCTION("split(A1593,""("")"),"Jerseylicious ")</f>
        <v xml:space="preserve">Jerseylicious </v>
      </c>
      <c r="E1593" t="str">
        <f ca="1">IFERROR(__xludf.DUMMYFUNCTION("""COMPUTED_VALUE"""),"TV Series 2010– )")</f>
        <v>TV Series 2010– )</v>
      </c>
    </row>
    <row r="1594" spans="1:5" ht="13" x14ac:dyDescent="0.15">
      <c r="A1594" s="5" t="s">
        <v>465</v>
      </c>
      <c r="D1594" t="str">
        <f ca="1">IFERROR(__xludf.DUMMYFUNCTION("split(A1594,""("")"),"Jessica Jones ")</f>
        <v xml:space="preserve">Jessica Jones </v>
      </c>
      <c r="E1594" t="str">
        <f ca="1">IFERROR(__xludf.DUMMYFUNCTION("""COMPUTED_VALUE"""),"TV Series 2015–2019)")</f>
        <v>TV Series 2015–2019)</v>
      </c>
    </row>
    <row r="1595" spans="1:5" ht="13" x14ac:dyDescent="0.15">
      <c r="A1595" s="5" t="s">
        <v>1975</v>
      </c>
      <c r="D1595" t="str">
        <f ca="1">IFERROR(__xludf.DUMMYFUNCTION("split(A1595,""("")"),"Jessie ")</f>
        <v xml:space="preserve">Jessie </v>
      </c>
      <c r="E1595" t="str">
        <f ca="1">IFERROR(__xludf.DUMMYFUNCTION("""COMPUTED_VALUE"""),"TV Series 2011–2015)")</f>
        <v>TV Series 2011–2015)</v>
      </c>
    </row>
    <row r="1596" spans="1:5" ht="13" x14ac:dyDescent="0.15">
      <c r="A1596" s="5" t="s">
        <v>1976</v>
      </c>
      <c r="D1596" t="str">
        <f ca="1">IFERROR(__xludf.DUMMYFUNCTION("split(A1596,""("")"),"Jesus &amp; Josefine ")</f>
        <v xml:space="preserve">Jesus &amp; Josefine </v>
      </c>
      <c r="E1596" t="str">
        <f ca="1">IFERROR(__xludf.DUMMYFUNCTION("""COMPUTED_VALUE"""),"TV Series 2003)")</f>
        <v>TV Series 2003)</v>
      </c>
    </row>
    <row r="1597" spans="1:5" ht="13" x14ac:dyDescent="0.15">
      <c r="A1597" s="5" t="s">
        <v>1977</v>
      </c>
      <c r="D1597" t="str">
        <f ca="1">IFERROR(__xludf.DUMMYFUNCTION("split(A1597,""("")"),"Jetstream ")</f>
        <v xml:space="preserve">Jetstream </v>
      </c>
      <c r="E1597" t="str">
        <f ca="1">IFERROR(__xludf.DUMMYFUNCTION("""COMPUTED_VALUE"""),"TV Series 2008– )")</f>
        <v>TV Series 2008– )</v>
      </c>
    </row>
    <row r="1598" spans="1:5" ht="13" x14ac:dyDescent="0.15">
      <c r="A1598" s="5" t="s">
        <v>1978</v>
      </c>
      <c r="D1598" t="str">
        <f ca="1">IFERROR(__xludf.DUMMYFUNCTION("split(A1598,""("")"),"Jill &amp; Jessa Counting On ")</f>
        <v xml:space="preserve">Jill &amp; Jessa Counting On </v>
      </c>
      <c r="E1598" t="str">
        <f ca="1">IFERROR(__xludf.DUMMYFUNCTION("""COMPUTED_VALUE"""),"TV Series 2015– )")</f>
        <v>TV Series 2015– )</v>
      </c>
    </row>
    <row r="1599" spans="1:5" ht="13" x14ac:dyDescent="0.15">
      <c r="A1599" s="5" t="s">
        <v>1979</v>
      </c>
      <c r="D1599" t="str">
        <f ca="1">IFERROR(__xludf.DUMMYFUNCTION("split(A1599,""("")"),"Jimmy Two-Shoes ")</f>
        <v xml:space="preserve">Jimmy Two-Shoes </v>
      </c>
      <c r="E1599" t="str">
        <f ca="1">IFERROR(__xludf.DUMMYFUNCTION("""COMPUTED_VALUE"""),"TV Series 2009–2011)")</f>
        <v>TV Series 2009–2011)</v>
      </c>
    </row>
    <row r="1600" spans="1:5" ht="13" x14ac:dyDescent="0.15">
      <c r="A1600" s="5" t="s">
        <v>1980</v>
      </c>
      <c r="D1600" t="str">
        <f ca="1">IFERROR(__xludf.DUMMYFUNCTION("split(A1600,""("")"),"Jitka Novácková ")</f>
        <v xml:space="preserve">Jitka Novácková </v>
      </c>
      <c r="E1600" t="str">
        <f ca="1">IFERROR(__xludf.DUMMYFUNCTION("""COMPUTED_VALUE"""),"TV Series 2017– )")</f>
        <v>TV Series 2017– )</v>
      </c>
    </row>
    <row r="1601" spans="1:5" ht="13" x14ac:dyDescent="0.15">
      <c r="A1601" s="5" t="s">
        <v>1981</v>
      </c>
      <c r="D1601" t="str">
        <f ca="1">IFERROR(__xludf.DUMMYFUNCTION("split(A1601,""("")"),"Jmenuju Se Martin ")</f>
        <v xml:space="preserve">Jmenuju Se Martin </v>
      </c>
      <c r="E1601" t="str">
        <f ca="1">IFERROR(__xludf.DUMMYFUNCTION("""COMPUTED_VALUE"""),"TV Series 2014– )")</f>
        <v>TV Series 2014– )</v>
      </c>
    </row>
    <row r="1602" spans="1:5" ht="13" x14ac:dyDescent="0.15">
      <c r="A1602" s="5" t="s">
        <v>1982</v>
      </c>
      <c r="D1602" t="str">
        <f ca="1">IFERROR(__xludf.DUMMYFUNCTION("split(A1602,""("")"),"Joan of Arcadia ")</f>
        <v xml:space="preserve">Joan of Arcadia </v>
      </c>
      <c r="E1602" t="str">
        <f ca="1">IFERROR(__xludf.DUMMYFUNCTION("""COMPUTED_VALUE"""),"TV Series 2003–2005)")</f>
        <v>TV Series 2003–2005)</v>
      </c>
    </row>
    <row r="1603" spans="1:5" ht="13" x14ac:dyDescent="0.15">
      <c r="A1603" s="5" t="s">
        <v>1983</v>
      </c>
      <c r="D1603" t="str">
        <f ca="1">IFERROR(__xludf.DUMMYFUNCTION("split(A1603,""("")"),"Joaquin Bordado ")</f>
        <v xml:space="preserve">Joaquin Bordado </v>
      </c>
      <c r="E1603" t="str">
        <f ca="1">IFERROR(__xludf.DUMMYFUNCTION("""COMPUTED_VALUE"""),"TV Series 2008– )")</f>
        <v>TV Series 2008– )</v>
      </c>
    </row>
    <row r="1604" spans="1:5" ht="13" x14ac:dyDescent="0.15">
      <c r="A1604" s="5" t="s">
        <v>1984</v>
      </c>
      <c r="D1604" t="str">
        <f ca="1">IFERROR(__xludf.DUMMYFUNCTION("split(A1604,""("")"),"Joe Millionaire ")</f>
        <v xml:space="preserve">Joe Millionaire </v>
      </c>
      <c r="E1604" t="str">
        <f ca="1">IFERROR(__xludf.DUMMYFUNCTION("""COMPUTED_VALUE"""),"TV Series 2003)")</f>
        <v>TV Series 2003)</v>
      </c>
    </row>
    <row r="1605" spans="1:5" ht="13" x14ac:dyDescent="0.15">
      <c r="A1605" s="5" t="s">
        <v>602</v>
      </c>
      <c r="D1605" t="str">
        <f ca="1">IFERROR(__xludf.DUMMYFUNCTION("split(A1605,""("")"),"Joey ")</f>
        <v xml:space="preserve">Joey </v>
      </c>
      <c r="E1605" t="str">
        <f ca="1">IFERROR(__xludf.DUMMYFUNCTION("""COMPUTED_VALUE"""),"TV Series 2004–2006)")</f>
        <v>TV Series 2004–2006)</v>
      </c>
    </row>
    <row r="1606" spans="1:5" ht="13" x14ac:dyDescent="0.15">
      <c r="A1606" s="5" t="s">
        <v>1985</v>
      </c>
      <c r="D1606" t="str">
        <f ca="1">IFERROR(__xludf.DUMMYFUNCTION("split(A1606,""("")"),"John Safran vs. God ")</f>
        <v xml:space="preserve">John Safran vs. God </v>
      </c>
      <c r="E1606" t="str">
        <f ca="1">IFERROR(__xludf.DUMMYFUNCTION("""COMPUTED_VALUE"""),"TV Series 2004)")</f>
        <v>TV Series 2004)</v>
      </c>
    </row>
    <row r="1607" spans="1:5" ht="13" x14ac:dyDescent="0.15">
      <c r="A1607" s="5" t="s">
        <v>1986</v>
      </c>
      <c r="D1607" t="str">
        <f ca="1">IFERROR(__xludf.DUMMYFUNCTION("split(A1607,""("")"),"Johnny Bravo ")</f>
        <v xml:space="preserve">Johnny Bravo </v>
      </c>
      <c r="E1607" t="str">
        <f ca="1">IFERROR(__xludf.DUMMYFUNCTION("""COMPUTED_VALUE"""),"TV Series 1997–2004)")</f>
        <v>TV Series 1997–2004)</v>
      </c>
    </row>
    <row r="1608" spans="1:5" ht="13" x14ac:dyDescent="0.15">
      <c r="A1608" s="5" t="s">
        <v>1987</v>
      </c>
      <c r="D1608" t="str">
        <f ca="1">IFERROR(__xludf.DUMMYFUNCTION("split(A1608,""("")"),"Johnny Test ")</f>
        <v xml:space="preserve">Johnny Test </v>
      </c>
      <c r="E1608" t="str">
        <f ca="1">IFERROR(__xludf.DUMMYFUNCTION("""COMPUTED_VALUE"""),"TV Series 2005–2014)")</f>
        <v>TV Series 2005–2014)</v>
      </c>
    </row>
    <row r="1609" spans="1:5" ht="13" x14ac:dyDescent="0.15">
      <c r="A1609" s="5" t="s">
        <v>1988</v>
      </c>
      <c r="D1609" t="str">
        <f ca="1">IFERROR(__xludf.DUMMYFUNCTION("split(A1609,""("")"),"Jon &amp; Kate Plus 8 ")</f>
        <v xml:space="preserve">Jon &amp; Kate Plus 8 </v>
      </c>
      <c r="E1609" t="str">
        <f ca="1">IFERROR(__xludf.DUMMYFUNCTION("""COMPUTED_VALUE"""),"TV Series 2007–2009)")</f>
        <v>TV Series 2007–2009)</v>
      </c>
    </row>
    <row r="1610" spans="1:5" ht="13" x14ac:dyDescent="0.15">
      <c r="A1610" s="5" t="s">
        <v>1989</v>
      </c>
      <c r="D1610" t="str">
        <f ca="1">IFERROR(__xludf.DUMMYFUNCTION("split(A1610,""("")"),"Jon Benjamin Has a Van ")</f>
        <v xml:space="preserve">Jon Benjamin Has a Van </v>
      </c>
      <c r="E1610" t="str">
        <f ca="1">IFERROR(__xludf.DUMMYFUNCTION("""COMPUTED_VALUE"""),"TV Series 2011)")</f>
        <v>TV Series 2011)</v>
      </c>
    </row>
    <row r="1611" spans="1:5" ht="13" x14ac:dyDescent="0.15">
      <c r="A1611" s="5" t="s">
        <v>131</v>
      </c>
      <c r="D1611" t="str">
        <f ca="1">IFERROR(__xludf.DUMMYFUNCTION("split(A1611,""("")"),"Jonah Hex: Motion Comics ")</f>
        <v xml:space="preserve">Jonah Hex: Motion Comics </v>
      </c>
      <c r="E1611" t="str">
        <f ca="1">IFERROR(__xludf.DUMMYFUNCTION("""COMPUTED_VALUE"""),"TV Series 2010– )")</f>
        <v>TV Series 2010– )</v>
      </c>
    </row>
    <row r="1612" spans="1:5" ht="13" x14ac:dyDescent="0.15">
      <c r="A1612" s="5" t="s">
        <v>1990</v>
      </c>
      <c r="D1612" t="str">
        <f ca="1">IFERROR(__xludf.DUMMYFUNCTION("split(A1612,""("")"),"Jonathan Bird's Blue World ")</f>
        <v xml:space="preserve">Jonathan Bird's Blue World </v>
      </c>
      <c r="E1612" t="str">
        <f ca="1">IFERROR(__xludf.DUMMYFUNCTION("""COMPUTED_VALUE"""),"TV Series 2008– )")</f>
        <v>TV Series 2008– )</v>
      </c>
    </row>
    <row r="1613" spans="1:5" ht="13" x14ac:dyDescent="0.15">
      <c r="A1613" s="5" t="s">
        <v>1991</v>
      </c>
      <c r="D1613" t="str">
        <f ca="1">IFERROR(__xludf.DUMMYFUNCTION("split(A1613,""("")"),"Jonathan Creek ")</f>
        <v xml:space="preserve">Jonathan Creek </v>
      </c>
      <c r="E1613" t="str">
        <f ca="1">IFERROR(__xludf.DUMMYFUNCTION("""COMPUTED_VALUE"""),"TV Series 1997–2016)")</f>
        <v>TV Series 1997–2016)</v>
      </c>
    </row>
    <row r="1614" spans="1:5" ht="13" x14ac:dyDescent="0.15">
      <c r="A1614" s="5" t="s">
        <v>1992</v>
      </c>
      <c r="D1614" t="str">
        <f ca="1">IFERROR(__xludf.DUMMYFUNCTION("split(A1614,""("")"),"Jonny Briggs ")</f>
        <v xml:space="preserve">Jonny Briggs </v>
      </c>
      <c r="E1614" t="str">
        <f ca="1">IFERROR(__xludf.DUMMYFUNCTION("""COMPUTED_VALUE"""),"TV Series 1985–1987)")</f>
        <v>TV Series 1985–1987)</v>
      </c>
    </row>
    <row r="1615" spans="1:5" ht="13" x14ac:dyDescent="0.15">
      <c r="A1615" s="5" t="s">
        <v>1993</v>
      </c>
      <c r="D1615" t="str">
        <f ca="1">IFERROR(__xludf.DUMMYFUNCTION("split(A1615,""("")"),"Jordskott ")</f>
        <v xml:space="preserve">Jordskott </v>
      </c>
      <c r="E1615" t="str">
        <f ca="1">IFERROR(__xludf.DUMMYFUNCTION("""COMPUTED_VALUE"""),"TV Series 2015– )")</f>
        <v>TV Series 2015– )</v>
      </c>
    </row>
    <row r="1616" spans="1:5" ht="13" x14ac:dyDescent="0.15">
      <c r="A1616" s="5" t="s">
        <v>1994</v>
      </c>
      <c r="D1616" t="str">
        <f ca="1">IFERROR(__xludf.DUMMYFUNCTION("split(A1616,""("")"),"Judas Goat ")</f>
        <v xml:space="preserve">Judas Goat </v>
      </c>
      <c r="E1616" t="str">
        <f ca="1">IFERROR(__xludf.DUMMYFUNCTION("""COMPUTED_VALUE"""),"TV Series 2014– )")</f>
        <v>TV Series 2014– )</v>
      </c>
    </row>
    <row r="1617" spans="1:5" ht="13" x14ac:dyDescent="0.15">
      <c r="A1617" s="5" t="s">
        <v>1995</v>
      </c>
      <c r="D1617" t="str">
        <f ca="1">IFERROR(__xludf.DUMMYFUNCTION("split(A1617,""("")"),"Judge John Deed ")</f>
        <v xml:space="preserve">Judge John Deed </v>
      </c>
      <c r="E1617" t="str">
        <f ca="1">IFERROR(__xludf.DUMMYFUNCTION("""COMPUTED_VALUE"""),"TV Series 2001–2007)")</f>
        <v>TV Series 2001–2007)</v>
      </c>
    </row>
    <row r="1618" spans="1:5" ht="13" x14ac:dyDescent="0.15">
      <c r="A1618" s="5" t="s">
        <v>1996</v>
      </c>
      <c r="D1618" t="str">
        <f ca="1">IFERROR(__xludf.DUMMYFUNCTION("split(A1618,""("")"),"Judge Judy ")</f>
        <v xml:space="preserve">Judge Judy </v>
      </c>
      <c r="E1618" t="str">
        <f ca="1">IFERROR(__xludf.DUMMYFUNCTION("""COMPUTED_VALUE"""),"TV Series 1996– )")</f>
        <v>TV Series 1996– )</v>
      </c>
    </row>
    <row r="1619" spans="1:5" ht="13" x14ac:dyDescent="0.15">
      <c r="A1619" s="5" t="s">
        <v>1997</v>
      </c>
      <c r="D1619" t="str">
        <f ca="1">IFERROR(__xludf.DUMMYFUNCTION("split(A1619,""("")"),"Judge Rinder ")</f>
        <v xml:space="preserve">Judge Rinder </v>
      </c>
      <c r="E1619" t="str">
        <f ca="1">IFERROR(__xludf.DUMMYFUNCTION("""COMPUTED_VALUE"""),"TV Series 2014– )")</f>
        <v>TV Series 2014– )</v>
      </c>
    </row>
    <row r="1620" spans="1:5" ht="13" x14ac:dyDescent="0.15">
      <c r="A1620" s="5" t="s">
        <v>1998</v>
      </c>
      <c r="D1620" t="str">
        <f ca="1">IFERROR(__xludf.DUMMYFUNCTION("split(A1620,""("")"),"Judge Romesh ")</f>
        <v xml:space="preserve">Judge Romesh </v>
      </c>
      <c r="E1620" t="str">
        <f ca="1">IFERROR(__xludf.DUMMYFUNCTION("""COMPUTED_VALUE"""),"TV Series 2018– )")</f>
        <v>TV Series 2018– )</v>
      </c>
    </row>
    <row r="1621" spans="1:5" ht="13" x14ac:dyDescent="0.15">
      <c r="A1621" s="5" t="s">
        <v>1999</v>
      </c>
      <c r="D1621" t="str">
        <f ca="1">IFERROR(__xludf.DUMMYFUNCTION("split(A1621,""("")"),"Judging Amy ")</f>
        <v xml:space="preserve">Judging Amy </v>
      </c>
      <c r="E1621" t="str">
        <f ca="1">IFERROR(__xludf.DUMMYFUNCTION("""COMPUTED_VALUE"""),"TV Series 1999–2005)")</f>
        <v>TV Series 1999–2005)</v>
      </c>
    </row>
    <row r="1622" spans="1:5" ht="13" x14ac:dyDescent="0.15">
      <c r="A1622" s="5" t="s">
        <v>2000</v>
      </c>
      <c r="D1622" t="str">
        <f ca="1">IFERROR(__xludf.DUMMYFUNCTION("split(A1622,""("")"),"Juliet Bravo ")</f>
        <v xml:space="preserve">Juliet Bravo </v>
      </c>
      <c r="E1622" t="str">
        <f ca="1">IFERROR(__xludf.DUMMYFUNCTION("""COMPUTED_VALUE"""),"TV Series 1980–1985)")</f>
        <v>TV Series 1980–1985)</v>
      </c>
    </row>
    <row r="1623" spans="1:5" ht="13" x14ac:dyDescent="0.15">
      <c r="A1623" s="5" t="s">
        <v>2001</v>
      </c>
      <c r="D1623" t="str">
        <f ca="1">IFERROR(__xludf.DUMMYFUNCTION("split(A1623,""("")"),"Jumpers for Goalposts ")</f>
        <v xml:space="preserve">Jumpers for Goalposts </v>
      </c>
      <c r="E1623" t="str">
        <f ca="1">IFERROR(__xludf.DUMMYFUNCTION("""COMPUTED_VALUE"""),"TV Series 2001– )")</f>
        <v>TV Series 2001– )</v>
      </c>
    </row>
    <row r="1624" spans="1:5" ht="13" x14ac:dyDescent="0.15">
      <c r="A1624" s="5" t="s">
        <v>2002</v>
      </c>
      <c r="D1624" t="str">
        <f ca="1">IFERROR(__xludf.DUMMYFUNCTION("split(A1624,""("")"),"Jungle Junction ")</f>
        <v xml:space="preserve">Jungle Junction </v>
      </c>
      <c r="E1624" t="str">
        <f ca="1">IFERROR(__xludf.DUMMYFUNCTION("""COMPUTED_VALUE"""),"TV Series 2009– )")</f>
        <v>TV Series 2009– )</v>
      </c>
    </row>
    <row r="1625" spans="1:5" ht="13" x14ac:dyDescent="0.15">
      <c r="A1625" s="5" t="s">
        <v>2003</v>
      </c>
      <c r="D1625" t="str">
        <f ca="1">IFERROR(__xludf.DUMMYFUNCTION("split(A1625,""("")"),"Junior Doctors: Blood, Sweat and Tears ")</f>
        <v xml:space="preserve">Junior Doctors: Blood, Sweat and Tears </v>
      </c>
      <c r="E1625" t="str">
        <f ca="1">IFERROR(__xludf.DUMMYFUNCTION("""COMPUTED_VALUE"""),"TV Series 2017)")</f>
        <v>TV Series 2017)</v>
      </c>
    </row>
    <row r="1626" spans="1:5" ht="13" x14ac:dyDescent="0.15">
      <c r="A1626" s="5" t="s">
        <v>2004</v>
      </c>
      <c r="D1626" t="str">
        <f ca="1">IFERROR(__xludf.DUMMYFUNCTION("split(A1626,""("")"),"Junk Food Flip ")</f>
        <v xml:space="preserve">Junk Food Flip </v>
      </c>
      <c r="E1626" t="str">
        <f ca="1">IFERROR(__xludf.DUMMYFUNCTION("""COMPUTED_VALUE"""),"TV Series 2014– )")</f>
        <v>TV Series 2014– )</v>
      </c>
    </row>
    <row r="1627" spans="1:5" ht="13" x14ac:dyDescent="0.15">
      <c r="A1627" s="5" t="s">
        <v>2005</v>
      </c>
      <c r="D1627" t="str">
        <f ca="1">IFERROR(__xludf.DUMMYFUNCTION("split(A1627,""("")"),"Just a Minute ")</f>
        <v xml:space="preserve">Just a Minute </v>
      </c>
      <c r="E1627" t="str">
        <f ca="1">IFERROR(__xludf.DUMMYFUNCTION("""COMPUTED_VALUE"""),"TV Series 2012)")</f>
        <v>TV Series 2012)</v>
      </c>
    </row>
    <row r="1628" spans="1:5" ht="13" x14ac:dyDescent="0.15">
      <c r="A1628" s="5" t="s">
        <v>2006</v>
      </c>
      <c r="D1628" t="str">
        <f ca="1">IFERROR(__xludf.DUMMYFUNCTION("split(A1628,""("")"),"Just Add Magic ")</f>
        <v xml:space="preserve">Just Add Magic </v>
      </c>
      <c r="E1628" t="str">
        <f ca="1">IFERROR(__xludf.DUMMYFUNCTION("""COMPUTED_VALUE"""),"TV Series 2015– )")</f>
        <v>TV Series 2015– )</v>
      </c>
    </row>
    <row r="1629" spans="1:5" ht="13" x14ac:dyDescent="0.15">
      <c r="A1629" s="5" t="s">
        <v>2007</v>
      </c>
      <c r="D1629" t="str">
        <f ca="1">IFERROR(__xludf.DUMMYFUNCTION("split(A1629,""("")"),"Just Good Friends ")</f>
        <v xml:space="preserve">Just Good Friends </v>
      </c>
      <c r="E1629" t="str">
        <f ca="1">IFERROR(__xludf.DUMMYFUNCTION("""COMPUTED_VALUE"""),"TV Series 1983–1986)")</f>
        <v>TV Series 1983–1986)</v>
      </c>
    </row>
    <row r="1630" spans="1:5" ht="13" x14ac:dyDescent="0.15">
      <c r="A1630" s="5" t="s">
        <v>2008</v>
      </c>
      <c r="D1630" t="str">
        <f ca="1">IFERROR(__xludf.DUMMYFUNCTION("split(A1630,""("")"),"Just Jordan ")</f>
        <v xml:space="preserve">Just Jordan </v>
      </c>
      <c r="E1630" t="str">
        <f ca="1">IFERROR(__xludf.DUMMYFUNCTION("""COMPUTED_VALUE"""),"TV Series 2007–2008)")</f>
        <v>TV Series 2007–2008)</v>
      </c>
    </row>
    <row r="1631" spans="1:5" ht="13" x14ac:dyDescent="0.15">
      <c r="A1631" s="5" t="s">
        <v>2009</v>
      </c>
      <c r="D1631" t="str">
        <f ca="1">IFERROR(__xludf.DUMMYFUNCTION("split(A1631,""("")"),"Just Shoot Me! ")</f>
        <v xml:space="preserve">Just Shoot Me! </v>
      </c>
      <c r="E1631" t="str">
        <f ca="1">IFERROR(__xludf.DUMMYFUNCTION("""COMPUTED_VALUE"""),"TV Series 1997–2003)")</f>
        <v>TV Series 1997–2003)</v>
      </c>
    </row>
    <row r="1632" spans="1:5" ht="13" x14ac:dyDescent="0.15">
      <c r="A1632" s="5" t="s">
        <v>2010</v>
      </c>
      <c r="D1632" t="str">
        <f ca="1">IFERROR(__xludf.DUMMYFUNCTION("split(A1632,""("")"),"Just the Ten of Us ")</f>
        <v xml:space="preserve">Just the Ten of Us </v>
      </c>
      <c r="E1632" t="str">
        <f ca="1">IFERROR(__xludf.DUMMYFUNCTION("""COMPUTED_VALUE"""),"TV Series 1987–1990)")</f>
        <v>TV Series 1987–1990)</v>
      </c>
    </row>
    <row r="1633" spans="1:5" ht="13" x14ac:dyDescent="0.15">
      <c r="A1633" s="5" t="s">
        <v>71</v>
      </c>
      <c r="D1633" t="str">
        <f ca="1">IFERROR(__xludf.DUMMYFUNCTION("split(A1633,""("")"),"Justice League ")</f>
        <v xml:space="preserve">Justice League </v>
      </c>
      <c r="E1633" t="str">
        <f ca="1">IFERROR(__xludf.DUMMYFUNCTION("""COMPUTED_VALUE"""),"TV Series 2001–2004)")</f>
        <v>TV Series 2001–2004)</v>
      </c>
    </row>
    <row r="1634" spans="1:5" ht="13" x14ac:dyDescent="0.15">
      <c r="A1634" s="5" t="s">
        <v>44</v>
      </c>
      <c r="D1634" t="str">
        <f ca="1">IFERROR(__xludf.DUMMYFUNCTION("split(A1634,""("")"),"Justice League Action ")</f>
        <v xml:space="preserve">Justice League Action </v>
      </c>
      <c r="E1634" t="str">
        <f ca="1">IFERROR(__xludf.DUMMYFUNCTION("""COMPUTED_VALUE"""),"TV Series 2016– )")</f>
        <v>TV Series 2016– )</v>
      </c>
    </row>
    <row r="1635" spans="1:5" ht="13" x14ac:dyDescent="0.15">
      <c r="A1635" s="5" t="s">
        <v>45</v>
      </c>
      <c r="D1635" t="str">
        <f ca="1">IFERROR(__xludf.DUMMYFUNCTION("split(A1635,""("")"),"Justice League Unlimited ")</f>
        <v xml:space="preserve">Justice League Unlimited </v>
      </c>
      <c r="E1635" t="str">
        <f ca="1">IFERROR(__xludf.DUMMYFUNCTION("""COMPUTED_VALUE"""),"TV Series 2004–2006)")</f>
        <v>TV Series 2004–2006)</v>
      </c>
    </row>
    <row r="1636" spans="1:5" ht="13" x14ac:dyDescent="0.15">
      <c r="A1636" s="5" t="s">
        <v>2011</v>
      </c>
      <c r="D1636" t="str">
        <f ca="1">IFERROR(__xludf.DUMMYFUNCTION("split(A1636,""("")"),"Justified ")</f>
        <v xml:space="preserve">Justified </v>
      </c>
      <c r="E1636" t="str">
        <f ca="1">IFERROR(__xludf.DUMMYFUNCTION("""COMPUTED_VALUE"""),"TV Series 2010–2015)")</f>
        <v>TV Series 2010–2015)</v>
      </c>
    </row>
    <row r="1637" spans="1:5" ht="13" x14ac:dyDescent="0.15">
      <c r="A1637" s="5" t="s">
        <v>2012</v>
      </c>
      <c r="D1637" t="str">
        <f ca="1">IFERROR(__xludf.DUMMYFUNCTION("split(A1637,""("")"),"K Street ")</f>
        <v xml:space="preserve">K Street </v>
      </c>
      <c r="E1637" t="str">
        <f ca="1">IFERROR(__xludf.DUMMYFUNCTION("""COMPUTED_VALUE"""),"TV Series 2003– )")</f>
        <v>TV Series 2003– )</v>
      </c>
    </row>
    <row r="1638" spans="1:5" ht="13" x14ac:dyDescent="0.15">
      <c r="A1638" s="5" t="s">
        <v>2013</v>
      </c>
      <c r="D1638" t="str">
        <f ca="1">IFERROR(__xludf.DUMMYFUNCTION("split(A1638,""("")"),"K-On! ")</f>
        <v xml:space="preserve">K-On! </v>
      </c>
      <c r="E1638" t="str">
        <f ca="1">IFERROR(__xludf.DUMMYFUNCTION("""COMPUTED_VALUE"""),"TV Series 2009–2010)")</f>
        <v>TV Series 2009–2010)</v>
      </c>
    </row>
    <row r="1639" spans="1:5" ht="13" x14ac:dyDescent="0.15">
      <c r="A1639" s="5" t="s">
        <v>2014</v>
      </c>
      <c r="D1639" t="str">
        <f ca="1">IFERROR(__xludf.DUMMYFUNCTION("split(A1639,""("")"),"K.C. Undercover ")</f>
        <v xml:space="preserve">K.C. Undercover </v>
      </c>
      <c r="E1639" t="str">
        <f ca="1">IFERROR(__xludf.DUMMYFUNCTION("""COMPUTED_VALUE"""),"TV Series 2015–2018)")</f>
        <v>TV Series 2015–2018)</v>
      </c>
    </row>
    <row r="1640" spans="1:5" ht="13" x14ac:dyDescent="0.15">
      <c r="A1640" s="5" t="s">
        <v>2015</v>
      </c>
      <c r="D1640" t="str">
        <f ca="1">IFERROR(__xludf.DUMMYFUNCTION("split(A1640,""("")"),"Kagaku Sentai Dynaman ")</f>
        <v xml:space="preserve">Kagaku Sentai Dynaman </v>
      </c>
      <c r="E1640" t="str">
        <f ca="1">IFERROR(__xludf.DUMMYFUNCTION("""COMPUTED_VALUE"""),"TV Series 1983–1984)")</f>
        <v>TV Series 1983–1984)</v>
      </c>
    </row>
    <row r="1641" spans="1:5" ht="13" x14ac:dyDescent="0.15">
      <c r="A1641" s="5" t="s">
        <v>2016</v>
      </c>
      <c r="D1641" t="str">
        <f ca="1">IFERROR(__xludf.DUMMYFUNCTION("split(A1641,""("")"),"Kameleon de serie ")</f>
        <v xml:space="preserve">Kameleon de serie </v>
      </c>
      <c r="E1641" t="str">
        <f ca="1">IFERROR(__xludf.DUMMYFUNCTION("""COMPUTED_VALUE"""),"TV Series 2018– )")</f>
        <v>TV Series 2018– )</v>
      </c>
    </row>
    <row r="1642" spans="1:5" ht="13" x14ac:dyDescent="0.15">
      <c r="A1642" s="5" t="s">
        <v>2017</v>
      </c>
      <c r="D1642" t="str">
        <f ca="1">IFERROR(__xludf.DUMMYFUNCTION("split(A1642,""("")"),"Kamen Whispers ASMR ")</f>
        <v xml:space="preserve">Kamen Whispers ASMR </v>
      </c>
      <c r="E1642" t="str">
        <f ca="1">IFERROR(__xludf.DUMMYFUNCTION("""COMPUTED_VALUE"""),"TV Series 2015– )")</f>
        <v>TV Series 2015– )</v>
      </c>
    </row>
    <row r="1643" spans="1:5" ht="13" x14ac:dyDescent="0.15">
      <c r="A1643" s="5" t="s">
        <v>2018</v>
      </c>
      <c r="D1643" t="str">
        <f ca="1">IFERROR(__xludf.DUMMYFUNCTION("split(A1643,""("")"),"KamFit ")</f>
        <v xml:space="preserve">KamFit </v>
      </c>
      <c r="E1643" t="str">
        <f ca="1">IFERROR(__xludf.DUMMYFUNCTION("""COMPUTED_VALUE"""),"TV Series 2016– )")</f>
        <v>TV Series 2016– )</v>
      </c>
    </row>
    <row r="1644" spans="1:5" ht="13" x14ac:dyDescent="0.15">
      <c r="A1644" s="5" t="s">
        <v>2019</v>
      </c>
      <c r="D1644" t="str">
        <f ca="1">IFERROR(__xludf.DUMMYFUNCTION("split(A1644,""("")"),"Kan kwok hiu hung chi Yee hoi ho ching ")</f>
        <v xml:space="preserve">Kan kwok hiu hung chi Yee hoi ho ching </v>
      </c>
      <c r="E1644" t="str">
        <f ca="1">IFERROR(__xludf.DUMMYFUNCTION("""COMPUTED_VALUE"""),"TV Series 2010– )")</f>
        <v>TV Series 2010– )</v>
      </c>
    </row>
    <row r="1645" spans="1:5" ht="13" x14ac:dyDescent="0.15">
      <c r="A1645" s="5" t="s">
        <v>2020</v>
      </c>
      <c r="D1645" t="str">
        <f ca="1">IFERROR(__xludf.DUMMYFUNCTION("split(A1645,""("")"),"Kanokon ")</f>
        <v xml:space="preserve">Kanokon </v>
      </c>
      <c r="E1645" t="str">
        <f ca="1">IFERROR(__xludf.DUMMYFUNCTION("""COMPUTED_VALUE"""),"TV Series 2008– )")</f>
        <v>TV Series 2008– )</v>
      </c>
    </row>
    <row r="1646" spans="1:5" ht="13" x14ac:dyDescent="0.15">
      <c r="A1646" s="5" t="s">
        <v>2021</v>
      </c>
      <c r="D1646" t="str">
        <f ca="1">IFERROR(__xludf.DUMMYFUNCTION("split(A1646,""("")"),"Karl &amp; Co ")</f>
        <v xml:space="preserve">Karl &amp; Co </v>
      </c>
      <c r="E1646" t="str">
        <f ca="1">IFERROR(__xludf.DUMMYFUNCTION("""COMPUTED_VALUE"""),"TV Series 1998–2001)")</f>
        <v>TV Series 1998–2001)</v>
      </c>
    </row>
    <row r="1647" spans="1:5" ht="13" x14ac:dyDescent="0.15">
      <c r="A1647" s="5" t="s">
        <v>2022</v>
      </c>
      <c r="D1647" t="str">
        <f ca="1">IFERROR(__xludf.DUMMYFUNCTION("split(A1647,""("")"),"Karlos Benda ")</f>
        <v xml:space="preserve">Karlos Benda </v>
      </c>
      <c r="E1647" t="str">
        <f ca="1">IFERROR(__xludf.DUMMYFUNCTION("""COMPUTED_VALUE"""),"TV Series 2014– )")</f>
        <v>TV Series 2014– )</v>
      </c>
    </row>
    <row r="1648" spans="1:5" ht="13" x14ac:dyDescent="0.15">
      <c r="A1648" s="5" t="s">
        <v>2023</v>
      </c>
      <c r="D1648" t="str">
        <f ca="1">IFERROR(__xludf.DUMMYFUNCTION("split(A1648,""("")"),"Karmbhoomi ")</f>
        <v xml:space="preserve">Karmbhoomi </v>
      </c>
      <c r="E1648" t="str">
        <f ca="1">IFERROR(__xludf.DUMMYFUNCTION("""COMPUTED_VALUE"""),"TV Series 2016– )")</f>
        <v>TV Series 2016– )</v>
      </c>
    </row>
    <row r="1649" spans="1:5" ht="13" x14ac:dyDescent="0.15">
      <c r="A1649" s="5" t="s">
        <v>2024</v>
      </c>
      <c r="D1649" t="str">
        <f ca="1">IFERROR(__xludf.DUMMYFUNCTION("split(A1649,""("")"),"Kasimasi: Girl Meets Girl ")</f>
        <v xml:space="preserve">Kasimasi: Girl Meets Girl </v>
      </c>
      <c r="E1649" t="str">
        <f ca="1">IFERROR(__xludf.DUMMYFUNCTION("""COMPUTED_VALUE"""),"TV Series 2006– )")</f>
        <v>TV Series 2006– )</v>
      </c>
    </row>
    <row r="1650" spans="1:5" ht="13" x14ac:dyDescent="0.15">
      <c r="A1650" s="5" t="s">
        <v>2025</v>
      </c>
      <c r="D1650" t="str">
        <f ca="1">IFERROR(__xludf.DUMMYFUNCTION("split(A1650,""("")"),"Kate &amp; Allie ")</f>
        <v xml:space="preserve">Kate &amp; Allie </v>
      </c>
      <c r="E1650" t="str">
        <f ca="1">IFERROR(__xludf.DUMMYFUNCTION("""COMPUTED_VALUE"""),"TV Series 1984–1989)")</f>
        <v>TV Series 1984–1989)</v>
      </c>
    </row>
    <row r="1651" spans="1:5" ht="13" x14ac:dyDescent="0.15">
      <c r="A1651" s="5" t="s">
        <v>2026</v>
      </c>
      <c r="D1651" t="str">
        <f ca="1">IFERROR(__xludf.DUMMYFUNCTION("split(A1651,""("")"),"Katherine Mills: Mind Games ")</f>
        <v xml:space="preserve">Katherine Mills: Mind Games </v>
      </c>
      <c r="E1651" t="str">
        <f ca="1">IFERROR(__xludf.DUMMYFUNCTION("""COMPUTED_VALUE"""),"TV Series 2014– )")</f>
        <v>TV Series 2014– )</v>
      </c>
    </row>
    <row r="1652" spans="1:5" ht="13" x14ac:dyDescent="0.15">
      <c r="A1652" s="5" t="s">
        <v>2027</v>
      </c>
      <c r="D1652" t="str">
        <f ca="1">IFERROR(__xludf.DUMMYFUNCTION("split(A1652,""("")"),"Kathy Griffin: My Life on the D-List ")</f>
        <v xml:space="preserve">Kathy Griffin: My Life on the D-List </v>
      </c>
      <c r="E1652" t="str">
        <f ca="1">IFERROR(__xludf.DUMMYFUNCTION("""COMPUTED_VALUE"""),"TV Series 2005–2010)")</f>
        <v>TV Series 2005–2010)</v>
      </c>
    </row>
    <row r="1653" spans="1:5" ht="13" x14ac:dyDescent="0.15">
      <c r="A1653" s="5" t="s">
        <v>2028</v>
      </c>
      <c r="D1653" t="str">
        <f ca="1">IFERROR(__xludf.DUMMYFUNCTION("split(A1653,""("")"),"Katie Price: My Crazy Life ")</f>
        <v xml:space="preserve">Katie Price: My Crazy Life </v>
      </c>
      <c r="E1653" t="str">
        <f ca="1">IFERROR(__xludf.DUMMYFUNCTION("""COMPUTED_VALUE"""),"TV Series 2017– )")</f>
        <v>TV Series 2017– )</v>
      </c>
    </row>
    <row r="1654" spans="1:5" ht="13" x14ac:dyDescent="0.15">
      <c r="A1654" s="5" t="s">
        <v>2029</v>
      </c>
      <c r="D1654" t="str">
        <f ca="1">IFERROR(__xludf.DUMMYFUNCTION("split(A1654,""("")"),"Kavanagh QC ")</f>
        <v xml:space="preserve">Kavanagh QC </v>
      </c>
      <c r="E1654" t="str">
        <f ca="1">IFERROR(__xludf.DUMMYFUNCTION("""COMPUTED_VALUE"""),"TV Series 1995–2001)")</f>
        <v>TV Series 1995–2001)</v>
      </c>
    </row>
    <row r="1655" spans="1:5" ht="13" x14ac:dyDescent="0.15">
      <c r="A1655" s="5" t="s">
        <v>2030</v>
      </c>
      <c r="D1655" t="str">
        <f ca="1">IFERROR(__xludf.DUMMYFUNCTION("split(A1655,""("")"),"Kea ")</f>
        <v xml:space="preserve">Kea </v>
      </c>
      <c r="E1655" t="str">
        <f ca="1">IFERROR(__xludf.DUMMYFUNCTION("""COMPUTED_VALUE"""),"TV Series 2011– )")</f>
        <v>TV Series 2011– )</v>
      </c>
    </row>
    <row r="1656" spans="1:5" ht="13" x14ac:dyDescent="0.15">
      <c r="A1656" s="5" t="s">
        <v>2031</v>
      </c>
      <c r="D1656" t="str">
        <f ca="1">IFERROR(__xludf.DUMMYFUNCTION("split(A1656,""("")"),"Keep It in the Family ")</f>
        <v xml:space="preserve">Keep It in the Family </v>
      </c>
      <c r="E1656" t="str">
        <f ca="1">IFERROR(__xludf.DUMMYFUNCTION("""COMPUTED_VALUE"""),"TV Series 2014– )")</f>
        <v>TV Series 2014– )</v>
      </c>
    </row>
    <row r="1657" spans="1:5" ht="13" x14ac:dyDescent="0.15">
      <c r="A1657" s="5" t="s">
        <v>2032</v>
      </c>
      <c r="D1657" t="str">
        <f ca="1">IFERROR(__xludf.DUMMYFUNCTION("split(A1657,""("")"),"Keeping Faith ")</f>
        <v xml:space="preserve">Keeping Faith </v>
      </c>
      <c r="E1657" t="str">
        <f ca="1">IFERROR(__xludf.DUMMYFUNCTION("""COMPUTED_VALUE"""),"TV Series 2017– )")</f>
        <v>TV Series 2017– )</v>
      </c>
    </row>
    <row r="1658" spans="1:5" ht="13" x14ac:dyDescent="0.15">
      <c r="A1658" s="5" t="s">
        <v>2033</v>
      </c>
      <c r="D1658" t="str">
        <f ca="1">IFERROR(__xludf.DUMMYFUNCTION("split(A1658,""("")"),"Keeping Up Appearances ")</f>
        <v xml:space="preserve">Keeping Up Appearances </v>
      </c>
      <c r="E1658" t="str">
        <f ca="1">IFERROR(__xludf.DUMMYFUNCTION("""COMPUTED_VALUE"""),"TV Series 1990–1995)")</f>
        <v>TV Series 1990–1995)</v>
      </c>
    </row>
    <row r="1659" spans="1:5" ht="13" x14ac:dyDescent="0.15">
      <c r="A1659" s="5" t="s">
        <v>192</v>
      </c>
      <c r="D1659" t="str">
        <f ca="1">IFERROR(__xludf.DUMMYFUNCTION("split(A1659,""("")"),"Keeping Up with the Kardashians ")</f>
        <v xml:space="preserve">Keeping Up with the Kardashians </v>
      </c>
      <c r="E1659" t="str">
        <f ca="1">IFERROR(__xludf.DUMMYFUNCTION("""COMPUTED_VALUE"""),"TV Series 2006– )")</f>
        <v>TV Series 2006– )</v>
      </c>
    </row>
    <row r="1660" spans="1:5" ht="13" x14ac:dyDescent="0.15">
      <c r="A1660" s="5" t="s">
        <v>2034</v>
      </c>
      <c r="D1660" t="str">
        <f ca="1">IFERROR(__xludf.DUMMYFUNCTION("split(A1660,""("")"),"Kenan &amp; Kel ")</f>
        <v xml:space="preserve">Kenan &amp; Kel </v>
      </c>
      <c r="E1660" t="str">
        <f ca="1">IFERROR(__xludf.DUMMYFUNCTION("""COMPUTED_VALUE"""),"TV Series 1996–2000)")</f>
        <v>TV Series 1996–2000)</v>
      </c>
    </row>
    <row r="1661" spans="1:5" ht="13" x14ac:dyDescent="0.15">
      <c r="A1661" s="5" t="s">
        <v>2035</v>
      </c>
      <c r="D1661" t="str">
        <f ca="1">IFERROR(__xludf.DUMMYFUNCTION("split(A1661,""("")"),"Kesslers Expedition ")</f>
        <v xml:space="preserve">Kesslers Expedition </v>
      </c>
      <c r="E1661" t="str">
        <f ca="1">IFERROR(__xludf.DUMMYFUNCTION("""COMPUTED_VALUE"""),"TV Series 2010– )")</f>
        <v>TV Series 2010– )</v>
      </c>
    </row>
    <row r="1662" spans="1:5" ht="13" x14ac:dyDescent="0.15">
      <c r="A1662" s="5" t="s">
        <v>2036</v>
      </c>
      <c r="D1662" t="str">
        <f ca="1">IFERROR(__xludf.DUMMYFUNCTION("split(A1662,""("")"),"Kevin Can Wait ")</f>
        <v xml:space="preserve">Kevin Can Wait </v>
      </c>
      <c r="E1662" t="str">
        <f ca="1">IFERROR(__xludf.DUMMYFUNCTION("""COMPUTED_VALUE"""),"TV Series 2016–2018)")</f>
        <v>TV Series 2016–2018)</v>
      </c>
    </row>
    <row r="1663" spans="1:5" ht="13" x14ac:dyDescent="0.15">
      <c r="A1663" s="5" t="s">
        <v>2037</v>
      </c>
      <c r="D1663" t="str">
        <f ca="1">IFERROR(__xludf.DUMMYFUNCTION("split(A1663,""("")"),"Kevin Hill ")</f>
        <v xml:space="preserve">Kevin Hill </v>
      </c>
      <c r="E1663" t="str">
        <f ca="1">IFERROR(__xludf.DUMMYFUNCTION("""COMPUTED_VALUE"""),"TV Series 2004–2005)")</f>
        <v>TV Series 2004–2005)</v>
      </c>
    </row>
    <row r="1664" spans="1:5" ht="13" x14ac:dyDescent="0.15">
      <c r="A1664" s="5" t="s">
        <v>2038</v>
      </c>
      <c r="D1664" t="str">
        <f ca="1">IFERROR(__xludf.DUMMYFUNCTION("split(A1664,""("")"),"Kevin Spencer ")</f>
        <v xml:space="preserve">Kevin Spencer </v>
      </c>
      <c r="E1664" t="str">
        <f ca="1">IFERROR(__xludf.DUMMYFUNCTION("""COMPUTED_VALUE"""),"TV Series 1999–2005)")</f>
        <v>TV Series 1999–2005)</v>
      </c>
    </row>
    <row r="1665" spans="1:5" ht="13" x14ac:dyDescent="0.15">
      <c r="A1665" s="5" t="s">
        <v>2039</v>
      </c>
      <c r="D1665" t="str">
        <f ca="1">IFERROR(__xludf.DUMMYFUNCTION("split(A1665,""("")"),"Kick ")</f>
        <v xml:space="preserve">Kick </v>
      </c>
      <c r="E1665" t="str">
        <f ca="1">IFERROR(__xludf.DUMMYFUNCTION("""COMPUTED_VALUE"""),"TV Series 2007)")</f>
        <v>TV Series 2007)</v>
      </c>
    </row>
    <row r="1666" spans="1:5" ht="13" x14ac:dyDescent="0.15">
      <c r="A1666" s="5" t="s">
        <v>2040</v>
      </c>
      <c r="D1666" t="str">
        <f ca="1">IFERROR(__xludf.DUMMYFUNCTION("split(A1666,""("")"),"Kickin' It ")</f>
        <v xml:space="preserve">Kickin' It </v>
      </c>
      <c r="E1666" t="str">
        <f ca="1">IFERROR(__xludf.DUMMYFUNCTION("""COMPUTED_VALUE"""),"TV Series 2011–2015)")</f>
        <v>TV Series 2011–2015)</v>
      </c>
    </row>
    <row r="1667" spans="1:5" ht="13" x14ac:dyDescent="0.15">
      <c r="A1667" s="5" t="s">
        <v>2041</v>
      </c>
      <c r="D1667" t="str">
        <f ca="1">IFERROR(__xludf.DUMMYFUNCTION("split(A1667,""("")"),"Kicking &amp; Screaming ")</f>
        <v xml:space="preserve">Kicking &amp; Screaming </v>
      </c>
      <c r="E1667" t="str">
        <f ca="1">IFERROR(__xludf.DUMMYFUNCTION("""COMPUTED_VALUE"""),"TV Series 2017– )")</f>
        <v>TV Series 2017– )</v>
      </c>
    </row>
    <row r="1668" spans="1:5" ht="13" x14ac:dyDescent="0.15">
      <c r="A1668" s="5" t="s">
        <v>2042</v>
      </c>
      <c r="D1668" t="str">
        <f ca="1">IFERROR(__xludf.DUMMYFUNCTION("split(A1668,""("")"),"Kidding ")</f>
        <v xml:space="preserve">Kidding </v>
      </c>
      <c r="E1668" t="str">
        <f ca="1">IFERROR(__xludf.DUMMYFUNCTION("""COMPUTED_VALUE"""),"TV Series 2018– )")</f>
        <v>TV Series 2018– )</v>
      </c>
    </row>
    <row r="1669" spans="1:5" ht="13" x14ac:dyDescent="0.15">
      <c r="A1669" s="5" t="s">
        <v>2043</v>
      </c>
      <c r="D1669" t="str">
        <f ca="1">IFERROR(__xludf.DUMMYFUNCTION("split(A1669,""("")"),"Kidnap and Ransom ")</f>
        <v xml:space="preserve">Kidnap and Ransom </v>
      </c>
      <c r="E1669" t="str">
        <f ca="1">IFERROR(__xludf.DUMMYFUNCTION("""COMPUTED_VALUE"""),"TV Series 2011–2012)")</f>
        <v>TV Series 2011–2012)</v>
      </c>
    </row>
    <row r="1670" spans="1:5" ht="13" x14ac:dyDescent="0.15">
      <c r="A1670" s="5" t="s">
        <v>2044</v>
      </c>
      <c r="D1670" t="str">
        <f ca="1">IFERROR(__xludf.DUMMYFUNCTION("split(A1670,""("")"),"Kids Unlimited ")</f>
        <v xml:space="preserve">Kids Unlimited </v>
      </c>
      <c r="E1670" t="str">
        <f ca="1">IFERROR(__xludf.DUMMYFUNCTION("""COMPUTED_VALUE"""),"TV Series 2007–2008)")</f>
        <v>TV Series 2007–2008)</v>
      </c>
    </row>
    <row r="1671" spans="1:5" ht="13" x14ac:dyDescent="0.15">
      <c r="A1671" s="5" t="s">
        <v>2045</v>
      </c>
      <c r="D1671" t="str">
        <f ca="1">IFERROR(__xludf.DUMMYFUNCTION("split(A1671,""("")"),"Kidz Care ")</f>
        <v xml:space="preserve">Kidz Care </v>
      </c>
      <c r="E1671" t="str">
        <f ca="1">IFERROR(__xludf.DUMMYFUNCTION("""COMPUTED_VALUE"""),"TV Series 2013– )")</f>
        <v>TV Series 2013– )</v>
      </c>
    </row>
    <row r="1672" spans="1:5" ht="13" x14ac:dyDescent="0.15">
      <c r="A1672" s="5" t="s">
        <v>2046</v>
      </c>
      <c r="D1672" t="str">
        <f ca="1">IFERROR(__xludf.DUMMYFUNCTION("split(A1672,""("")"),"KikOriki ")</f>
        <v xml:space="preserve">KikOriki </v>
      </c>
      <c r="E1672" t="str">
        <f ca="1">IFERROR(__xludf.DUMMYFUNCTION("""COMPUTED_VALUE"""),"TV Series 2003–2012)")</f>
        <v>TV Series 2003–2012)</v>
      </c>
    </row>
    <row r="1673" spans="1:5" ht="13" x14ac:dyDescent="0.15">
      <c r="A1673" s="5" t="s">
        <v>2047</v>
      </c>
      <c r="D1673" t="str">
        <f ca="1">IFERROR(__xludf.DUMMYFUNCTION("split(A1673,""("")"),"KILL La KILL ")</f>
        <v xml:space="preserve">KILL La KILL </v>
      </c>
      <c r="E1673" t="str">
        <f ca="1">IFERROR(__xludf.DUMMYFUNCTION("""COMPUTED_VALUE"""),"TV Series 2013–2014)")</f>
        <v>TV Series 2013–2014)</v>
      </c>
    </row>
    <row r="1674" spans="1:5" ht="13" x14ac:dyDescent="0.15">
      <c r="A1674" s="5" t="s">
        <v>2048</v>
      </c>
      <c r="D1674" t="str">
        <f ca="1">IFERROR(__xludf.DUMMYFUNCTION("split(A1674,""("")"),"Kill Me, Heal Me ")</f>
        <v xml:space="preserve">Kill Me, Heal Me </v>
      </c>
      <c r="E1674" t="str">
        <f ca="1">IFERROR(__xludf.DUMMYFUNCTION("""COMPUTED_VALUE"""),"TV Series 2015– )")</f>
        <v>TV Series 2015– )</v>
      </c>
    </row>
    <row r="1675" spans="1:5" ht="13" x14ac:dyDescent="0.15">
      <c r="A1675" s="5" t="s">
        <v>2049</v>
      </c>
      <c r="D1675" t="str">
        <f ca="1">IFERROR(__xludf.DUMMYFUNCTION("split(A1675,""("")"),"Killing Eve ")</f>
        <v xml:space="preserve">Killing Eve </v>
      </c>
      <c r="E1675" t="str">
        <f ca="1">IFERROR(__xludf.DUMMYFUNCTION("""COMPUTED_VALUE"""),"TV Series 2018– )")</f>
        <v>TV Series 2018– )</v>
      </c>
    </row>
    <row r="1676" spans="1:5" ht="13" x14ac:dyDescent="0.15">
      <c r="A1676" s="5" t="s">
        <v>2050</v>
      </c>
      <c r="D1676" t="str">
        <f ca="1">IFERROR(__xludf.DUMMYFUNCTION("split(A1676,""("")"),"Kim Possible ")</f>
        <v xml:space="preserve">Kim Possible </v>
      </c>
      <c r="E1676" t="str">
        <f ca="1">IFERROR(__xludf.DUMMYFUNCTION("""COMPUTED_VALUE"""),"TV Series 2002–2007)")</f>
        <v>TV Series 2002–2007)</v>
      </c>
    </row>
    <row r="1677" spans="1:5" ht="13" x14ac:dyDescent="0.15">
      <c r="A1677" s="5" t="s">
        <v>2051</v>
      </c>
      <c r="D1677" t="str">
        <f ca="1">IFERROR(__xludf.DUMMYFUNCTION("split(A1677,""("")"),"Kim Soo Ro ")</f>
        <v xml:space="preserve">Kim Soo Ro </v>
      </c>
      <c r="E1677" t="str">
        <f ca="1">IFERROR(__xludf.DUMMYFUNCTION("""COMPUTED_VALUE"""),"TV Series 2010– )")</f>
        <v>TV Series 2010– )</v>
      </c>
    </row>
    <row r="1678" spans="1:5" ht="13" x14ac:dyDescent="0.15">
      <c r="A1678" s="5" t="s">
        <v>2052</v>
      </c>
      <c r="D1678" t="str">
        <f ca="1">IFERROR(__xludf.DUMMYFUNCTION("split(A1678,""("")"),"Kim's Convenience ")</f>
        <v xml:space="preserve">Kim's Convenience </v>
      </c>
      <c r="E1678" t="str">
        <f ca="1">IFERROR(__xludf.DUMMYFUNCTION("""COMPUTED_VALUE"""),"TV Series 2016– )")</f>
        <v>TV Series 2016– )</v>
      </c>
    </row>
    <row r="1679" spans="1:5" ht="13" x14ac:dyDescent="0.15">
      <c r="A1679" s="5" t="s">
        <v>2053</v>
      </c>
      <c r="D1679" t="str">
        <f ca="1">IFERROR(__xludf.DUMMYFUNCTION("split(A1679,""("")"),"King ")</f>
        <v xml:space="preserve">King </v>
      </c>
      <c r="E1679" t="str">
        <f ca="1">IFERROR(__xludf.DUMMYFUNCTION("""COMPUTED_VALUE"""),"TV Series 2003– )")</f>
        <v>TV Series 2003– )</v>
      </c>
    </row>
    <row r="1680" spans="1:5" ht="13" x14ac:dyDescent="0.15">
      <c r="A1680" s="5" t="s">
        <v>2054</v>
      </c>
      <c r="D1680" t="str">
        <f ca="1">IFERROR(__xludf.DUMMYFUNCTION("split(A1680,""("")"),"King &amp; Maxwell ")</f>
        <v xml:space="preserve">King &amp; Maxwell </v>
      </c>
      <c r="E1680" t="str">
        <f ca="1">IFERROR(__xludf.DUMMYFUNCTION("""COMPUTED_VALUE"""),"TV Series 2013– )")</f>
        <v>TV Series 2013– )</v>
      </c>
    </row>
    <row r="1681" spans="1:5" ht="13" x14ac:dyDescent="0.15">
      <c r="A1681" s="5" t="s">
        <v>132</v>
      </c>
      <c r="D1681" t="str">
        <f ca="1">IFERROR(__xludf.DUMMYFUNCTION("split(A1681,""("")"),"King Arthur and the Knights of Justice ")</f>
        <v xml:space="preserve">King Arthur and the Knights of Justice </v>
      </c>
      <c r="E1681" t="str">
        <f ca="1">IFERROR(__xludf.DUMMYFUNCTION("""COMPUTED_VALUE"""),"TV Series 1992– )")</f>
        <v>TV Series 1992– )</v>
      </c>
    </row>
    <row r="1682" spans="1:5" ht="13" x14ac:dyDescent="0.15">
      <c r="A1682" s="5" t="s">
        <v>133</v>
      </c>
      <c r="D1682" t="str">
        <f ca="1">IFERROR(__xludf.DUMMYFUNCTION("split(A1682,""("")"),"King Arthur's Disasters ")</f>
        <v xml:space="preserve">King Arthur's Disasters </v>
      </c>
      <c r="E1682" t="str">
        <f ca="1">IFERROR(__xludf.DUMMYFUNCTION("""COMPUTED_VALUE"""),"TV Series 2005–2006)")</f>
        <v>TV Series 2005–2006)</v>
      </c>
    </row>
    <row r="1683" spans="1:5" ht="13" x14ac:dyDescent="0.15">
      <c r="A1683" s="5" t="s">
        <v>351</v>
      </c>
      <c r="D1683" t="str">
        <f ca="1">IFERROR(__xludf.DUMMYFUNCTION("split(A1683,""("")"),"King of the Hill ")</f>
        <v xml:space="preserve">King of the Hill </v>
      </c>
      <c r="E1683" t="str">
        <f ca="1">IFERROR(__xludf.DUMMYFUNCTION("""COMPUTED_VALUE"""),"TV Series 1997–2010)")</f>
        <v>TV Series 1997–2010)</v>
      </c>
    </row>
    <row r="1684" spans="1:5" ht="13" x14ac:dyDescent="0.15">
      <c r="A1684" s="5" t="s">
        <v>2055</v>
      </c>
      <c r="D1684" t="str">
        <f ca="1">IFERROR(__xludf.DUMMYFUNCTION("split(A1684,""("")"),"King of the Nerds ")</f>
        <v xml:space="preserve">King of the Nerds </v>
      </c>
      <c r="E1684" t="str">
        <f ca="1">IFERROR(__xludf.DUMMYFUNCTION("""COMPUTED_VALUE"""),"TV Series 2013–2015)")</f>
        <v>TV Series 2013–2015)</v>
      </c>
    </row>
    <row r="1685" spans="1:5" ht="13" x14ac:dyDescent="0.15">
      <c r="A1685" s="5" t="s">
        <v>2056</v>
      </c>
      <c r="D1685" t="str">
        <f ca="1">IFERROR(__xludf.DUMMYFUNCTION("split(A1685,""("")"),"Kingdom ")</f>
        <v xml:space="preserve">Kingdom </v>
      </c>
      <c r="E1685" t="str">
        <f ca="1">IFERROR(__xludf.DUMMYFUNCTION("""COMPUTED_VALUE"""),"TV Series 2019– )")</f>
        <v>TV Series 2019– )</v>
      </c>
    </row>
    <row r="1686" spans="1:5" ht="13" x14ac:dyDescent="0.15">
      <c r="A1686" s="5" t="s">
        <v>2057</v>
      </c>
      <c r="D1686" t="str">
        <f ca="1">IFERROR(__xludf.DUMMYFUNCTION("split(A1686,""("")"),"Kingdom Hospital ")</f>
        <v xml:space="preserve">Kingdom Hospital </v>
      </c>
      <c r="E1686" t="str">
        <f ca="1">IFERROR(__xludf.DUMMYFUNCTION("""COMPUTED_VALUE"""),"TV Series 2004)")</f>
        <v>TV Series 2004)</v>
      </c>
    </row>
    <row r="1687" spans="1:5" ht="13" x14ac:dyDescent="0.15">
      <c r="A1687" s="5" t="s">
        <v>2058</v>
      </c>
      <c r="D1687" t="str">
        <f ca="1">IFERROR(__xludf.DUMMYFUNCTION("split(A1687,""("")"),"Kino's Journey ")</f>
        <v xml:space="preserve">Kino's Journey </v>
      </c>
      <c r="E1687" t="str">
        <f ca="1">IFERROR(__xludf.DUMMYFUNCTION("""COMPUTED_VALUE"""),"TV Series 2003– )")</f>
        <v>TV Series 2003– )</v>
      </c>
    </row>
    <row r="1688" spans="1:5" ht="13" x14ac:dyDescent="0.15">
      <c r="A1688" s="5" t="s">
        <v>2059</v>
      </c>
      <c r="D1688" t="str">
        <f ca="1">IFERROR(__xludf.DUMMYFUNCTION("split(A1688,""("")"),"Kir Royal ")</f>
        <v xml:space="preserve">Kir Royal </v>
      </c>
      <c r="E1688" t="str">
        <f ca="1">IFERROR(__xludf.DUMMYFUNCTION("""COMPUTED_VALUE"""),"TV Series 1986)")</f>
        <v>TV Series 1986)</v>
      </c>
    </row>
    <row r="1689" spans="1:5" ht="13" x14ac:dyDescent="0.15">
      <c r="A1689" s="5" t="s">
        <v>603</v>
      </c>
      <c r="D1689" t="str">
        <f ca="1">IFERROR(__xludf.DUMMYFUNCTION("split(A1689,""("")"),"Kirstie &amp; Phil's Love It or List It ")</f>
        <v xml:space="preserve">Kirstie &amp; Phil's Love It or List It </v>
      </c>
      <c r="E1689" t="str">
        <f ca="1">IFERROR(__xludf.DUMMYFUNCTION("""COMPUTED_VALUE"""),"TV Series 2015– )")</f>
        <v>TV Series 2015– )</v>
      </c>
    </row>
    <row r="1690" spans="1:5" ht="13" x14ac:dyDescent="0.15">
      <c r="A1690" s="5" t="s">
        <v>604</v>
      </c>
      <c r="D1690" t="str">
        <f ca="1">IFERROR(__xludf.DUMMYFUNCTION("split(A1690,""("")"),"Kirstie Allsopp's Home Style ")</f>
        <v xml:space="preserve">Kirstie Allsopp's Home Style </v>
      </c>
      <c r="E1690" t="str">
        <f ca="1">IFERROR(__xludf.DUMMYFUNCTION("""COMPUTED_VALUE"""),"TV Series 2013– )")</f>
        <v>TV Series 2013– )</v>
      </c>
    </row>
    <row r="1691" spans="1:5" ht="13" x14ac:dyDescent="0.15">
      <c r="A1691" s="5" t="s">
        <v>605</v>
      </c>
      <c r="D1691" t="str">
        <f ca="1">IFERROR(__xludf.DUMMYFUNCTION("split(A1691,""("")"),"Kirstie's Handmade Christmas ")</f>
        <v xml:space="preserve">Kirstie's Handmade Christmas </v>
      </c>
      <c r="E1691" t="str">
        <f ca="1">IFERROR(__xludf.DUMMYFUNCTION("""COMPUTED_VALUE"""),"TV Series 2014– )")</f>
        <v>TV Series 2014– )</v>
      </c>
    </row>
    <row r="1692" spans="1:5" ht="13" x14ac:dyDescent="0.15">
      <c r="A1692" s="5" t="s">
        <v>606</v>
      </c>
      <c r="D1692" t="str">
        <f ca="1">IFERROR(__xludf.DUMMYFUNCTION("split(A1692,""("")"),"Kirstie's Vintage Gems ")</f>
        <v xml:space="preserve">Kirstie's Vintage Gems </v>
      </c>
      <c r="E1692" t="str">
        <f ca="1">IFERROR(__xludf.DUMMYFUNCTION("""COMPUTED_VALUE"""),"TV Series 2013– )")</f>
        <v>TV Series 2013– )</v>
      </c>
    </row>
    <row r="1693" spans="1:5" ht="13" x14ac:dyDescent="0.15">
      <c r="A1693" s="5" t="s">
        <v>2060</v>
      </c>
      <c r="D1693" t="str">
        <f ca="1">IFERROR(__xludf.DUMMYFUNCTION("split(A1693,""("")"),"Kiss of Death ")</f>
        <v xml:space="preserve">Kiss of Death </v>
      </c>
      <c r="E1693" t="str">
        <f ca="1">IFERROR(__xludf.DUMMYFUNCTION("""COMPUTED_VALUE"""),"TV Series 2017– )")</f>
        <v>TV Series 2017– )</v>
      </c>
    </row>
    <row r="1694" spans="1:5" ht="13" x14ac:dyDescent="0.15">
      <c r="A1694" s="5" t="s">
        <v>2061</v>
      </c>
      <c r="D1694" t="str">
        <f ca="1">IFERROR(__xludf.DUMMYFUNCTION("split(A1694,""("")"),"Kitchen Confidential ")</f>
        <v xml:space="preserve">Kitchen Confidential </v>
      </c>
      <c r="E1694" t="str">
        <f ca="1">IFERROR(__xludf.DUMMYFUNCTION("""COMPUTED_VALUE"""),"TV Series 2005–2006)")</f>
        <v>TV Series 2005–2006)</v>
      </c>
    </row>
    <row r="1695" spans="1:5" ht="13" x14ac:dyDescent="0.15">
      <c r="A1695" s="5" t="s">
        <v>2062</v>
      </c>
      <c r="D1695" t="str">
        <f ca="1">IFERROR(__xludf.DUMMYFUNCTION("split(A1695,""("")"),"Kitchen Nightmares ")</f>
        <v xml:space="preserve">Kitchen Nightmares </v>
      </c>
      <c r="E1695" t="str">
        <f ca="1">IFERROR(__xludf.DUMMYFUNCTION("""COMPUTED_VALUE"""),"TV Series 2007–2014)")</f>
        <v>TV Series 2007–2014)</v>
      </c>
    </row>
    <row r="1696" spans="1:5" ht="13" x14ac:dyDescent="0.15">
      <c r="A1696" s="5" t="s">
        <v>2063</v>
      </c>
      <c r="D1696" t="str">
        <f ca="1">IFERROR(__xludf.DUMMYFUNCTION("split(A1696,""("")"),"Kitchen Showdown with Rosemary Shrager ")</f>
        <v xml:space="preserve">Kitchen Showdown with Rosemary Shrager </v>
      </c>
      <c r="E1696" t="str">
        <f ca="1">IFERROR(__xludf.DUMMYFUNCTION("""COMPUTED_VALUE"""),"TV Series 2006– )")</f>
        <v>TV Series 2006– )</v>
      </c>
    </row>
    <row r="1697" spans="1:5" ht="13" x14ac:dyDescent="0.15">
      <c r="A1697" s="5" t="s">
        <v>2064</v>
      </c>
      <c r="D1697" t="str">
        <f ca="1">IFERROR(__xludf.DUMMYFUNCTION("split(A1697,""("")"),"KJV Minute ")</f>
        <v xml:space="preserve">KJV Minute </v>
      </c>
      <c r="E1697" t="str">
        <f ca="1">IFERROR(__xludf.DUMMYFUNCTION("""COMPUTED_VALUE"""),"TV Series 2013– )")</f>
        <v>TV Series 2013– )</v>
      </c>
    </row>
    <row r="1698" spans="1:5" ht="13" x14ac:dyDescent="0.15">
      <c r="A1698" s="5" t="s">
        <v>2065</v>
      </c>
      <c r="D1698" t="str">
        <f ca="1">IFERROR(__xludf.DUMMYFUNCTION("split(A1698,""("")"),"Klovn ")</f>
        <v xml:space="preserve">Klovn </v>
      </c>
      <c r="E1698" t="str">
        <f ca="1">IFERROR(__xludf.DUMMYFUNCTION("""COMPUTED_VALUE"""),"TV Series 2005– )")</f>
        <v>TV Series 2005– )</v>
      </c>
    </row>
    <row r="1699" spans="1:5" ht="13" x14ac:dyDescent="0.15">
      <c r="A1699" s="5" t="s">
        <v>2066</v>
      </c>
      <c r="D1699" t="str">
        <f ca="1">IFERROR(__xludf.DUMMYFUNCTION("split(A1699,""("")"),"Knight Rider ")</f>
        <v xml:space="preserve">Knight Rider </v>
      </c>
      <c r="E1699" t="str">
        <f ca="1">IFERROR(__xludf.DUMMYFUNCTION("""COMPUTED_VALUE"""),"TV Series 1982–1986)")</f>
        <v>TV Series 1982–1986)</v>
      </c>
    </row>
    <row r="1700" spans="1:5" ht="13" x14ac:dyDescent="0.15">
      <c r="A1700" s="5" t="s">
        <v>607</v>
      </c>
      <c r="D1700" t="str">
        <f ca="1">IFERROR(__xludf.DUMMYFUNCTION("split(A1700,""("")"),"Knight Rider ")</f>
        <v xml:space="preserve">Knight Rider </v>
      </c>
      <c r="E1700" t="str">
        <f ca="1">IFERROR(__xludf.DUMMYFUNCTION("""COMPUTED_VALUE"""),"TV Series 2008–2009)")</f>
        <v>TV Series 2008–2009)</v>
      </c>
    </row>
    <row r="1701" spans="1:5" ht="13" x14ac:dyDescent="0.15">
      <c r="A1701" s="5" t="s">
        <v>2067</v>
      </c>
      <c r="D1701" t="str">
        <f ca="1">IFERROR(__xludf.DUMMYFUNCTION("split(A1701,""("")"),"Knightfall ")</f>
        <v xml:space="preserve">Knightfall </v>
      </c>
      <c r="E1701" t="str">
        <f ca="1">IFERROR(__xludf.DUMMYFUNCTION("""COMPUTED_VALUE"""),"TV Series 2017– )")</f>
        <v>TV Series 2017– )</v>
      </c>
    </row>
    <row r="1702" spans="1:5" ht="13" x14ac:dyDescent="0.15">
      <c r="A1702" s="5" t="s">
        <v>2068</v>
      </c>
      <c r="D1702" t="str">
        <f ca="1">IFERROR(__xludf.DUMMYFUNCTION("split(A1702,""("")"),"Knightmare ")</f>
        <v xml:space="preserve">Knightmare </v>
      </c>
      <c r="E1702" t="str">
        <f ca="1">IFERROR(__xludf.DUMMYFUNCTION("""COMPUTED_VALUE"""),"TV Series 1987–1994)")</f>
        <v>TV Series 1987–1994)</v>
      </c>
    </row>
    <row r="1703" spans="1:5" ht="13" x14ac:dyDescent="0.15">
      <c r="A1703" s="5" t="s">
        <v>2069</v>
      </c>
      <c r="D1703" t="str">
        <f ca="1">IFERROR(__xludf.DUMMYFUNCTION("split(A1703,""("")"),"Knock Knock Live ")</f>
        <v xml:space="preserve">Knock Knock Live </v>
      </c>
      <c r="E1703" t="str">
        <f ca="1">IFERROR(__xludf.DUMMYFUNCTION("""COMPUTED_VALUE"""),"TV Series 2015)")</f>
        <v>TV Series 2015)</v>
      </c>
    </row>
    <row r="1704" spans="1:5" ht="13" x14ac:dyDescent="0.15">
      <c r="A1704" s="5" t="s">
        <v>2070</v>
      </c>
      <c r="D1704" t="str">
        <f ca="1">IFERROR(__xludf.DUMMYFUNCTION("split(A1704,""("")"),"Knowing Me, Knowing You with Alan Partridge ")</f>
        <v xml:space="preserve">Knowing Me, Knowing You with Alan Partridge </v>
      </c>
      <c r="E1704" t="str">
        <f ca="1">IFERROR(__xludf.DUMMYFUNCTION("""COMPUTED_VALUE"""),"TV Mini-Series 1994–1995)")</f>
        <v>TV Mini-Series 1994–1995)</v>
      </c>
    </row>
    <row r="1705" spans="1:5" ht="13" x14ac:dyDescent="0.15">
      <c r="A1705" s="5" t="s">
        <v>2071</v>
      </c>
      <c r="D1705" t="str">
        <f ca="1">IFERROR(__xludf.DUMMYFUNCTION("split(A1705,""("")"),"Koihime musô ")</f>
        <v xml:space="preserve">Koihime musô </v>
      </c>
      <c r="E1705" t="str">
        <f ca="1">IFERROR(__xludf.DUMMYFUNCTION("""COMPUTED_VALUE"""),"TV Series 2008– )")</f>
        <v>TV Series 2008– )</v>
      </c>
    </row>
    <row r="1706" spans="1:5" ht="13" x14ac:dyDescent="0.15">
      <c r="A1706" s="5" t="s">
        <v>608</v>
      </c>
      <c r="D1706" t="str">
        <f ca="1">IFERROR(__xludf.DUMMYFUNCTION("split(A1706,""("")"),"Kojak ")</f>
        <v xml:space="preserve">Kojak </v>
      </c>
      <c r="E1706" t="str">
        <f ca="1">IFERROR(__xludf.DUMMYFUNCTION("""COMPUTED_VALUE"""),"TV Series 2005)")</f>
        <v>TV Series 2005)</v>
      </c>
    </row>
    <row r="1707" spans="1:5" ht="13" x14ac:dyDescent="0.15">
      <c r="A1707" s="5" t="s">
        <v>193</v>
      </c>
      <c r="D1707" t="str">
        <f ca="1">IFERROR(__xludf.DUMMYFUNCTION("split(A1707,""("")"),"Kourtney &amp; Kim Take New York ")</f>
        <v xml:space="preserve">Kourtney &amp; Kim Take New York </v>
      </c>
      <c r="E1707" t="str">
        <f ca="1">IFERROR(__xludf.DUMMYFUNCTION("""COMPUTED_VALUE"""),"TV Series 2011–2012)")</f>
        <v>TV Series 2011–2012)</v>
      </c>
    </row>
    <row r="1708" spans="1:5" ht="13" x14ac:dyDescent="0.15">
      <c r="A1708" s="5" t="s">
        <v>2072</v>
      </c>
      <c r="D1708" t="str">
        <f ca="1">IFERROR(__xludf.DUMMYFUNCTION("split(A1708,""("")"),"Kovy ")</f>
        <v xml:space="preserve">Kovy </v>
      </c>
      <c r="E1708" t="str">
        <f ca="1">IFERROR(__xludf.DUMMYFUNCTION("""COMPUTED_VALUE"""),"TV Series 2014– )")</f>
        <v>TV Series 2014– )</v>
      </c>
    </row>
    <row r="1709" spans="1:5" ht="13" x14ac:dyDescent="0.15">
      <c r="A1709" s="5" t="s">
        <v>2073</v>
      </c>
      <c r="D1709" t="str">
        <f ca="1">IFERROR(__xludf.DUMMYFUNCTION("split(A1709,""("")"),"Kristine ")</f>
        <v xml:space="preserve">Kristine </v>
      </c>
      <c r="E1709" t="str">
        <f ca="1">IFERROR(__xludf.DUMMYFUNCTION("""COMPUTED_VALUE"""),"TV Series 2010–2011)")</f>
        <v>TV Series 2010–2011)</v>
      </c>
    </row>
    <row r="1710" spans="1:5" ht="13" x14ac:dyDescent="0.15">
      <c r="A1710" s="5" t="s">
        <v>2074</v>
      </c>
      <c r="D1710" t="str">
        <f ca="1">IFERROR(__xludf.DUMMYFUNCTION("split(A1710,""("")"),"Kroll Show ")</f>
        <v xml:space="preserve">Kroll Show </v>
      </c>
      <c r="E1710" t="str">
        <f ca="1">IFERROR(__xludf.DUMMYFUNCTION("""COMPUTED_VALUE"""),"TV Series 2013–2015)")</f>
        <v>TV Series 2013–2015)</v>
      </c>
    </row>
    <row r="1711" spans="1:5" ht="13" x14ac:dyDescent="0.15">
      <c r="A1711" s="5" t="s">
        <v>2075</v>
      </c>
      <c r="D1711" t="str">
        <f ca="1">IFERROR(__xludf.DUMMYFUNCTION("split(A1711,""("")"),"Krypto the Superdog ")</f>
        <v xml:space="preserve">Krypto the Superdog </v>
      </c>
      <c r="E1711" t="str">
        <f ca="1">IFERROR(__xludf.DUMMYFUNCTION("""COMPUTED_VALUE"""),"TV Series 2005–2006)")</f>
        <v>TV Series 2005–2006)</v>
      </c>
    </row>
    <row r="1712" spans="1:5" ht="13" x14ac:dyDescent="0.15">
      <c r="A1712" s="5" t="s">
        <v>2076</v>
      </c>
      <c r="D1712" t="str">
        <f ca="1">IFERROR(__xludf.DUMMYFUNCTION("split(A1712,""("")"),"Krypton ")</f>
        <v xml:space="preserve">Krypton </v>
      </c>
      <c r="E1712" t="str">
        <f ca="1">IFERROR(__xludf.DUMMYFUNCTION("""COMPUTED_VALUE"""),"TV Series 2018–2019)")</f>
        <v>TV Series 2018–2019)</v>
      </c>
    </row>
    <row r="1713" spans="1:5" ht="13" x14ac:dyDescent="0.15">
      <c r="A1713" s="5" t="s">
        <v>36</v>
      </c>
      <c r="D1713" t="str">
        <f ca="1">IFERROR(__xludf.DUMMYFUNCTION("split(A1713,""("")"),"Kung Fu Panda: Legends of Awesomeness ")</f>
        <v xml:space="preserve">Kung Fu Panda: Legends of Awesomeness </v>
      </c>
      <c r="E1713" t="str">
        <f ca="1">IFERROR(__xludf.DUMMYFUNCTION("""COMPUTED_VALUE"""),"TV Series 2011–2016)")</f>
        <v>TV Series 2011–2016)</v>
      </c>
    </row>
    <row r="1714" spans="1:5" ht="13" x14ac:dyDescent="0.15">
      <c r="A1714" s="5" t="s">
        <v>37</v>
      </c>
      <c r="D1714" t="str">
        <f ca="1">IFERROR(__xludf.DUMMYFUNCTION("split(A1714,""("")"),"Kung Fu: The Legend Continues ")</f>
        <v xml:space="preserve">Kung Fu: The Legend Continues </v>
      </c>
      <c r="E1714" t="str">
        <f ca="1">IFERROR(__xludf.DUMMYFUNCTION("""COMPUTED_VALUE"""),"TV Series 1993–1997)")</f>
        <v>TV Series 1993–1997)</v>
      </c>
    </row>
    <row r="1715" spans="1:5" ht="13" x14ac:dyDescent="0.15">
      <c r="A1715" s="5" t="s">
        <v>2077</v>
      </c>
      <c r="D1715" t="str">
        <f ca="1">IFERROR(__xludf.DUMMYFUNCTION("split(A1715,""("")"),"Kyle XY ")</f>
        <v xml:space="preserve">Kyle XY </v>
      </c>
      <c r="E1715" t="str">
        <f ca="1">IFERROR(__xludf.DUMMYFUNCTION("""COMPUTED_VALUE"""),"TV Series 2006–2009)")</f>
        <v>TV Series 2006–2009)</v>
      </c>
    </row>
    <row r="1716" spans="1:5" ht="13" x14ac:dyDescent="0.15">
      <c r="A1716" s="5" t="s">
        <v>2078</v>
      </c>
      <c r="D1716" t="str">
        <f ca="1">IFERROR(__xludf.DUMMYFUNCTION("split(A1716,""("")"),"L.A. Heat ")</f>
        <v xml:space="preserve">L.A. Heat </v>
      </c>
      <c r="E1716" t="str">
        <f ca="1">IFERROR(__xludf.DUMMYFUNCTION("""COMPUTED_VALUE"""),"TV Series 1996–1999)")</f>
        <v>TV Series 1996–1999)</v>
      </c>
    </row>
    <row r="1717" spans="1:5" ht="13" x14ac:dyDescent="0.15">
      <c r="A1717" s="5" t="s">
        <v>352</v>
      </c>
      <c r="D1717" t="str">
        <f ca="1">IFERROR(__xludf.DUMMYFUNCTION("split(A1717,""("")"),"L.A. Law ")</f>
        <v xml:space="preserve">L.A. Law </v>
      </c>
      <c r="E1717" t="str">
        <f ca="1">IFERROR(__xludf.DUMMYFUNCTION("""COMPUTED_VALUE"""),"TV Series 1986–1994)")</f>
        <v>TV Series 1986–1994)</v>
      </c>
    </row>
    <row r="1718" spans="1:5" ht="13" x14ac:dyDescent="0.15">
      <c r="A1718" s="5" t="s">
        <v>2079</v>
      </c>
      <c r="D1718" t="str">
        <f ca="1">IFERROR(__xludf.DUMMYFUNCTION("split(A1718,""("")"),"L.A.'s Finest ")</f>
        <v xml:space="preserve">L.A.'s Finest </v>
      </c>
      <c r="E1718" t="str">
        <f ca="1">IFERROR(__xludf.DUMMYFUNCTION("""COMPUTED_VALUE"""),"TV Series 2019– )")</f>
        <v>TV Series 2019– )</v>
      </c>
    </row>
    <row r="1719" spans="1:5" ht="13" x14ac:dyDescent="0.15">
      <c r="A1719" s="5" t="s">
        <v>2080</v>
      </c>
      <c r="D1719" t="str">
        <f ca="1">IFERROR(__xludf.DUMMYFUNCTION("split(A1719,""("")"),"La Bruja ")</f>
        <v xml:space="preserve">La Bruja </v>
      </c>
      <c r="E1719" t="str">
        <f ca="1">IFERROR(__xludf.DUMMYFUNCTION("""COMPUTED_VALUE"""),"TV Series 2011– )")</f>
        <v>TV Series 2011– )</v>
      </c>
    </row>
    <row r="1720" spans="1:5" ht="13" x14ac:dyDescent="0.15">
      <c r="A1720" s="5" t="s">
        <v>2081</v>
      </c>
      <c r="D1720" t="str">
        <f ca="1">IFERROR(__xludf.DUMMYFUNCTION("split(A1720,""("")"),"La corrida ")</f>
        <v xml:space="preserve">La corrida </v>
      </c>
      <c r="E1720" t="str">
        <f ca="1">IFERROR(__xludf.DUMMYFUNCTION("""COMPUTED_VALUE"""),"TV Series 1986–2011)")</f>
        <v>TV Series 1986–2011)</v>
      </c>
    </row>
    <row r="1721" spans="1:5" ht="13" x14ac:dyDescent="0.15">
      <c r="A1721" s="5" t="s">
        <v>2082</v>
      </c>
      <c r="D1721" t="str">
        <f ca="1">IFERROR(__xludf.DUMMYFUNCTION("split(A1721,""("")"),"La Familia de al Lado ")</f>
        <v xml:space="preserve">La Familia de al Lado </v>
      </c>
      <c r="E1721" t="str">
        <f ca="1">IFERROR(__xludf.DUMMYFUNCTION("""COMPUTED_VALUE"""),"TV Series 2010–2011)")</f>
        <v>TV Series 2010–2011)</v>
      </c>
    </row>
    <row r="1722" spans="1:5" ht="13" x14ac:dyDescent="0.15">
      <c r="A1722" s="5" t="s">
        <v>2083</v>
      </c>
      <c r="D1722" t="str">
        <f ca="1">IFERROR(__xludf.DUMMYFUNCTION("split(A1722,""("")"),"La Femme Nikita ")</f>
        <v xml:space="preserve">La Femme Nikita </v>
      </c>
      <c r="E1722" t="str">
        <f ca="1">IFERROR(__xludf.DUMMYFUNCTION("""COMPUTED_VALUE"""),"TV Series 1997–2001)")</f>
        <v>TV Series 1997–2001)</v>
      </c>
    </row>
    <row r="1723" spans="1:5" ht="13" x14ac:dyDescent="0.15">
      <c r="A1723" s="5" t="s">
        <v>2084</v>
      </c>
      <c r="D1723" t="str">
        <f ca="1">IFERROR(__xludf.DUMMYFUNCTION("split(A1723,""("")"),"LA Ink ")</f>
        <v xml:space="preserve">LA Ink </v>
      </c>
      <c r="E1723" t="str">
        <f ca="1">IFERROR(__xludf.DUMMYFUNCTION("""COMPUTED_VALUE"""),"TV Series 2007– )")</f>
        <v>TV Series 2007– )</v>
      </c>
    </row>
    <row r="1724" spans="1:5" ht="13" x14ac:dyDescent="0.15">
      <c r="A1724" s="5" t="s">
        <v>2085</v>
      </c>
      <c r="D1724" t="str">
        <f ca="1">IFERROR(__xludf.DUMMYFUNCTION("split(A1724,""("")"),"La mujer de Judas ")</f>
        <v xml:space="preserve">La mujer de Judas </v>
      </c>
      <c r="E1724" t="str">
        <f ca="1">IFERROR(__xludf.DUMMYFUNCTION("""COMPUTED_VALUE"""),"TV Series 2012– )")</f>
        <v>TV Series 2012– )</v>
      </c>
    </row>
    <row r="1725" spans="1:5" ht="13" x14ac:dyDescent="0.15">
      <c r="A1725" s="5" t="s">
        <v>2086</v>
      </c>
      <c r="D1725" t="str">
        <f ca="1">IFERROR(__xludf.DUMMYFUNCTION("split(A1725,""("")"),"La que se avecina ")</f>
        <v xml:space="preserve">La que se avecina </v>
      </c>
      <c r="E1725" t="str">
        <f ca="1">IFERROR(__xludf.DUMMYFUNCTION("""COMPUTED_VALUE"""),"TV Series 2007– )")</f>
        <v>TV Series 2007– )</v>
      </c>
    </row>
    <row r="1726" spans="1:5" ht="13" x14ac:dyDescent="0.15">
      <c r="A1726" s="5" t="s">
        <v>2087</v>
      </c>
      <c r="D1726" t="str">
        <f ca="1">IFERROR(__xludf.DUMMYFUNCTION("split(A1726,""("")"),"La Recta Provincia ")</f>
        <v xml:space="preserve">La Recta Provincia </v>
      </c>
      <c r="E1726" t="str">
        <f ca="1">IFERROR(__xludf.DUMMYFUNCTION("""COMPUTED_VALUE"""),"TV Series 2007– )")</f>
        <v>TV Series 2007– )</v>
      </c>
    </row>
    <row r="1727" spans="1:5" ht="13" x14ac:dyDescent="0.15">
      <c r="A1727" s="5" t="s">
        <v>2088</v>
      </c>
      <c r="D1727" t="str">
        <f ca="1">IFERROR(__xludf.DUMMYFUNCTION("split(A1727,""("")"),"La saga: Negocio de familia ")</f>
        <v xml:space="preserve">La saga: Negocio de familia </v>
      </c>
      <c r="E1727" t="str">
        <f ca="1">IFERROR(__xludf.DUMMYFUNCTION("""COMPUTED_VALUE"""),"TV Series 2004– )")</f>
        <v>TV Series 2004– )</v>
      </c>
    </row>
    <row r="1728" spans="1:5" ht="13" x14ac:dyDescent="0.15">
      <c r="A1728" s="5" t="s">
        <v>2089</v>
      </c>
      <c r="D1728" t="str">
        <f ca="1">IFERROR(__xludf.DUMMYFUNCTION("split(A1728,""("")"),"LA to Vegas ")</f>
        <v xml:space="preserve">LA to Vegas </v>
      </c>
      <c r="E1728" t="str">
        <f ca="1">IFERROR(__xludf.DUMMYFUNCTION("""COMPUTED_VALUE"""),"TV Series 2018)")</f>
        <v>TV Series 2018)</v>
      </c>
    </row>
    <row r="1729" spans="1:5" ht="13" x14ac:dyDescent="0.15">
      <c r="A1729" s="5" t="s">
        <v>2090</v>
      </c>
      <c r="D1729" t="str">
        <f ca="1">IFERROR(__xludf.DUMMYFUNCTION("split(A1729,""("")"),"La vendetta ")</f>
        <v xml:space="preserve">La vendetta </v>
      </c>
      <c r="E1729" t="str">
        <f ca="1">IFERROR(__xludf.DUMMYFUNCTION("""COMPUTED_VALUE"""),"TV Series 2007– )")</f>
        <v>TV Series 2007– )</v>
      </c>
    </row>
    <row r="1730" spans="1:5" ht="13" x14ac:dyDescent="0.15">
      <c r="A1730" s="5" t="s">
        <v>2091</v>
      </c>
      <c r="D1730" t="str">
        <f ca="1">IFERROR(__xludf.DUMMYFUNCTION("split(A1730,""("")"),"Ladon Mein Pali ")</f>
        <v xml:space="preserve">Ladon Mein Pali </v>
      </c>
      <c r="E1730" t="str">
        <f ca="1">IFERROR(__xludf.DUMMYFUNCTION("""COMPUTED_VALUE"""),"TV Series 2014–2015)")</f>
        <v>TV Series 2014–2015)</v>
      </c>
    </row>
    <row r="1731" spans="1:5" ht="13" x14ac:dyDescent="0.15">
      <c r="A1731" s="5" t="s">
        <v>2092</v>
      </c>
      <c r="D1731" t="str">
        <f ca="1">IFERROR(__xludf.DUMMYFUNCTION("split(A1731,""("")"),"Lady Zika ")</f>
        <v xml:space="preserve">Lady Zika </v>
      </c>
      <c r="E1731" t="str">
        <f ca="1">IFERROR(__xludf.DUMMYFUNCTION("""COMPUTED_VALUE"""),"TV Series 2015– )")</f>
        <v>TV Series 2015– )</v>
      </c>
    </row>
    <row r="1732" spans="1:5" ht="13" x14ac:dyDescent="0.15">
      <c r="A1732" s="5" t="s">
        <v>609</v>
      </c>
      <c r="D1732" t="str">
        <f ca="1">IFERROR(__xludf.DUMMYFUNCTION("split(A1732,""("")"),"Laguna Beach: The Real Orange County ")</f>
        <v xml:space="preserve">Laguna Beach: The Real Orange County </v>
      </c>
      <c r="E1732" t="str">
        <f ca="1">IFERROR(__xludf.DUMMYFUNCTION("""COMPUTED_VALUE"""),"TV Series 2004–2006)")</f>
        <v>TV Series 2004–2006)</v>
      </c>
    </row>
    <row r="1733" spans="1:5" ht="13" x14ac:dyDescent="0.15">
      <c r="A1733" s="5" t="s">
        <v>610</v>
      </c>
      <c r="D1733" t="str">
        <f ca="1">IFERROR(__xludf.DUMMYFUNCTION("split(A1733,""("")"),"Land of the Lost ")</f>
        <v xml:space="preserve">Land of the Lost </v>
      </c>
      <c r="E1733" t="str">
        <f ca="1">IFERROR(__xludf.DUMMYFUNCTION("""COMPUTED_VALUE"""),"TV Series 1991–1992)")</f>
        <v>TV Series 1991–1992)</v>
      </c>
    </row>
    <row r="1734" spans="1:5" ht="13" x14ac:dyDescent="0.15">
      <c r="A1734" s="5" t="s">
        <v>2093</v>
      </c>
      <c r="D1734" t="str">
        <f ca="1">IFERROR(__xludf.DUMMYFUNCTION("split(A1734,""("")"),"Langt fra Las Vegas ")</f>
        <v xml:space="preserve">Langt fra Las Vegas </v>
      </c>
      <c r="E1734" t="str">
        <f ca="1">IFERROR(__xludf.DUMMYFUNCTION("""COMPUTED_VALUE"""),"TV Series 2001–2003)")</f>
        <v>TV Series 2001–2003)</v>
      </c>
    </row>
    <row r="1735" spans="1:5" ht="13" x14ac:dyDescent="0.15">
      <c r="A1735" s="5" t="s">
        <v>2094</v>
      </c>
      <c r="D1735" t="str">
        <f ca="1">IFERROR(__xludf.DUMMYFUNCTION("split(A1735,""("")"),"Lark Rise to Candleford ")</f>
        <v xml:space="preserve">Lark Rise to Candleford </v>
      </c>
      <c r="E1735" t="str">
        <f ca="1">IFERROR(__xludf.DUMMYFUNCTION("""COMPUTED_VALUE"""),"TV Series 2008–2011)")</f>
        <v>TV Series 2008–2011)</v>
      </c>
    </row>
    <row r="1736" spans="1:5" ht="13" x14ac:dyDescent="0.15">
      <c r="A1736" s="5" t="s">
        <v>2095</v>
      </c>
      <c r="D1736" t="str">
        <f ca="1">IFERROR(__xludf.DUMMYFUNCTION("split(A1736,""("")"),"Las Vega's ")</f>
        <v xml:space="preserve">Las Vega's </v>
      </c>
      <c r="E1736" t="str">
        <f ca="1">IFERROR(__xludf.DUMMYFUNCTION("""COMPUTED_VALUE"""),"TV Series 2013)")</f>
        <v>TV Series 2013)</v>
      </c>
    </row>
    <row r="1737" spans="1:5" ht="13" x14ac:dyDescent="0.15">
      <c r="A1737" s="5" t="s">
        <v>2096</v>
      </c>
      <c r="D1737" t="str">
        <f ca="1">IFERROR(__xludf.DUMMYFUNCTION("split(A1737,""("")"),"Laser Fart ")</f>
        <v xml:space="preserve">Laser Fart </v>
      </c>
      <c r="E1737" t="str">
        <f ca="1">IFERROR(__xludf.DUMMYFUNCTION("""COMPUTED_VALUE"""),"TV Series 2004– )")</f>
        <v>TV Series 2004– )</v>
      </c>
    </row>
    <row r="1738" spans="1:5" ht="13" x14ac:dyDescent="0.15">
      <c r="A1738" s="5" t="s">
        <v>2097</v>
      </c>
      <c r="D1738" t="str">
        <f ca="1">IFERROR(__xludf.DUMMYFUNCTION("split(A1738,""("")"),"Last Chance U ")</f>
        <v xml:space="preserve">Last Chance U </v>
      </c>
      <c r="E1738" t="str">
        <f ca="1">IFERROR(__xludf.DUMMYFUNCTION("""COMPUTED_VALUE"""),"TV Series 2016– )")</f>
        <v>TV Series 2016– )</v>
      </c>
    </row>
    <row r="1739" spans="1:5" ht="13" x14ac:dyDescent="0.15">
      <c r="A1739" s="5" t="s">
        <v>2098</v>
      </c>
      <c r="D1739" t="str">
        <f ca="1">IFERROR(__xludf.DUMMYFUNCTION("split(A1739,""("")"),"Last Comic Standing ")</f>
        <v xml:space="preserve">Last Comic Standing </v>
      </c>
      <c r="E1739" t="str">
        <f ca="1">IFERROR(__xludf.DUMMYFUNCTION("""COMPUTED_VALUE"""),"TV Series 2003– )")</f>
        <v>TV Series 2003– )</v>
      </c>
    </row>
    <row r="1740" spans="1:5" ht="13" x14ac:dyDescent="0.15">
      <c r="A1740" s="5" t="s">
        <v>2099</v>
      </c>
      <c r="D1740" t="str">
        <f ca="1">IFERROR(__xludf.DUMMYFUNCTION("split(A1740,""("")"),"Last Man Standing ")</f>
        <v xml:space="preserve">Last Man Standing </v>
      </c>
      <c r="E1740" t="str">
        <f ca="1">IFERROR(__xludf.DUMMYFUNCTION("""COMPUTED_VALUE"""),"TV Series 2011– )")</f>
        <v>TV Series 2011– )</v>
      </c>
    </row>
    <row r="1741" spans="1:5" ht="13" x14ac:dyDescent="0.15">
      <c r="A1741" s="5" t="s">
        <v>2100</v>
      </c>
      <c r="D1741" t="str">
        <f ca="1">IFERROR(__xludf.DUMMYFUNCTION("split(A1741,""("")"),"Laura Lemurex ASMR ")</f>
        <v xml:space="preserve">Laura Lemurex ASMR </v>
      </c>
      <c r="E1741" t="str">
        <f ca="1">IFERROR(__xludf.DUMMYFUNCTION("""COMPUTED_VALUE"""),"TV Series 2012– )")</f>
        <v>TV Series 2012– )</v>
      </c>
    </row>
    <row r="1742" spans="1:5" ht="13" x14ac:dyDescent="0.15">
      <c r="A1742" s="5" t="s">
        <v>312</v>
      </c>
      <c r="D1742" t="str">
        <f ca="1">IFERROR(__xludf.DUMMYFUNCTION("split(A1742,""("")"),"Law &amp; Order ")</f>
        <v xml:space="preserve">Law &amp; Order </v>
      </c>
      <c r="E1742" t="str">
        <f ca="1">IFERROR(__xludf.DUMMYFUNCTION("""COMPUTED_VALUE"""),"TV Series 1990–2010)")</f>
        <v>TV Series 1990–2010)</v>
      </c>
    </row>
    <row r="1743" spans="1:5" ht="13" x14ac:dyDescent="0.15">
      <c r="A1743" s="5" t="s">
        <v>313</v>
      </c>
      <c r="D1743" t="str">
        <f ca="1">IFERROR(__xludf.DUMMYFUNCTION("split(A1743,""("")"),"Law &amp; Order: Criminal Intent ")</f>
        <v xml:space="preserve">Law &amp; Order: Criminal Intent </v>
      </c>
      <c r="E1743" t="str">
        <f ca="1">IFERROR(__xludf.DUMMYFUNCTION("""COMPUTED_VALUE"""),"TV Series 2001–2011)")</f>
        <v>TV Series 2001–2011)</v>
      </c>
    </row>
    <row r="1744" spans="1:5" ht="13" x14ac:dyDescent="0.15">
      <c r="A1744" s="5" t="s">
        <v>314</v>
      </c>
      <c r="D1744" t="str">
        <f ca="1">IFERROR(__xludf.DUMMYFUNCTION("split(A1744,""("")"),"Law &amp; Order: Special Victims Unit ")</f>
        <v xml:space="preserve">Law &amp; Order: Special Victims Unit </v>
      </c>
      <c r="E1744" t="str">
        <f ca="1">IFERROR(__xludf.DUMMYFUNCTION("""COMPUTED_VALUE"""),"TV Series 1999– )")</f>
        <v>TV Series 1999– )</v>
      </c>
    </row>
    <row r="1745" spans="1:5" ht="13" x14ac:dyDescent="0.15">
      <c r="A1745" s="5" t="s">
        <v>2101</v>
      </c>
      <c r="D1745" t="str">
        <f ca="1">IFERROR(__xludf.DUMMYFUNCTION("split(A1745,""("")"),"Lazy Game Reviews ")</f>
        <v xml:space="preserve">Lazy Game Reviews </v>
      </c>
      <c r="E1745" t="str">
        <f ca="1">IFERROR(__xludf.DUMMYFUNCTION("""COMPUTED_VALUE"""),"TV Series 2008– )")</f>
        <v>TV Series 2008– )</v>
      </c>
    </row>
    <row r="1746" spans="1:5" ht="13" x14ac:dyDescent="0.15">
      <c r="A1746" s="5" t="s">
        <v>2102</v>
      </c>
      <c r="D1746" t="str">
        <f ca="1">IFERROR(__xludf.DUMMYFUNCTION("split(A1746,""("")"),"Leah Remini: Scientology and the Aftermath ")</f>
        <v xml:space="preserve">Leah Remini: Scientology and the Aftermath </v>
      </c>
      <c r="E1746" t="str">
        <f ca="1">IFERROR(__xludf.DUMMYFUNCTION("""COMPUTED_VALUE"""),"TV Series 2016–2019)")</f>
        <v>TV Series 2016–2019)</v>
      </c>
    </row>
    <row r="1747" spans="1:5" ht="13" x14ac:dyDescent="0.15">
      <c r="A1747" s="5" t="s">
        <v>2103</v>
      </c>
      <c r="D1747" t="str">
        <f ca="1">IFERROR(__xludf.DUMMYFUNCTION("split(A1747,""("")"),"Legend of the Seeker ")</f>
        <v xml:space="preserve">Legend of the Seeker </v>
      </c>
      <c r="E1747" t="str">
        <f ca="1">IFERROR(__xludf.DUMMYFUNCTION("""COMPUTED_VALUE"""),"TV Series 2008–2010)")</f>
        <v>TV Series 2008–2010)</v>
      </c>
    </row>
    <row r="1748" spans="1:5" ht="13" x14ac:dyDescent="0.15">
      <c r="A1748" s="5" t="s">
        <v>2104</v>
      </c>
      <c r="D1748" t="str">
        <f ca="1">IFERROR(__xludf.DUMMYFUNCTION("split(A1748,""("")"),"Legend Quest ")</f>
        <v xml:space="preserve">Legend Quest </v>
      </c>
      <c r="E1748" t="str">
        <f ca="1">IFERROR(__xludf.DUMMYFUNCTION("""COMPUTED_VALUE"""),"TV Series 2017– )")</f>
        <v>TV Series 2017– )</v>
      </c>
    </row>
    <row r="1749" spans="1:5" ht="13" x14ac:dyDescent="0.15">
      <c r="A1749" s="5" t="s">
        <v>2105</v>
      </c>
      <c r="D1749" t="str">
        <f ca="1">IFERROR(__xludf.DUMMYFUNCTION("split(A1749,""("")"),"Legends ")</f>
        <v xml:space="preserve">Legends </v>
      </c>
      <c r="E1749" t="str">
        <f ca="1">IFERROR(__xludf.DUMMYFUNCTION("""COMPUTED_VALUE"""),"TV Series 2014–2015)")</f>
        <v>TV Series 2014–2015)</v>
      </c>
    </row>
    <row r="1750" spans="1:5" ht="13" x14ac:dyDescent="0.15">
      <c r="A1750" s="5" t="s">
        <v>2106</v>
      </c>
      <c r="D1750" t="str">
        <f ca="1">IFERROR(__xludf.DUMMYFUNCTION("split(A1750,""("")"),"Legends of Gaming Brasil ")</f>
        <v xml:space="preserve">Legends of Gaming Brasil </v>
      </c>
      <c r="E1750" t="str">
        <f ca="1">IFERROR(__xludf.DUMMYFUNCTION("""COMPUTED_VALUE"""),"TV Series 2015–2017)")</f>
        <v>TV Series 2015–2017)</v>
      </c>
    </row>
    <row r="1751" spans="1:5" ht="13" x14ac:dyDescent="0.15">
      <c r="A1751" s="5" t="s">
        <v>2107</v>
      </c>
      <c r="D1751" t="str">
        <f ca="1">IFERROR(__xludf.DUMMYFUNCTION("split(A1751,""("")"),"Legion ")</f>
        <v xml:space="preserve">Legion </v>
      </c>
      <c r="E1751" t="str">
        <f ca="1">IFERROR(__xludf.DUMMYFUNCTION("""COMPUTED_VALUE"""),"TV Series 2017–2019)")</f>
        <v>TV Series 2017–2019)</v>
      </c>
    </row>
    <row r="1752" spans="1:5" ht="13" x14ac:dyDescent="0.15">
      <c r="A1752" s="5" t="s">
        <v>2108</v>
      </c>
      <c r="D1752" t="str">
        <f ca="1">IFERROR(__xludf.DUMMYFUNCTION("split(A1752,""("")"),"Legion of Super Heroes ")</f>
        <v xml:space="preserve">Legion of Super Heroes </v>
      </c>
      <c r="E1752" t="str">
        <f ca="1">IFERROR(__xludf.DUMMYFUNCTION("""COMPUTED_VALUE"""),"TV Series 2006–2008)")</f>
        <v>TV Series 2006–2008)</v>
      </c>
    </row>
    <row r="1753" spans="1:5" ht="13" x14ac:dyDescent="0.15">
      <c r="A1753" s="5" t="s">
        <v>504</v>
      </c>
      <c r="D1753" t="str">
        <f ca="1">IFERROR(__xludf.DUMMYFUNCTION("split(A1753,""("")"),"Lego Elves: Secrets of Elvendale ")</f>
        <v xml:space="preserve">Lego Elves: Secrets of Elvendale </v>
      </c>
      <c r="E1753" t="str">
        <f ca="1">IFERROR(__xludf.DUMMYFUNCTION("""COMPUTED_VALUE"""),"TV Series 2017– )")</f>
        <v>TV Series 2017– )</v>
      </c>
    </row>
    <row r="1754" spans="1:5" ht="13" x14ac:dyDescent="0.15">
      <c r="A1754" s="5" t="s">
        <v>505</v>
      </c>
      <c r="D1754" t="str">
        <f ca="1">IFERROR(__xludf.DUMMYFUNCTION("split(A1754,""("")"),"Lego Friends ")</f>
        <v xml:space="preserve">Lego Friends </v>
      </c>
      <c r="E1754" t="str">
        <f ca="1">IFERROR(__xludf.DUMMYFUNCTION("""COMPUTED_VALUE"""),"TV Series 2013– )")</f>
        <v>TV Series 2013– )</v>
      </c>
    </row>
    <row r="1755" spans="1:5" ht="13" x14ac:dyDescent="0.15">
      <c r="A1755" s="5" t="s">
        <v>506</v>
      </c>
      <c r="D1755" t="str">
        <f ca="1">IFERROR(__xludf.DUMMYFUNCTION("split(A1755,""("")"),"Lego Star Wars: The Freemaker Adventures ")</f>
        <v xml:space="preserve">Lego Star Wars: The Freemaker Adventures </v>
      </c>
      <c r="E1755" t="str">
        <f ca="1">IFERROR(__xludf.DUMMYFUNCTION("""COMPUTED_VALUE"""),"TV Series 2016– )")</f>
        <v>TV Series 2016– )</v>
      </c>
    </row>
    <row r="1756" spans="1:5" ht="13" x14ac:dyDescent="0.15">
      <c r="A1756" s="5" t="s">
        <v>2109</v>
      </c>
      <c r="D1756" t="str">
        <f ca="1">IFERROR(__xludf.DUMMYFUNCTION("split(A1756,""("")"),"Leif Nygaard Vlog ")</f>
        <v xml:space="preserve">Leif Nygaard Vlog </v>
      </c>
      <c r="E1756" t="str">
        <f ca="1">IFERROR(__xludf.DUMMYFUNCTION("""COMPUTED_VALUE"""),"TV Series 2017– )")</f>
        <v>TV Series 2017– )</v>
      </c>
    </row>
    <row r="1757" spans="1:5" ht="13" x14ac:dyDescent="0.15">
      <c r="A1757" s="5" t="s">
        <v>2110</v>
      </c>
      <c r="D1757" t="str">
        <f ca="1">IFERROR(__xludf.DUMMYFUNCTION("split(A1757,""("")"),"Les Dalton ")</f>
        <v xml:space="preserve">Les Dalton </v>
      </c>
      <c r="E1757" t="str">
        <f ca="1">IFERROR(__xludf.DUMMYFUNCTION("""COMPUTED_VALUE"""),"TV Series 2009–2013)")</f>
        <v>TV Series 2009–2013)</v>
      </c>
    </row>
    <row r="1758" spans="1:5" ht="13" x14ac:dyDescent="0.15">
      <c r="A1758" s="5" t="s">
        <v>2111</v>
      </c>
      <c r="D1758" t="str">
        <f ca="1">IFERROR(__xludf.DUMMYFUNCTION("split(A1758,""("")"),"Les tropiques de l'amour ")</f>
        <v xml:space="preserve">Les tropiques de l'amour </v>
      </c>
      <c r="E1758" t="str">
        <f ca="1">IFERROR(__xludf.DUMMYFUNCTION("""COMPUTED_VALUE"""),"TV Series 2003– )")</f>
        <v>TV Series 2003– )</v>
      </c>
    </row>
    <row r="1759" spans="1:5" ht="13" x14ac:dyDescent="0.15">
      <c r="A1759" s="5" t="s">
        <v>2112</v>
      </c>
      <c r="D1759" t="str">
        <f ca="1">IFERROR(__xludf.DUMMYFUNCTION("split(A1759,""("")"),"Less Than Perfect ")</f>
        <v xml:space="preserve">Less Than Perfect </v>
      </c>
      <c r="E1759" t="str">
        <f ca="1">IFERROR(__xludf.DUMMYFUNCTION("""COMPUTED_VALUE"""),"TV Series 2002–2006)")</f>
        <v>TV Series 2002–2006)</v>
      </c>
    </row>
    <row r="1760" spans="1:5" ht="13" x14ac:dyDescent="0.15">
      <c r="A1760" s="5" t="s">
        <v>2113</v>
      </c>
      <c r="D1760" t="str">
        <f ca="1">IFERROR(__xludf.DUMMYFUNCTION("split(A1760,""("")"),"Let's Dance ")</f>
        <v xml:space="preserve">Let's Dance </v>
      </c>
      <c r="E1760" t="str">
        <f ca="1">IFERROR(__xludf.DUMMYFUNCTION("""COMPUTED_VALUE"""),"TV Series 2006– )")</f>
        <v>TV Series 2006– )</v>
      </c>
    </row>
    <row r="1761" spans="1:5" ht="13" x14ac:dyDescent="0.15">
      <c r="A1761" s="5" t="s">
        <v>188</v>
      </c>
      <c r="D1761" t="str">
        <f ca="1">IFERROR(__xludf.DUMMYFUNCTION("split(A1761,""("")"),"Lethal Weapon ")</f>
        <v xml:space="preserve">Lethal Weapon </v>
      </c>
      <c r="E1761" t="str">
        <f ca="1">IFERROR(__xludf.DUMMYFUNCTION("""COMPUTED_VALUE"""),"TV Series 2016–2019)")</f>
        <v>TV Series 2016–2019)</v>
      </c>
    </row>
    <row r="1762" spans="1:5" ht="13" x14ac:dyDescent="0.15">
      <c r="A1762" s="5" t="s">
        <v>2114</v>
      </c>
      <c r="D1762" t="str">
        <f ca="1">IFERROR(__xludf.DUMMYFUNCTION("split(A1762,""("")"),"Leverage ")</f>
        <v xml:space="preserve">Leverage </v>
      </c>
      <c r="E1762" t="str">
        <f ca="1">IFERROR(__xludf.DUMMYFUNCTION("""COMPUTED_VALUE"""),"TV Series 2008–2012)")</f>
        <v>TV Series 2008–2012)</v>
      </c>
    </row>
    <row r="1763" spans="1:5" ht="13" x14ac:dyDescent="0.15">
      <c r="A1763" s="5" t="s">
        <v>2115</v>
      </c>
      <c r="D1763" t="str">
        <f ca="1">IFERROR(__xludf.DUMMYFUNCTION("split(A1763,""("")"),"Liberdade 21 ")</f>
        <v xml:space="preserve">Liberdade 21 </v>
      </c>
      <c r="E1763" t="str">
        <f ca="1">IFERROR(__xludf.DUMMYFUNCTION("""COMPUTED_VALUE"""),"TV Series 2008– )")</f>
        <v>TV Series 2008– )</v>
      </c>
    </row>
    <row r="1764" spans="1:5" ht="13" x14ac:dyDescent="0.15">
      <c r="A1764" s="5" t="s">
        <v>2116</v>
      </c>
      <c r="D1764" t="str">
        <f ca="1">IFERROR(__xludf.DUMMYFUNCTION("split(A1764,""("")"),"Liberty's Kids: Est. 1776 ")</f>
        <v xml:space="preserve">Liberty's Kids: Est. 1776 </v>
      </c>
      <c r="E1764" t="str">
        <f ca="1">IFERROR(__xludf.DUMMYFUNCTION("""COMPUTED_VALUE"""),"TV Series 2002–2003)")</f>
        <v>TV Series 2002–2003)</v>
      </c>
    </row>
    <row r="1765" spans="1:5" ht="13" x14ac:dyDescent="0.15">
      <c r="A1765" s="5" t="s">
        <v>2117</v>
      </c>
      <c r="D1765" t="str">
        <f ca="1">IFERROR(__xludf.DUMMYFUNCTION("split(A1765,""("")"),"Lie to Me ")</f>
        <v xml:space="preserve">Lie to Me </v>
      </c>
      <c r="E1765" t="str">
        <f ca="1">IFERROR(__xludf.DUMMYFUNCTION("""COMPUTED_VALUE"""),"TV Series 2009–2011)")</f>
        <v>TV Series 2009–2011)</v>
      </c>
    </row>
    <row r="1766" spans="1:5" ht="13" x14ac:dyDescent="0.15">
      <c r="A1766" s="5" t="s">
        <v>2118</v>
      </c>
      <c r="D1766" t="str">
        <f ca="1">IFERROR(__xludf.DUMMYFUNCTION("split(A1766,""("")"),"Life ")</f>
        <v xml:space="preserve">Life </v>
      </c>
      <c r="E1766" t="str">
        <f ca="1">IFERROR(__xludf.DUMMYFUNCTION("""COMPUTED_VALUE"""),"TV Series 2007–2009)")</f>
        <v>TV Series 2007–2009)</v>
      </c>
    </row>
    <row r="1767" spans="1:5" ht="13" x14ac:dyDescent="0.15">
      <c r="A1767" s="5" t="s">
        <v>2119</v>
      </c>
      <c r="D1767" t="str">
        <f ca="1">IFERROR(__xludf.DUMMYFUNCTION("split(A1767,""("")"),"Life After People ")</f>
        <v xml:space="preserve">Life After People </v>
      </c>
      <c r="E1767" t="str">
        <f ca="1">IFERROR(__xludf.DUMMYFUNCTION("""COMPUTED_VALUE"""),"TV Series 2009– )")</f>
        <v>TV Series 2009– )</v>
      </c>
    </row>
    <row r="1768" spans="1:5" ht="13" x14ac:dyDescent="0.15">
      <c r="A1768" s="5" t="s">
        <v>2120</v>
      </c>
      <c r="D1768" t="str">
        <f ca="1">IFERROR(__xludf.DUMMYFUNCTION("split(A1768,""("")"),"Life Below Zero ")</f>
        <v xml:space="preserve">Life Below Zero </v>
      </c>
      <c r="E1768" t="str">
        <f ca="1">IFERROR(__xludf.DUMMYFUNCTION("""COMPUTED_VALUE"""),"TV Series 2013– )")</f>
        <v>TV Series 2013– )</v>
      </c>
    </row>
    <row r="1769" spans="1:5" ht="13" x14ac:dyDescent="0.15">
      <c r="A1769" s="5" t="s">
        <v>2121</v>
      </c>
      <c r="D1769" t="str">
        <f ca="1">IFERROR(__xludf.DUMMYFUNCTION("split(A1769,""("")"),"Life in Pieces ")</f>
        <v xml:space="preserve">Life in Pieces </v>
      </c>
      <c r="E1769" t="str">
        <f ca="1">IFERROR(__xludf.DUMMYFUNCTION("""COMPUTED_VALUE"""),"TV Series 2015–2019)")</f>
        <v>TV Series 2015–2019)</v>
      </c>
    </row>
    <row r="1770" spans="1:5" ht="13" x14ac:dyDescent="0.15">
      <c r="A1770" s="5" t="s">
        <v>2122</v>
      </c>
      <c r="D1770" t="str">
        <f ca="1">IFERROR(__xludf.DUMMYFUNCTION("split(A1770,""("")"),"Life on Mars ")</f>
        <v xml:space="preserve">Life on Mars </v>
      </c>
      <c r="E1770" t="str">
        <f ca="1">IFERROR(__xludf.DUMMYFUNCTION("""COMPUTED_VALUE"""),"TV Series 2006–2007)")</f>
        <v>TV Series 2006–2007)</v>
      </c>
    </row>
    <row r="1771" spans="1:5" ht="13" x14ac:dyDescent="0.15">
      <c r="A1771" s="5" t="s">
        <v>611</v>
      </c>
      <c r="D1771" t="str">
        <f ca="1">IFERROR(__xludf.DUMMYFUNCTION("split(A1771,""("")"),"Life on Mars ")</f>
        <v xml:space="preserve">Life on Mars </v>
      </c>
      <c r="E1771" t="str">
        <f ca="1">IFERROR(__xludf.DUMMYFUNCTION("""COMPUTED_VALUE"""),"TV Series 2008–2009)")</f>
        <v>TV Series 2008–2009)</v>
      </c>
    </row>
    <row r="1772" spans="1:5" ht="13" x14ac:dyDescent="0.15">
      <c r="A1772" s="5" t="s">
        <v>2123</v>
      </c>
      <c r="D1772" t="str">
        <f ca="1">IFERROR(__xludf.DUMMYFUNCTION("split(A1772,""("")"),"Life Sentence ")</f>
        <v xml:space="preserve">Life Sentence </v>
      </c>
      <c r="E1772" t="str">
        <f ca="1">IFERROR(__xludf.DUMMYFUNCTION("""COMPUTED_VALUE"""),"TV Series 2018)")</f>
        <v>TV Series 2018)</v>
      </c>
    </row>
    <row r="1773" spans="1:5" ht="13" x14ac:dyDescent="0.15">
      <c r="A1773" s="5" t="s">
        <v>2124</v>
      </c>
      <c r="D1773" t="str">
        <f ca="1">IFERROR(__xludf.DUMMYFUNCTION("split(A1773,""("")"),"Life Unexpected ")</f>
        <v xml:space="preserve">Life Unexpected </v>
      </c>
      <c r="E1773" t="str">
        <f ca="1">IFERROR(__xludf.DUMMYFUNCTION("""COMPUTED_VALUE"""),"TV Series 2010–2011)")</f>
        <v>TV Series 2010–2011)</v>
      </c>
    </row>
    <row r="1774" spans="1:5" ht="13" x14ac:dyDescent="0.15">
      <c r="A1774" s="5" t="s">
        <v>2125</v>
      </c>
      <c r="D1774" t="str">
        <f ca="1">IFERROR(__xludf.DUMMYFUNCTION("split(A1774,""("")"),"Life's a Zoo ")</f>
        <v xml:space="preserve">Life's a Zoo </v>
      </c>
      <c r="E1774" t="str">
        <f ca="1">IFERROR(__xludf.DUMMYFUNCTION("""COMPUTED_VALUE"""),"TV Series 2008–2009)")</f>
        <v>TV Series 2008–2009)</v>
      </c>
    </row>
    <row r="1775" spans="1:5" ht="13" x14ac:dyDescent="0.15">
      <c r="A1775" s="5" t="s">
        <v>2126</v>
      </c>
      <c r="D1775" t="str">
        <f ca="1">IFERROR(__xludf.DUMMYFUNCTION("split(A1775,""("")"),"Life's Too Short ")</f>
        <v xml:space="preserve">Life's Too Short </v>
      </c>
      <c r="E1775" t="str">
        <f ca="1">IFERROR(__xludf.DUMMYFUNCTION("""COMPUTED_VALUE"""),"TV Series 2011–2013)")</f>
        <v>TV Series 2011–2013)</v>
      </c>
    </row>
    <row r="1776" spans="1:5" ht="13" x14ac:dyDescent="0.15">
      <c r="A1776" s="5" t="s">
        <v>2127</v>
      </c>
      <c r="D1776" t="str">
        <f ca="1">IFERROR(__xludf.DUMMYFUNCTION("split(A1776,""("")"),"Lifestories: Families in Crisis ")</f>
        <v xml:space="preserve">Lifestories: Families in Crisis </v>
      </c>
      <c r="E1776" t="str">
        <f ca="1">IFERROR(__xludf.DUMMYFUNCTION("""COMPUTED_VALUE"""),"TV Series 1992–1996)")</f>
        <v>TV Series 1992–1996)</v>
      </c>
    </row>
    <row r="1777" spans="1:5" ht="13" x14ac:dyDescent="0.15">
      <c r="A1777" s="5" t="s">
        <v>2128</v>
      </c>
      <c r="D1777" t="str">
        <f ca="1">IFERROR(__xludf.DUMMYFUNCTION("split(A1777,""("")"),"Light as a Feather ")</f>
        <v xml:space="preserve">Light as a Feather </v>
      </c>
      <c r="E1777" t="str">
        <f ca="1">IFERROR(__xludf.DUMMYFUNCTION("""COMPUTED_VALUE"""),"TV Series 2018– )")</f>
        <v>TV Series 2018– )</v>
      </c>
    </row>
    <row r="1778" spans="1:5" ht="13" x14ac:dyDescent="0.15">
      <c r="A1778" s="5" t="s">
        <v>2129</v>
      </c>
      <c r="D1778" t="str">
        <f ca="1">IFERROR(__xludf.DUMMYFUNCTION("split(A1778,""("")"),"Lighthouse Baptist Church ")</f>
        <v xml:space="preserve">Lighthouse Baptist Church </v>
      </c>
      <c r="E1778" t="str">
        <f ca="1">IFERROR(__xludf.DUMMYFUNCTION("""COMPUTED_VALUE"""),"TV Series 2008– )")</f>
        <v>TV Series 2008– )</v>
      </c>
    </row>
    <row r="1779" spans="1:5" ht="13" x14ac:dyDescent="0.15">
      <c r="A1779" s="5" t="s">
        <v>2130</v>
      </c>
      <c r="D1779" t="str">
        <f ca="1">IFERROR(__xludf.DUMMYFUNCTION("split(A1779,""("")"),"Like, la leyenda ")</f>
        <v xml:space="preserve">Like, la leyenda </v>
      </c>
      <c r="E1779" t="str">
        <f ca="1">IFERROR(__xludf.DUMMYFUNCTION("""COMPUTED_VALUE"""),"TV Series 2018– )")</f>
        <v>TV Series 2018– )</v>
      </c>
    </row>
    <row r="1780" spans="1:5" ht="13" x14ac:dyDescent="0.15">
      <c r="A1780" s="5" t="s">
        <v>2131</v>
      </c>
      <c r="D1780" t="str">
        <f ca="1">IFERROR(__xludf.DUMMYFUNCTION("split(A1780,""("")"),"Lil' Bush: Resident of the United States ")</f>
        <v xml:space="preserve">Lil' Bush: Resident of the United States </v>
      </c>
      <c r="E1780" t="str">
        <f ca="1">IFERROR(__xludf.DUMMYFUNCTION("""COMPUTED_VALUE"""),"TV Series 2007–2008)")</f>
        <v>TV Series 2007–2008)</v>
      </c>
    </row>
    <row r="1781" spans="1:5" ht="13" x14ac:dyDescent="0.15">
      <c r="A1781" s="5" t="s">
        <v>2132</v>
      </c>
      <c r="D1781" t="str">
        <f ca="1">IFERROR(__xludf.DUMMYFUNCTION("split(A1781,""("")"),"Linda Macáková ")</f>
        <v xml:space="preserve">Linda Macáková </v>
      </c>
      <c r="E1781" t="str">
        <f ca="1">IFERROR(__xludf.DUMMYFUNCTION("""COMPUTED_VALUE"""),"TV Series 2017– )")</f>
        <v>TV Series 2017– )</v>
      </c>
    </row>
    <row r="1782" spans="1:5" ht="13" x14ac:dyDescent="0.15">
      <c r="A1782" s="5" t="s">
        <v>2133</v>
      </c>
      <c r="D1782" t="str">
        <f ca="1">IFERROR(__xludf.DUMMYFUNCTION("split(A1782,""("")"),"Lindenstraße ")</f>
        <v xml:space="preserve">Lindenstraße </v>
      </c>
      <c r="E1782" t="str">
        <f ca="1">IFERROR(__xludf.DUMMYFUNCTION("""COMPUTED_VALUE"""),"TV Series 1985– )")</f>
        <v>TV Series 1985– )</v>
      </c>
    </row>
    <row r="1783" spans="1:5" ht="13" x14ac:dyDescent="0.15">
      <c r="A1783" s="5" t="s">
        <v>2134</v>
      </c>
      <c r="D1783" t="str">
        <f ca="1">IFERROR(__xludf.DUMMYFUNCTION("split(A1783,""("")"),"Line of Duty ")</f>
        <v xml:space="preserve">Line of Duty </v>
      </c>
      <c r="E1783" t="str">
        <f ca="1">IFERROR(__xludf.DUMMYFUNCTION("""COMPUTED_VALUE"""),"TV Series 2012– )")</f>
        <v>TV Series 2012– )</v>
      </c>
    </row>
    <row r="1784" spans="1:5" ht="13" x14ac:dyDescent="0.15">
      <c r="A1784" s="5" t="s">
        <v>2135</v>
      </c>
      <c r="D1784" t="str">
        <f ca="1">IFERROR(__xludf.DUMMYFUNCTION("split(A1784,""("")"),"Line of Fire ")</f>
        <v xml:space="preserve">Line of Fire </v>
      </c>
      <c r="E1784" t="str">
        <f ca="1">IFERROR(__xludf.DUMMYFUNCTION("""COMPUTED_VALUE"""),"TV Series 2003–2005)")</f>
        <v>TV Series 2003–2005)</v>
      </c>
    </row>
    <row r="1785" spans="1:5" ht="13" x14ac:dyDescent="0.15">
      <c r="A1785" s="5" t="s">
        <v>2136</v>
      </c>
      <c r="D1785" t="str">
        <f ca="1">IFERROR(__xludf.DUMMYFUNCTION("split(A1785,""("")"),"Little Big Shots ")</f>
        <v xml:space="preserve">Little Big Shots </v>
      </c>
      <c r="E1785" t="str">
        <f ca="1">IFERROR(__xludf.DUMMYFUNCTION("""COMPUTED_VALUE"""),"TV Series 2016– )")</f>
        <v>TV Series 2016– )</v>
      </c>
    </row>
    <row r="1786" spans="1:5" ht="13" x14ac:dyDescent="0.15">
      <c r="A1786" s="5" t="s">
        <v>2137</v>
      </c>
      <c r="D1786" t="str">
        <f ca="1">IFERROR(__xludf.DUMMYFUNCTION("split(A1786,""("")"),"Little Britain ")</f>
        <v xml:space="preserve">Little Britain </v>
      </c>
      <c r="E1786" t="str">
        <f ca="1">IFERROR(__xludf.DUMMYFUNCTION("""COMPUTED_VALUE"""),"TV Series 2003–2006)")</f>
        <v>TV Series 2003–2006)</v>
      </c>
    </row>
    <row r="1787" spans="1:5" ht="13" x14ac:dyDescent="0.15">
      <c r="A1787" s="5" t="s">
        <v>2138</v>
      </c>
      <c r="D1787" t="str">
        <f ca="1">IFERROR(__xludf.DUMMYFUNCTION("split(A1787,""("")"),"Little People, Big World ")</f>
        <v xml:space="preserve">Little People, Big World </v>
      </c>
      <c r="E1787" t="str">
        <f ca="1">IFERROR(__xludf.DUMMYFUNCTION("""COMPUTED_VALUE"""),"TV Series 2006– )")</f>
        <v>TV Series 2006– )</v>
      </c>
    </row>
    <row r="1788" spans="1:5" ht="13" x14ac:dyDescent="0.15">
      <c r="A1788" s="5" t="s">
        <v>612</v>
      </c>
      <c r="D1788" t="str">
        <f ca="1">IFERROR(__xludf.DUMMYFUNCTION("split(A1788,""("")"),"Little People, Big World: Wedding Farm ")</f>
        <v xml:space="preserve">Little People, Big World: Wedding Farm </v>
      </c>
      <c r="E1788" t="str">
        <f ca="1">IFERROR(__xludf.DUMMYFUNCTION("""COMPUTED_VALUE"""),"TV Series 2012– )")</f>
        <v>TV Series 2012– )</v>
      </c>
    </row>
    <row r="1789" spans="1:5" ht="13" x14ac:dyDescent="0.15">
      <c r="A1789" s="5" t="s">
        <v>2139</v>
      </c>
      <c r="D1789" t="str">
        <f ca="1">IFERROR(__xludf.DUMMYFUNCTION("split(A1789,""("")"),"Littlest Pet Shop ")</f>
        <v xml:space="preserve">Littlest Pet Shop </v>
      </c>
      <c r="E1789" t="str">
        <f ca="1">IFERROR(__xludf.DUMMYFUNCTION("""COMPUTED_VALUE"""),"TV Series 2012–2016)")</f>
        <v>TV Series 2012–2016)</v>
      </c>
    </row>
    <row r="1790" spans="1:5" ht="13" x14ac:dyDescent="0.15">
      <c r="A1790" s="5" t="s">
        <v>2140</v>
      </c>
      <c r="D1790" t="str">
        <f ca="1">IFERROR(__xludf.DUMMYFUNCTION("split(A1790,""("")"),"Live PD: Police Patrol ")</f>
        <v xml:space="preserve">Live PD: Police Patrol </v>
      </c>
      <c r="E1790" t="str">
        <f ca="1">IFERROR(__xludf.DUMMYFUNCTION("""COMPUTED_VALUE"""),"TV Series 2017– )")</f>
        <v>TV Series 2017– )</v>
      </c>
    </row>
    <row r="1791" spans="1:5" ht="13" x14ac:dyDescent="0.15">
      <c r="A1791" s="5" t="s">
        <v>2141</v>
      </c>
      <c r="D1791" t="str">
        <f ca="1">IFERROR(__xludf.DUMMYFUNCTION("split(A1791,""("")"),"Liverpool 1 ")</f>
        <v xml:space="preserve">Liverpool 1 </v>
      </c>
      <c r="E1791" t="str">
        <f ca="1">IFERROR(__xludf.DUMMYFUNCTION("""COMPUTED_VALUE"""),"TV Series 1998–1999)")</f>
        <v>TV Series 1998–1999)</v>
      </c>
    </row>
    <row r="1792" spans="1:5" ht="13" x14ac:dyDescent="0.15">
      <c r="A1792" s="5" t="s">
        <v>2142</v>
      </c>
      <c r="D1792" t="str">
        <f ca="1">IFERROR(__xludf.DUMMYFUNCTION("split(A1792,""("")"),"Living Alaska ")</f>
        <v xml:space="preserve">Living Alaska </v>
      </c>
      <c r="E1792" t="str">
        <f ca="1">IFERROR(__xludf.DUMMYFUNCTION("""COMPUTED_VALUE"""),"TV Series 2013– )")</f>
        <v>TV Series 2013– )</v>
      </c>
    </row>
    <row r="1793" spans="1:5" ht="13" x14ac:dyDescent="0.15">
      <c r="A1793" s="5" t="s">
        <v>2143</v>
      </c>
      <c r="D1793" t="str">
        <f ca="1">IFERROR(__xludf.DUMMYFUNCTION("split(A1793,""("")"),"Living the Dream ")</f>
        <v xml:space="preserve">Living the Dream </v>
      </c>
      <c r="E1793" t="str">
        <f ca="1">IFERROR(__xludf.DUMMYFUNCTION("""COMPUTED_VALUE"""),"TV Series 2017– )")</f>
        <v>TV Series 2017– )</v>
      </c>
    </row>
    <row r="1794" spans="1:5" ht="13" x14ac:dyDescent="0.15">
      <c r="A1794" s="5" t="s">
        <v>281</v>
      </c>
      <c r="D1794" t="str">
        <f ca="1">IFERROR(__xludf.DUMMYFUNCTION("split(A1794,""("")"),"Living with Yourself ")</f>
        <v xml:space="preserve">Living with Yourself </v>
      </c>
      <c r="E1794" t="str">
        <f ca="1">IFERROR(__xludf.DUMMYFUNCTION("""COMPUTED_VALUE"""),"TV Series 2019– )")</f>
        <v>TV Series 2019– )</v>
      </c>
    </row>
    <row r="1795" spans="1:5" ht="13" x14ac:dyDescent="0.15">
      <c r="A1795" s="5" t="s">
        <v>2144</v>
      </c>
      <c r="D1795" t="str">
        <f ca="1">IFERROR(__xludf.DUMMYFUNCTION("split(A1795,""("")"),"Lizi ASMR ")</f>
        <v xml:space="preserve">Lizi ASMR </v>
      </c>
      <c r="E1795" t="str">
        <f ca="1">IFERROR(__xludf.DUMMYFUNCTION("""COMPUTED_VALUE"""),"TV Series 2018– )")</f>
        <v>TV Series 2018– )</v>
      </c>
    </row>
    <row r="1796" spans="1:5" ht="13" x14ac:dyDescent="0.15">
      <c r="A1796" s="5" t="s">
        <v>2145</v>
      </c>
      <c r="D1796" t="str">
        <f ca="1">IFERROR(__xludf.DUMMYFUNCTION("split(A1796,""("")"),"Lizzie McGuire ")</f>
        <v xml:space="preserve">Lizzie McGuire </v>
      </c>
      <c r="E1796" t="str">
        <f ca="1">IFERROR(__xludf.DUMMYFUNCTION("""COMPUTED_VALUE"""),"TV Series 2001–2004)")</f>
        <v>TV Series 2001–2004)</v>
      </c>
    </row>
    <row r="1797" spans="1:5" ht="13" x14ac:dyDescent="0.15">
      <c r="A1797" s="5" t="s">
        <v>2146</v>
      </c>
      <c r="D1797" t="str">
        <f ca="1">IFERROR(__xludf.DUMMYFUNCTION("split(A1797,""("")"),"Llamas De La Vida ")</f>
        <v xml:space="preserve">Llamas De La Vida </v>
      </c>
      <c r="E1797" t="str">
        <f ca="1">IFERROR(__xludf.DUMMYFUNCTION("""COMPUTED_VALUE"""),"TV Series 2008– )")</f>
        <v>TV Series 2008– )</v>
      </c>
    </row>
    <row r="1798" spans="1:5" ht="13" x14ac:dyDescent="0.15">
      <c r="A1798" s="5" t="s">
        <v>2147</v>
      </c>
      <c r="D1798" t="str">
        <f ca="1">IFERROR(__xludf.DUMMYFUNCTION("split(A1798,""("")"),"Lobo ")</f>
        <v xml:space="preserve">Lobo </v>
      </c>
      <c r="E1798" t="str">
        <f ca="1">IFERROR(__xludf.DUMMYFUNCTION("""COMPUTED_VALUE"""),"TV Series 2000)")</f>
        <v>TV Series 2000)</v>
      </c>
    </row>
    <row r="1799" spans="1:5" ht="13" x14ac:dyDescent="0.15">
      <c r="A1799" s="5" t="s">
        <v>2148</v>
      </c>
      <c r="D1799" t="str">
        <f ca="1">IFERROR(__xludf.DUMMYFUNCTION("split(A1799,""("")"),"Locked Up ")</f>
        <v xml:space="preserve">Locked Up </v>
      </c>
      <c r="E1799" t="str">
        <f ca="1">IFERROR(__xludf.DUMMYFUNCTION("""COMPUTED_VALUE"""),"TV Series 2015– )")</f>
        <v>TV Series 2015– )</v>
      </c>
    </row>
    <row r="1800" spans="1:5" ht="13" x14ac:dyDescent="0.15">
      <c r="A1800" s="5" t="s">
        <v>2149</v>
      </c>
      <c r="D1800" t="str">
        <f ca="1">IFERROR(__xludf.DUMMYFUNCTION("split(A1800,""("")"),"Locked Up Abroad ")</f>
        <v xml:space="preserve">Locked Up Abroad </v>
      </c>
      <c r="E1800" t="str">
        <f ca="1">IFERROR(__xludf.DUMMYFUNCTION("""COMPUTED_VALUE"""),"TV Series 2007– )")</f>
        <v>TV Series 2007– )</v>
      </c>
    </row>
    <row r="1801" spans="1:5" ht="13" x14ac:dyDescent="0.15">
      <c r="A1801" s="5" t="s">
        <v>2150</v>
      </c>
      <c r="D1801" t="str">
        <f ca="1">IFERROR(__xludf.DUMMYFUNCTION("split(A1801,""("")"),"Lodge 49 ")</f>
        <v xml:space="preserve">Lodge 49 </v>
      </c>
      <c r="E1801" t="str">
        <f ca="1">IFERROR(__xludf.DUMMYFUNCTION("""COMPUTED_VALUE"""),"TV Series 2018– )")</f>
        <v>TV Series 2018– )</v>
      </c>
    </row>
    <row r="1802" spans="1:5" ht="13" x14ac:dyDescent="0.15">
      <c r="A1802" s="5" t="s">
        <v>46</v>
      </c>
      <c r="D1802" t="str">
        <f ca="1">IFERROR(__xludf.DUMMYFUNCTION("split(A1802,""("")"),"Lois &amp; Clark: The New Adventures of Superman ")</f>
        <v xml:space="preserve">Lois &amp; Clark: The New Adventures of Superman </v>
      </c>
      <c r="E1802" t="str">
        <f ca="1">IFERROR(__xludf.DUMMYFUNCTION("""COMPUTED_VALUE"""),"TV Series 1993–1997)")</f>
        <v>TV Series 1993–1997)</v>
      </c>
    </row>
    <row r="1803" spans="1:5" ht="13" x14ac:dyDescent="0.15">
      <c r="A1803" s="5" t="s">
        <v>2151</v>
      </c>
      <c r="D1803" t="str">
        <f ca="1">IFERROR(__xludf.DUMMYFUNCTION("split(A1803,""("")"),"Loiter Squad ")</f>
        <v xml:space="preserve">Loiter Squad </v>
      </c>
      <c r="E1803" t="str">
        <f ca="1">IFERROR(__xludf.DUMMYFUNCTION("""COMPUTED_VALUE"""),"TV Series 2012–2014)")</f>
        <v>TV Series 2012–2014)</v>
      </c>
    </row>
    <row r="1804" spans="1:5" ht="13" x14ac:dyDescent="0.15">
      <c r="A1804" s="5" t="s">
        <v>2152</v>
      </c>
      <c r="D1804" t="str">
        <f ca="1">IFERROR(__xludf.DUMMYFUNCTION("split(A1804,""("")"),"London Kills ")</f>
        <v xml:space="preserve">London Kills </v>
      </c>
      <c r="E1804" t="str">
        <f ca="1">IFERROR(__xludf.DUMMYFUNCTION("""COMPUTED_VALUE"""),"TV Series 2019– )")</f>
        <v>TV Series 2019– )</v>
      </c>
    </row>
    <row r="1805" spans="1:5" ht="13" x14ac:dyDescent="0.15">
      <c r="A1805" s="5" t="s">
        <v>2153</v>
      </c>
      <c r="D1805" t="str">
        <f ca="1">IFERROR(__xludf.DUMMYFUNCTION("split(A1805,""("")"),"London's Burning ")</f>
        <v xml:space="preserve">London's Burning </v>
      </c>
      <c r="E1805" t="str">
        <f ca="1">IFERROR(__xludf.DUMMYFUNCTION("""COMPUTED_VALUE"""),"TV Series 1988–2002)")</f>
        <v>TV Series 1988–2002)</v>
      </c>
    </row>
    <row r="1806" spans="1:5" ht="13" x14ac:dyDescent="0.15">
      <c r="A1806" s="5" t="s">
        <v>2154</v>
      </c>
      <c r="D1806" t="str">
        <f ca="1">IFERROR(__xludf.DUMMYFUNCTION("split(A1806,""("")"),"Long Island Medium ")</f>
        <v xml:space="preserve">Long Island Medium </v>
      </c>
      <c r="E1806" t="str">
        <f ca="1">IFERROR(__xludf.DUMMYFUNCTION("""COMPUTED_VALUE"""),"TV Series 2011– )")</f>
        <v>TV Series 2011– )</v>
      </c>
    </row>
    <row r="1807" spans="1:5" ht="13" x14ac:dyDescent="0.15">
      <c r="A1807" s="5" t="s">
        <v>2155</v>
      </c>
      <c r="D1807" t="str">
        <f ca="1">IFERROR(__xludf.DUMMYFUNCTION("split(A1807,""("")"),"Long Lost Family ")</f>
        <v xml:space="preserve">Long Lost Family </v>
      </c>
      <c r="E1807" t="str">
        <f ca="1">IFERROR(__xludf.DUMMYFUNCTION("""COMPUTED_VALUE"""),"TV Series 2015– )")</f>
        <v>TV Series 2015– )</v>
      </c>
    </row>
    <row r="1808" spans="1:5" ht="13" x14ac:dyDescent="0.15">
      <c r="A1808" s="5" t="s">
        <v>2156</v>
      </c>
      <c r="D1808" t="str">
        <f ca="1">IFERROR(__xludf.DUMMYFUNCTION("split(A1808,""("")"),"Longmire ")</f>
        <v xml:space="preserve">Longmire </v>
      </c>
      <c r="E1808" t="str">
        <f ca="1">IFERROR(__xludf.DUMMYFUNCTION("""COMPUTED_VALUE"""),"TV Series 2012–2017)")</f>
        <v>TV Series 2012–2017)</v>
      </c>
    </row>
    <row r="1809" spans="1:5" ht="13" x14ac:dyDescent="0.15">
      <c r="A1809" s="5" t="s">
        <v>2157</v>
      </c>
      <c r="D1809" t="str">
        <f ca="1">IFERROR(__xludf.DUMMYFUNCTION("split(A1809,""("")"),"Looking ")</f>
        <v xml:space="preserve">Looking </v>
      </c>
      <c r="E1809" t="str">
        <f ca="1">IFERROR(__xludf.DUMMYFUNCTION("""COMPUTED_VALUE"""),"TV Series 2014–2015)")</f>
        <v>TV Series 2014–2015)</v>
      </c>
    </row>
    <row r="1810" spans="1:5" ht="13" x14ac:dyDescent="0.15">
      <c r="A1810" s="5" t="s">
        <v>2158</v>
      </c>
      <c r="D1810" t="str">
        <f ca="1">IFERROR(__xludf.DUMMYFUNCTION("split(A1810,""("")"),"Lore ")</f>
        <v xml:space="preserve">Lore </v>
      </c>
      <c r="E1810" t="str">
        <f ca="1">IFERROR(__xludf.DUMMYFUNCTION("""COMPUTED_VALUE"""),"TV Series 2017– )")</f>
        <v>TV Series 2017– )</v>
      </c>
    </row>
    <row r="1811" spans="1:5" ht="13" x14ac:dyDescent="0.15">
      <c r="A1811" s="5" t="s">
        <v>2159</v>
      </c>
      <c r="D1811" t="str">
        <f ca="1">IFERROR(__xludf.DUMMYFUNCTION("split(A1811,""("")"),"Lorraine's Fast, Fresh &amp; Easy Food ")</f>
        <v xml:space="preserve">Lorraine's Fast, Fresh &amp; Easy Food </v>
      </c>
      <c r="E1811" t="str">
        <f ca="1">IFERROR(__xludf.DUMMYFUNCTION("""COMPUTED_VALUE"""),"TV Series 2012)")</f>
        <v>TV Series 2012)</v>
      </c>
    </row>
    <row r="1812" spans="1:5" ht="13" x14ac:dyDescent="0.15">
      <c r="A1812" s="5" t="s">
        <v>2160</v>
      </c>
      <c r="D1812" t="str">
        <f ca="1">IFERROR(__xludf.DUMMYFUNCTION("split(A1812,""("")"),"Los elegidos ")</f>
        <v xml:space="preserve">Los elegidos </v>
      </c>
      <c r="E1812" t="str">
        <f ca="1">IFERROR(__xludf.DUMMYFUNCTION("""COMPUTED_VALUE"""),"TV Series 2019– )")</f>
        <v>TV Series 2019– )</v>
      </c>
    </row>
    <row r="1813" spans="1:5" ht="13" x14ac:dyDescent="0.15">
      <c r="A1813" s="5" t="s">
        <v>353</v>
      </c>
      <c r="D1813" t="str">
        <f ca="1">IFERROR(__xludf.DUMMYFUNCTION("split(A1813,""("")"),"Lost ")</f>
        <v xml:space="preserve">Lost </v>
      </c>
      <c r="E1813" t="str">
        <f ca="1">IFERROR(__xludf.DUMMYFUNCTION("""COMPUTED_VALUE"""),"TV Series 2004–2010)")</f>
        <v>TV Series 2004–2010)</v>
      </c>
    </row>
    <row r="1814" spans="1:5" ht="13" x14ac:dyDescent="0.15">
      <c r="A1814" s="5" t="s">
        <v>2161</v>
      </c>
      <c r="D1814" t="str">
        <f ca="1">IFERROR(__xludf.DUMMYFUNCTION("split(A1814,""("")"),"Lost Civilizations ")</f>
        <v xml:space="preserve">Lost Civilizations </v>
      </c>
      <c r="E1814" t="str">
        <f ca="1">IFERROR(__xludf.DUMMYFUNCTION("""COMPUTED_VALUE"""),"TV Series 1995– )")</f>
        <v>TV Series 1995– )</v>
      </c>
    </row>
    <row r="1815" spans="1:5" ht="13" x14ac:dyDescent="0.15">
      <c r="A1815" s="5" t="s">
        <v>2162</v>
      </c>
      <c r="D1815" t="str">
        <f ca="1">IFERROR(__xludf.DUMMYFUNCTION("split(A1815,""("")"),"Lost Girl ")</f>
        <v xml:space="preserve">Lost Girl </v>
      </c>
      <c r="E1815" t="str">
        <f ca="1">IFERROR(__xludf.DUMMYFUNCTION("""COMPUTED_VALUE"""),"TV Series 2010–2016)")</f>
        <v>TV Series 2010–2016)</v>
      </c>
    </row>
    <row r="1816" spans="1:5" ht="13" x14ac:dyDescent="0.15">
      <c r="A1816" s="5" t="s">
        <v>524</v>
      </c>
      <c r="D1816" t="str">
        <f ca="1">IFERROR(__xludf.DUMMYFUNCTION("split(A1816,""("")"),"Lost in Space ")</f>
        <v xml:space="preserve">Lost in Space </v>
      </c>
      <c r="E1816" t="str">
        <f ca="1">IFERROR(__xludf.DUMMYFUNCTION("""COMPUTED_VALUE"""),"TV Series 2018– )")</f>
        <v>TV Series 2018– )</v>
      </c>
    </row>
    <row r="1817" spans="1:5" ht="13" x14ac:dyDescent="0.15">
      <c r="A1817" s="5" t="s">
        <v>2163</v>
      </c>
      <c r="D1817" t="str">
        <f ca="1">IFERROR(__xludf.DUMMYFUNCTION("split(A1817,""("")"),"Lost Song ")</f>
        <v xml:space="preserve">Lost Song </v>
      </c>
      <c r="E1817" t="str">
        <f ca="1">IFERROR(__xludf.DUMMYFUNCTION("""COMPUTED_VALUE"""),"TV Series 2018– )")</f>
        <v>TV Series 2018– )</v>
      </c>
    </row>
    <row r="1818" spans="1:5" ht="13" x14ac:dyDescent="0.15">
      <c r="A1818" s="5" t="s">
        <v>2164</v>
      </c>
      <c r="D1818" t="str">
        <f ca="1">IFERROR(__xludf.DUMMYFUNCTION("split(A1818,""("")"),"Lost Tapes ")</f>
        <v xml:space="preserve">Lost Tapes </v>
      </c>
      <c r="E1818" t="str">
        <f ca="1">IFERROR(__xludf.DUMMYFUNCTION("""COMPUTED_VALUE"""),"TV Series 2008– )")</f>
        <v>TV Series 2008– )</v>
      </c>
    </row>
    <row r="1819" spans="1:5" ht="13" x14ac:dyDescent="0.15">
      <c r="A1819" s="5" t="s">
        <v>2165</v>
      </c>
      <c r="D1819" t="str">
        <f ca="1">IFERROR(__xludf.DUMMYFUNCTION("split(A1819,""("")"),"Loudermilk ")</f>
        <v xml:space="preserve">Loudermilk </v>
      </c>
      <c r="E1819" t="str">
        <f ca="1">IFERROR(__xludf.DUMMYFUNCTION("""COMPUTED_VALUE"""),"TV Series 2017– )")</f>
        <v>TV Series 2017– )</v>
      </c>
    </row>
    <row r="1820" spans="1:5" ht="13" x14ac:dyDescent="0.15">
      <c r="A1820" s="5" t="s">
        <v>354</v>
      </c>
      <c r="D1820" t="str">
        <f ca="1">IFERROR(__xludf.DUMMYFUNCTION("split(A1820,""("")"),"Love ")</f>
        <v xml:space="preserve">Love </v>
      </c>
      <c r="E1820" t="str">
        <f ca="1">IFERROR(__xludf.DUMMYFUNCTION("""COMPUTED_VALUE"""),"TV Series 2016–2018)")</f>
        <v>TV Series 2016–2018)</v>
      </c>
    </row>
    <row r="1821" spans="1:5" ht="13" x14ac:dyDescent="0.15">
      <c r="A1821" s="5" t="s">
        <v>219</v>
      </c>
      <c r="D1821" t="str">
        <f ca="1">IFERROR(__xludf.DUMMYFUNCTION("split(A1821,""("")"),"Love &amp; Hip Hop ")</f>
        <v xml:space="preserve">Love &amp; Hip Hop </v>
      </c>
      <c r="E1821" t="str">
        <f ca="1">IFERROR(__xludf.DUMMYFUNCTION("""COMPUTED_VALUE"""),"TV Series 2010– )")</f>
        <v>TV Series 2010– )</v>
      </c>
    </row>
    <row r="1822" spans="1:5" ht="13" x14ac:dyDescent="0.15">
      <c r="A1822" s="5" t="s">
        <v>2166</v>
      </c>
      <c r="D1822" t="str">
        <f ca="1">IFERROR(__xludf.DUMMYFUNCTION("split(A1822,""("")"),"Love at First Kiss ")</f>
        <v xml:space="preserve">Love at First Kiss </v>
      </c>
      <c r="E1822" t="str">
        <f ca="1">IFERROR(__xludf.DUMMYFUNCTION("""COMPUTED_VALUE"""),"TV Series 2016– )")</f>
        <v>TV Series 2016– )</v>
      </c>
    </row>
    <row r="1823" spans="1:5" ht="13" x14ac:dyDescent="0.15">
      <c r="A1823" s="5" t="s">
        <v>2167</v>
      </c>
      <c r="D1823" t="str">
        <f ca="1">IFERROR(__xludf.DUMMYFUNCTION("split(A1823,""("")"),"Love Connection ")</f>
        <v xml:space="preserve">Love Connection </v>
      </c>
      <c r="E1823" t="str">
        <f ca="1">IFERROR(__xludf.DUMMYFUNCTION("""COMPUTED_VALUE"""),"TV Series 2017– )")</f>
        <v>TV Series 2017– )</v>
      </c>
    </row>
    <row r="1824" spans="1:5" ht="13" x14ac:dyDescent="0.15">
      <c r="A1824" s="5" t="s">
        <v>2168</v>
      </c>
      <c r="D1824" t="str">
        <f ca="1">IFERROR(__xludf.DUMMYFUNCTION("split(A1824,""("")"),"Love Hina ")</f>
        <v xml:space="preserve">Love Hina </v>
      </c>
      <c r="E1824" t="str">
        <f ca="1">IFERROR(__xludf.DUMMYFUNCTION("""COMPUTED_VALUE"""),"TV Series 2000– )")</f>
        <v>TV Series 2000– )</v>
      </c>
    </row>
    <row r="1825" spans="1:5" ht="13" x14ac:dyDescent="0.15">
      <c r="A1825" s="5" t="s">
        <v>2169</v>
      </c>
      <c r="D1825" t="str">
        <f ca="1">IFERROR(__xludf.DUMMYFUNCTION("split(A1825,""("")"),"Love in the Wild ")</f>
        <v xml:space="preserve">Love in the Wild </v>
      </c>
      <c r="E1825" t="str">
        <f ca="1">IFERROR(__xludf.DUMMYFUNCTION("""COMPUTED_VALUE"""),"TV Series 2011– )")</f>
        <v>TV Series 2011– )</v>
      </c>
    </row>
    <row r="1826" spans="1:5" ht="13" x14ac:dyDescent="0.15">
      <c r="A1826" s="5" t="s">
        <v>2170</v>
      </c>
      <c r="D1826" t="str">
        <f ca="1">IFERROR(__xludf.DUMMYFUNCTION("split(A1826,""("")"),"Love Island ")</f>
        <v xml:space="preserve">Love Island </v>
      </c>
      <c r="E1826" t="str">
        <f ca="1">IFERROR(__xludf.DUMMYFUNCTION("""COMPUTED_VALUE"""),"TV Series 2019– )")</f>
        <v>TV Series 2019– )</v>
      </c>
    </row>
    <row r="1827" spans="1:5" ht="13" x14ac:dyDescent="0.15">
      <c r="A1827" s="5" t="s">
        <v>2171</v>
      </c>
      <c r="D1827" t="str">
        <f ca="1">IFERROR(__xludf.DUMMYFUNCTION("split(A1827,""("")"),"Love Me If You Dare ")</f>
        <v xml:space="preserve">Love Me If You Dare </v>
      </c>
      <c r="E1827" t="str">
        <f ca="1">IFERROR(__xludf.DUMMYFUNCTION("""COMPUTED_VALUE"""),"TV Series 2015– )")</f>
        <v>TV Series 2015– )</v>
      </c>
    </row>
    <row r="1828" spans="1:5" ht="13" x14ac:dyDescent="0.15">
      <c r="A1828" s="5" t="s">
        <v>2172</v>
      </c>
      <c r="D1828" t="str">
        <f ca="1">IFERROR(__xludf.DUMMYFUNCTION("split(A1828,""("")"),"Love Monkey ")</f>
        <v xml:space="preserve">Love Monkey </v>
      </c>
      <c r="E1828" t="str">
        <f ca="1">IFERROR(__xludf.DUMMYFUNCTION("""COMPUTED_VALUE"""),"TV Series 2006– )")</f>
        <v>TV Series 2006– )</v>
      </c>
    </row>
    <row r="1829" spans="1:5" ht="13" x14ac:dyDescent="0.15">
      <c r="A1829" s="5" t="s">
        <v>2173</v>
      </c>
      <c r="D1829" t="str">
        <f ca="1">IFERROR(__xludf.DUMMYFUNCTION("split(A1829,""("")"),"Love on the Spectrum ")</f>
        <v xml:space="preserve">Love on the Spectrum </v>
      </c>
      <c r="E1829" t="str">
        <f ca="1">IFERROR(__xludf.DUMMYFUNCTION("""COMPUTED_VALUE"""),"TV Series 2019– )")</f>
        <v>TV Series 2019– )</v>
      </c>
    </row>
    <row r="1830" spans="1:5" ht="13" x14ac:dyDescent="0.15">
      <c r="A1830" s="5" t="s">
        <v>355</v>
      </c>
      <c r="D1830" t="str">
        <f ca="1">IFERROR(__xludf.DUMMYFUNCTION("split(A1830,""("")"),"Love Thy Neighbor ")</f>
        <v xml:space="preserve">Love Thy Neighbor </v>
      </c>
      <c r="E1830" t="str">
        <f ca="1">IFERROR(__xludf.DUMMYFUNCTION("""COMPUTED_VALUE"""),"TV Series 2013– )")</f>
        <v>TV Series 2013– )</v>
      </c>
    </row>
    <row r="1831" spans="1:5" ht="13" x14ac:dyDescent="0.15">
      <c r="A1831" s="5" t="s">
        <v>2174</v>
      </c>
      <c r="D1831" t="str">
        <f ca="1">IFERROR(__xludf.DUMMYFUNCTION("split(A1831,""("")"),"Love Your Garden ")</f>
        <v xml:space="preserve">Love Your Garden </v>
      </c>
      <c r="E1831" t="str">
        <f ca="1">IFERROR(__xludf.DUMMYFUNCTION("""COMPUTED_VALUE"""),"TV Series 2011– )")</f>
        <v>TV Series 2011– )</v>
      </c>
    </row>
    <row r="1832" spans="1:5" ht="13" x14ac:dyDescent="0.15">
      <c r="A1832" s="5" t="s">
        <v>2175</v>
      </c>
      <c r="D1832" t="str">
        <f ca="1">IFERROR(__xludf.DUMMYFUNCTION("split(A1832,""("")"),"Love, Sidney ")</f>
        <v xml:space="preserve">Love, Sidney </v>
      </c>
      <c r="E1832" t="str">
        <f ca="1">IFERROR(__xludf.DUMMYFUNCTION("""COMPUTED_VALUE"""),"TV Series 1981–1983)")</f>
        <v>TV Series 1981–1983)</v>
      </c>
    </row>
    <row r="1833" spans="1:5" ht="13" x14ac:dyDescent="0.15">
      <c r="A1833" s="5" t="s">
        <v>2176</v>
      </c>
      <c r="D1833" t="str">
        <f ca="1">IFERROR(__xludf.DUMMYFUNCTION("split(A1833,""("")"),"Love/Hate ")</f>
        <v xml:space="preserve">Love/Hate </v>
      </c>
      <c r="E1833" t="str">
        <f ca="1">IFERROR(__xludf.DUMMYFUNCTION("""COMPUTED_VALUE"""),"TV Series 2010–2014)")</f>
        <v>TV Series 2010–2014)</v>
      </c>
    </row>
    <row r="1834" spans="1:5" ht="13" x14ac:dyDescent="0.15">
      <c r="A1834" s="5" t="s">
        <v>2177</v>
      </c>
      <c r="D1834" t="str">
        <f ca="1">IFERROR(__xludf.DUMMYFUNCTION("split(A1834,""("")"),"Low Winter Sun ")</f>
        <v xml:space="preserve">Low Winter Sun </v>
      </c>
      <c r="E1834" t="str">
        <f ca="1">IFERROR(__xludf.DUMMYFUNCTION("""COMPUTED_VALUE"""),"TV Series 2013)")</f>
        <v>TV Series 2013)</v>
      </c>
    </row>
    <row r="1835" spans="1:5" ht="13" x14ac:dyDescent="0.15">
      <c r="A1835" s="5" t="s">
        <v>134</v>
      </c>
      <c r="D1835" t="str">
        <f ca="1">IFERROR(__xludf.DUMMYFUNCTION("split(A1835,""("")"),"Lucifer ")</f>
        <v xml:space="preserve">Lucifer </v>
      </c>
      <c r="E1835" t="str">
        <f ca="1">IFERROR(__xludf.DUMMYFUNCTION("""COMPUTED_VALUE"""),"TV Series 2015– )")</f>
        <v>TV Series 2015– )</v>
      </c>
    </row>
    <row r="1836" spans="1:5" ht="13" x14ac:dyDescent="0.15">
      <c r="A1836" s="5" t="s">
        <v>2178</v>
      </c>
      <c r="D1836" t="str">
        <f ca="1">IFERROR(__xludf.DUMMYFUNCTION("split(A1836,""("")"),"Lucky Dog ")</f>
        <v xml:space="preserve">Lucky Dog </v>
      </c>
      <c r="E1836" t="str">
        <f ca="1">IFERROR(__xludf.DUMMYFUNCTION("""COMPUTED_VALUE"""),"TV Series 2013– )")</f>
        <v>TV Series 2013– )</v>
      </c>
    </row>
    <row r="1837" spans="1:5" ht="13" x14ac:dyDescent="0.15">
      <c r="A1837" s="5" t="s">
        <v>2179</v>
      </c>
      <c r="D1837" t="str">
        <f ca="1">IFERROR(__xludf.DUMMYFUNCTION("split(A1837,""("")"),"Lucy: The Daughter of the Devil ")</f>
        <v xml:space="preserve">Lucy: The Daughter of the Devil </v>
      </c>
      <c r="E1837" t="str">
        <f ca="1">IFERROR(__xludf.DUMMYFUNCTION("""COMPUTED_VALUE"""),"TV Series 2005–2007)")</f>
        <v>TV Series 2005–2007)</v>
      </c>
    </row>
    <row r="1838" spans="1:5" ht="13" x14ac:dyDescent="0.15">
      <c r="A1838" s="5" t="s">
        <v>2180</v>
      </c>
      <c r="D1838" t="str">
        <f ca="1">IFERROR(__xludf.DUMMYFUNCTION("split(A1838,""("")"),"LucyPug ")</f>
        <v xml:space="preserve">LucyPug </v>
      </c>
      <c r="E1838" t="str">
        <f ca="1">IFERROR(__xludf.DUMMYFUNCTION("""COMPUTED_VALUE"""),"TV Series 2015– )")</f>
        <v>TV Series 2015– )</v>
      </c>
    </row>
    <row r="1839" spans="1:5" ht="13" x14ac:dyDescent="0.15">
      <c r="A1839" s="5" t="s">
        <v>2181</v>
      </c>
      <c r="D1839" t="str">
        <f ca="1">IFERROR(__xludf.DUMMYFUNCTION("split(A1839,""("")"),"Luis Miguel: The Series ")</f>
        <v xml:space="preserve">Luis Miguel: The Series </v>
      </c>
      <c r="E1839" t="str">
        <f ca="1">IFERROR(__xludf.DUMMYFUNCTION("""COMPUTED_VALUE"""),"TV Series 2018– )")</f>
        <v>TV Series 2018– )</v>
      </c>
    </row>
    <row r="1840" spans="1:5" ht="13" x14ac:dyDescent="0.15">
      <c r="A1840" s="5" t="s">
        <v>3</v>
      </c>
      <c r="D1840" t="str">
        <f ca="1">IFERROR(__xludf.DUMMYFUNCTION("split(A1840,""("")"),"Luke Cage ")</f>
        <v xml:space="preserve">Luke Cage </v>
      </c>
      <c r="E1840" t="str">
        <f ca="1">IFERROR(__xludf.DUMMYFUNCTION("""COMPUTED_VALUE"""),"TV Series 2016–2018)")</f>
        <v>TV Series 2016–2018)</v>
      </c>
    </row>
    <row r="1841" spans="1:5" ht="13" x14ac:dyDescent="0.15">
      <c r="A1841" s="5" t="s">
        <v>2182</v>
      </c>
      <c r="D1841" t="str">
        <f ca="1">IFERROR(__xludf.DUMMYFUNCTION("split(A1841,""("")"),"Luke Nguyen's Greater Mekong ")</f>
        <v xml:space="preserve">Luke Nguyen's Greater Mekong </v>
      </c>
      <c r="E1841" t="str">
        <f ca="1">IFERROR(__xludf.DUMMYFUNCTION("""COMPUTED_VALUE"""),"TV Series 2012– )")</f>
        <v>TV Series 2012– )</v>
      </c>
    </row>
    <row r="1842" spans="1:5" ht="13" x14ac:dyDescent="0.15">
      <c r="A1842" s="5" t="s">
        <v>613</v>
      </c>
      <c r="D1842" t="str">
        <f ca="1">IFERROR(__xludf.DUMMYFUNCTION("split(A1842,""("")"),"Luke Nguyen's Vietnam ")</f>
        <v xml:space="preserve">Luke Nguyen's Vietnam </v>
      </c>
      <c r="E1842" t="str">
        <f ca="1">IFERROR(__xludf.DUMMYFUNCTION("""COMPUTED_VALUE"""),"TV Series 2010–2011)")</f>
        <v>TV Series 2010–2011)</v>
      </c>
    </row>
    <row r="1843" spans="1:5" ht="13" x14ac:dyDescent="0.15">
      <c r="A1843" s="5" t="s">
        <v>2183</v>
      </c>
      <c r="D1843" t="str">
        <f ca="1">IFERROR(__xludf.DUMMYFUNCTION("split(A1843,""("")"),"Lukynn ")</f>
        <v xml:space="preserve">Lukynn </v>
      </c>
      <c r="E1843" t="str">
        <f ca="1">IFERROR(__xludf.DUMMYFUNCTION("""COMPUTED_VALUE"""),"TV Series 2015– )")</f>
        <v>TV Series 2015– )</v>
      </c>
    </row>
    <row r="1844" spans="1:5" ht="13" x14ac:dyDescent="0.15">
      <c r="A1844" s="5" t="s">
        <v>2184</v>
      </c>
      <c r="D1844" t="str">
        <f ca="1">IFERROR(__xludf.DUMMYFUNCTION("split(A1844,""("")"),"Lunatics ")</f>
        <v xml:space="preserve">Lunatics </v>
      </c>
      <c r="E1844" t="str">
        <f ca="1">IFERROR(__xludf.DUMMYFUNCTION("""COMPUTED_VALUE"""),"TV Series 2019– )")</f>
        <v>TV Series 2019– )</v>
      </c>
    </row>
    <row r="1845" spans="1:5" ht="13" x14ac:dyDescent="0.15">
      <c r="A1845" s="5" t="s">
        <v>2185</v>
      </c>
      <c r="D1845" t="str">
        <f ca="1">IFERROR(__xludf.DUMMYFUNCTION("split(A1845,""("")"),"Lupin ")</f>
        <v xml:space="preserve">Lupin </v>
      </c>
      <c r="E1845" t="str">
        <f ca="1">IFERROR(__xludf.DUMMYFUNCTION("""COMPUTED_VALUE"""),"TV Series 2007– )")</f>
        <v>TV Series 2007– )</v>
      </c>
    </row>
    <row r="1846" spans="1:5" ht="13" x14ac:dyDescent="0.15">
      <c r="A1846" s="5" t="s">
        <v>220</v>
      </c>
      <c r="D1846" t="str">
        <f ca="1">IFERROR(__xludf.DUMMYFUNCTION("split(A1846,""("")"),"Luther ")</f>
        <v xml:space="preserve">Luther </v>
      </c>
      <c r="E1846" t="str">
        <f ca="1">IFERROR(__xludf.DUMMYFUNCTION("""COMPUTED_VALUE"""),"TV Series 2010– )")</f>
        <v>TV Series 2010– )</v>
      </c>
    </row>
    <row r="1847" spans="1:5" ht="13" x14ac:dyDescent="0.15">
      <c r="A1847" s="5" t="s">
        <v>2186</v>
      </c>
      <c r="D1847" t="str">
        <f ca="1">IFERROR(__xludf.DUMMYFUNCTION("split(A1847,""("")"),"Lync ")</f>
        <v xml:space="preserve">Lync </v>
      </c>
      <c r="E1847" t="str">
        <f ca="1">IFERROR(__xludf.DUMMYFUNCTION("""COMPUTED_VALUE"""),"TV Series 2018– )")</f>
        <v>TV Series 2018– )</v>
      </c>
    </row>
    <row r="1848" spans="1:5" ht="13" x14ac:dyDescent="0.15">
      <c r="A1848" s="5" t="s">
        <v>2187</v>
      </c>
      <c r="D1848" t="str">
        <f ca="1">IFERROR(__xludf.DUMMYFUNCTION("split(A1848,""("")"),"M jak milosc ")</f>
        <v xml:space="preserve">M jak milosc </v>
      </c>
      <c r="E1848" t="str">
        <f ca="1">IFERROR(__xludf.DUMMYFUNCTION("""COMPUTED_VALUE"""),"TV Series 2000– )")</f>
        <v>TV Series 2000– )</v>
      </c>
    </row>
    <row r="1849" spans="1:5" ht="13" x14ac:dyDescent="0.15">
      <c r="A1849" s="5" t="s">
        <v>2188</v>
      </c>
      <c r="D1849" t="str">
        <f ca="1">IFERROR(__xludf.DUMMYFUNCTION("split(A1849,""("")"),"M.I.High ")</f>
        <v xml:space="preserve">M.I.High </v>
      </c>
      <c r="E1849" t="str">
        <f ca="1">IFERROR(__xludf.DUMMYFUNCTION("""COMPUTED_VALUE"""),"TV Series 2007– )")</f>
        <v>TV Series 2007– )</v>
      </c>
    </row>
    <row r="1850" spans="1:5" ht="13" x14ac:dyDescent="0.15">
      <c r="A1850" s="5" t="s">
        <v>2189</v>
      </c>
      <c r="D1850" t="str">
        <f ca="1">IFERROR(__xludf.DUMMYFUNCTION("split(A1850,""("")"),"Maburaho ")</f>
        <v xml:space="preserve">Maburaho </v>
      </c>
      <c r="E1850" t="str">
        <f ca="1">IFERROR(__xludf.DUMMYFUNCTION("""COMPUTED_VALUE"""),"TV Series 2003–2004)")</f>
        <v>TV Series 2003–2004)</v>
      </c>
    </row>
    <row r="1851" spans="1:5" ht="13" x14ac:dyDescent="0.15">
      <c r="A1851" s="5" t="s">
        <v>2190</v>
      </c>
      <c r="D1851" t="str">
        <f ca="1">IFERROR(__xludf.DUMMYFUNCTION("split(A1851,""("")"),"MacGyver ")</f>
        <v xml:space="preserve">MacGyver </v>
      </c>
      <c r="E1851" t="str">
        <f ca="1">IFERROR(__xludf.DUMMYFUNCTION("""COMPUTED_VALUE"""),"TV Series 1985–1992)")</f>
        <v>TV Series 1985–1992)</v>
      </c>
    </row>
    <row r="1852" spans="1:5" ht="13" x14ac:dyDescent="0.15">
      <c r="A1852" s="5" t="s">
        <v>614</v>
      </c>
      <c r="D1852" t="str">
        <f ca="1">IFERROR(__xludf.DUMMYFUNCTION("split(A1852,""("")"),"MacGyver ")</f>
        <v xml:space="preserve">MacGyver </v>
      </c>
      <c r="E1852" t="str">
        <f ca="1">IFERROR(__xludf.DUMMYFUNCTION("""COMPUTED_VALUE"""),"TV Series 2016– )")</f>
        <v>TV Series 2016– )</v>
      </c>
    </row>
    <row r="1853" spans="1:5" ht="13" x14ac:dyDescent="0.15">
      <c r="A1853" s="5" t="s">
        <v>356</v>
      </c>
      <c r="D1853" t="str">
        <f ca="1">IFERROR(__xludf.DUMMYFUNCTION("split(A1853,""("")"),"Mad Men ")</f>
        <v xml:space="preserve">Mad Men </v>
      </c>
      <c r="E1853" t="str">
        <f ca="1">IFERROR(__xludf.DUMMYFUNCTION("""COMPUTED_VALUE"""),"TV Series 2007–2015)")</f>
        <v>TV Series 2007–2015)</v>
      </c>
    </row>
    <row r="1854" spans="1:5" ht="13" x14ac:dyDescent="0.15">
      <c r="A1854" s="5" t="s">
        <v>2191</v>
      </c>
      <c r="D1854" t="str">
        <f ca="1">IFERROR(__xludf.DUMMYFUNCTION("split(A1854,""("")"),"Madam Secretary ")</f>
        <v xml:space="preserve">Madam Secretary </v>
      </c>
      <c r="E1854" t="str">
        <f ca="1">IFERROR(__xludf.DUMMYFUNCTION("""COMPUTED_VALUE"""),"TV Series 2014– )")</f>
        <v>TV Series 2014– )</v>
      </c>
    </row>
    <row r="1855" spans="1:5" ht="13" x14ac:dyDescent="0.15">
      <c r="A1855" s="5" t="s">
        <v>2192</v>
      </c>
      <c r="D1855" t="str">
        <f ca="1">IFERROR(__xludf.DUMMYFUNCTION("split(A1855,""("")"),"Madame De Pompadour: The King's Favourite ")</f>
        <v xml:space="preserve">Madame De Pompadour: The King's Favourite </v>
      </c>
      <c r="E1855" t="str">
        <f ca="1">IFERROR(__xludf.DUMMYFUNCTION("""COMPUTED_VALUE"""),"TV Movie 2006)")</f>
        <v>TV Movie 2006)</v>
      </c>
    </row>
    <row r="1856" spans="1:5" ht="13" x14ac:dyDescent="0.15">
      <c r="A1856" s="5" t="s">
        <v>2193</v>
      </c>
      <c r="D1856" t="str">
        <f ca="1">IFERROR(__xludf.DUMMYFUNCTION("split(A1856,""("")"),"Made in Chelsea ")</f>
        <v xml:space="preserve">Made in Chelsea </v>
      </c>
      <c r="E1856" t="str">
        <f ca="1">IFERROR(__xludf.DUMMYFUNCTION("""COMPUTED_VALUE"""),"TV Series 2011– )")</f>
        <v>TV Series 2011– )</v>
      </c>
    </row>
    <row r="1857" spans="1:5" ht="13" x14ac:dyDescent="0.15">
      <c r="A1857" s="5" t="s">
        <v>2194</v>
      </c>
      <c r="D1857" t="str">
        <f ca="1">IFERROR(__xludf.DUMMYFUNCTION("split(A1857,""("")"),"Made in Heaven ")</f>
        <v xml:space="preserve">Made in Heaven </v>
      </c>
      <c r="E1857" t="str">
        <f ca="1">IFERROR(__xludf.DUMMYFUNCTION("""COMPUTED_VALUE"""),"TV Series 2018– )")</f>
        <v>TV Series 2018– )</v>
      </c>
    </row>
    <row r="1858" spans="1:5" ht="13" x14ac:dyDescent="0.15">
      <c r="A1858" s="5" t="s">
        <v>2195</v>
      </c>
      <c r="D1858" t="str">
        <f ca="1">IFERROR(__xludf.DUMMYFUNCTION("split(A1858,""("")"),"Madlax ")</f>
        <v xml:space="preserve">Madlax </v>
      </c>
      <c r="E1858" t="str">
        <f ca="1">IFERROR(__xludf.DUMMYFUNCTION("""COMPUTED_VALUE"""),"TV Series 2004– )")</f>
        <v>TV Series 2004– )</v>
      </c>
    </row>
    <row r="1859" spans="1:5" ht="13" x14ac:dyDescent="0.15">
      <c r="A1859" s="5" t="s">
        <v>2196</v>
      </c>
      <c r="D1859" t="str">
        <f ca="1">IFERROR(__xludf.DUMMYFUNCTION("split(A1859,""("")"),"Madness ")</f>
        <v xml:space="preserve">Madness </v>
      </c>
      <c r="E1859" t="str">
        <f ca="1">IFERROR(__xludf.DUMMYFUNCTION("""COMPUTED_VALUE"""),"TV Series 1991– )")</f>
        <v>TV Series 1991– )</v>
      </c>
    </row>
    <row r="1860" spans="1:5" ht="13" x14ac:dyDescent="0.15">
      <c r="A1860" s="5" t="s">
        <v>2197</v>
      </c>
      <c r="D1860" t="str">
        <f ca="1">IFERROR(__xludf.DUMMYFUNCTION("split(A1860,""("")"),"Magic City ")</f>
        <v xml:space="preserve">Magic City </v>
      </c>
      <c r="E1860" t="str">
        <f ca="1">IFERROR(__xludf.DUMMYFUNCTION("""COMPUTED_VALUE"""),"TV Series 2012–2013)")</f>
        <v>TV Series 2012–2013)</v>
      </c>
    </row>
    <row r="1861" spans="1:5" ht="13" x14ac:dyDescent="0.15">
      <c r="A1861" s="5" t="s">
        <v>2198</v>
      </c>
      <c r="D1861" t="str">
        <f ca="1">IFERROR(__xludf.DUMMYFUNCTION("split(A1861,""("")"),"Magical Angel Creamy Mami ")</f>
        <v xml:space="preserve">Magical Angel Creamy Mami </v>
      </c>
      <c r="E1861" t="str">
        <f ca="1">IFERROR(__xludf.DUMMYFUNCTION("""COMPUTED_VALUE"""),"TV Series 1983–1984)")</f>
        <v>TV Series 1983–1984)</v>
      </c>
    </row>
    <row r="1862" spans="1:5" ht="13" x14ac:dyDescent="0.15">
      <c r="A1862" s="5" t="s">
        <v>2199</v>
      </c>
      <c r="D1862" t="str">
        <f ca="1">IFERROR(__xludf.DUMMYFUNCTION("split(A1862,""("")"),"Magkaribal ")</f>
        <v xml:space="preserve">Magkaribal </v>
      </c>
      <c r="E1862" t="str">
        <f ca="1">IFERROR(__xludf.DUMMYFUNCTION("""COMPUTED_VALUE"""),"TV Series 2010)")</f>
        <v>TV Series 2010)</v>
      </c>
    </row>
    <row r="1863" spans="1:5" ht="13" x14ac:dyDescent="0.15">
      <c r="A1863" s="5" t="s">
        <v>194</v>
      </c>
      <c r="D1863" t="str">
        <f ca="1">IFERROR(__xludf.DUMMYFUNCTION("split(A1863,""("")"),"Magnum P.I. ")</f>
        <v xml:space="preserve">Magnum P.I. </v>
      </c>
      <c r="E1863" t="str">
        <f ca="1">IFERROR(__xludf.DUMMYFUNCTION("""COMPUTED_VALUE"""),"TV Series 2018– )")</f>
        <v>TV Series 2018– )</v>
      </c>
    </row>
    <row r="1864" spans="1:5" ht="13" x14ac:dyDescent="0.15">
      <c r="A1864" s="5" t="s">
        <v>2200</v>
      </c>
      <c r="D1864" t="str">
        <f ca="1">IFERROR(__xludf.DUMMYFUNCTION("split(A1864,""("")"),"Magnum, P.I. ")</f>
        <v xml:space="preserve">Magnum, P.I. </v>
      </c>
      <c r="E1864" t="str">
        <f ca="1">IFERROR(__xludf.DUMMYFUNCTION("""COMPUTED_VALUE"""),"TV Series 1980–1988)")</f>
        <v>TV Series 1980–1988)</v>
      </c>
    </row>
    <row r="1865" spans="1:5" ht="13" x14ac:dyDescent="0.15">
      <c r="A1865" s="5" t="s">
        <v>2201</v>
      </c>
      <c r="D1865" t="str">
        <f ca="1">IFERROR(__xludf.DUMMYFUNCTION("split(A1865,""("")"),"Mahabharatham ")</f>
        <v xml:space="preserve">Mahabharatham </v>
      </c>
      <c r="E1865" t="str">
        <f ca="1">IFERROR(__xludf.DUMMYFUNCTION("""COMPUTED_VALUE"""),"TV Series 2013–2016)")</f>
        <v>TV Series 2013–2016)</v>
      </c>
    </row>
    <row r="1866" spans="1:5" ht="13" x14ac:dyDescent="0.15">
      <c r="A1866" s="5" t="s">
        <v>2202</v>
      </c>
      <c r="D1866" t="str">
        <f ca="1">IFERROR(__xludf.DUMMYFUNCTION("split(A1866,""("")"),"Mai otome ")</f>
        <v xml:space="preserve">Mai otome </v>
      </c>
      <c r="E1866" t="str">
        <f ca="1">IFERROR(__xludf.DUMMYFUNCTION("""COMPUTED_VALUE"""),"TV Series 2005– )")</f>
        <v>TV Series 2005– )</v>
      </c>
    </row>
    <row r="1867" spans="1:5" ht="13" x14ac:dyDescent="0.15">
      <c r="A1867" s="5" t="s">
        <v>2203</v>
      </c>
      <c r="D1867" t="str">
        <f ca="1">IFERROR(__xludf.DUMMYFUNCTION("split(A1867,""("")"),"Mai-HiME ")</f>
        <v xml:space="preserve">Mai-HiME </v>
      </c>
      <c r="E1867" t="str">
        <f ca="1">IFERROR(__xludf.DUMMYFUNCTION("""COMPUTED_VALUE"""),"TV Series 2004–2005)")</f>
        <v>TV Series 2004–2005)</v>
      </c>
    </row>
    <row r="1868" spans="1:5" ht="13" x14ac:dyDescent="0.15">
      <c r="A1868" s="5" t="s">
        <v>2204</v>
      </c>
      <c r="D1868" t="str">
        <f ca="1">IFERROR(__xludf.DUMMYFUNCTION("split(A1868,""("")"),"Maid Marian and Her Merry Men ")</f>
        <v xml:space="preserve">Maid Marian and Her Merry Men </v>
      </c>
      <c r="E1868" t="str">
        <f ca="1">IFERROR(__xludf.DUMMYFUNCTION("""COMPUTED_VALUE"""),"TV Series 1989–1994)")</f>
        <v>TV Series 1989–1994)</v>
      </c>
    </row>
    <row r="1869" spans="1:5" ht="13" x14ac:dyDescent="0.15">
      <c r="A1869" s="5" t="s">
        <v>2205</v>
      </c>
      <c r="D1869" t="str">
        <f ca="1">IFERROR(__xludf.DUMMYFUNCTION("split(A1869,""("")"),"Maisie Raine ")</f>
        <v xml:space="preserve">Maisie Raine </v>
      </c>
      <c r="E1869" t="str">
        <f ca="1">IFERROR(__xludf.DUMMYFUNCTION("""COMPUTED_VALUE"""),"TV Series 1998–1999)")</f>
        <v>TV Series 1998–1999)</v>
      </c>
    </row>
    <row r="1870" spans="1:5" ht="13" x14ac:dyDescent="0.15">
      <c r="A1870" s="5" t="s">
        <v>2206</v>
      </c>
      <c r="D1870" t="str">
        <f ca="1">IFERROR(__xludf.DUMMYFUNCTION("split(A1870,""("")"),"Major Crimes ")</f>
        <v xml:space="preserve">Major Crimes </v>
      </c>
      <c r="E1870" t="str">
        <f ca="1">IFERROR(__xludf.DUMMYFUNCTION("""COMPUTED_VALUE"""),"TV Series 2012–2018)")</f>
        <v>TV Series 2012–2018)</v>
      </c>
    </row>
    <row r="1871" spans="1:5" ht="13" x14ac:dyDescent="0.15">
      <c r="A1871" s="5" t="s">
        <v>2207</v>
      </c>
      <c r="D1871" t="str">
        <f ca="1">IFERROR(__xludf.DUMMYFUNCTION("split(A1871,""("")"),"Make It or Break It ")</f>
        <v xml:space="preserve">Make It or Break It </v>
      </c>
      <c r="E1871" t="str">
        <f ca="1">IFERROR(__xludf.DUMMYFUNCTION("""COMPUTED_VALUE"""),"TV Series 2009–2012)")</f>
        <v>TV Series 2009–2012)</v>
      </c>
    </row>
    <row r="1872" spans="1:5" ht="13" x14ac:dyDescent="0.15">
      <c r="A1872" s="5" t="s">
        <v>2208</v>
      </c>
      <c r="D1872" t="str">
        <f ca="1">IFERROR(__xludf.DUMMYFUNCTION("split(A1872,""("")"),"Make It Pop ")</f>
        <v xml:space="preserve">Make It Pop </v>
      </c>
      <c r="E1872" t="str">
        <f ca="1">IFERROR(__xludf.DUMMYFUNCTION("""COMPUTED_VALUE"""),"TV Series 2015–2016)")</f>
        <v>TV Series 2015–2016)</v>
      </c>
    </row>
    <row r="1873" spans="1:5" ht="13" x14ac:dyDescent="0.15">
      <c r="A1873" s="5" t="s">
        <v>2209</v>
      </c>
      <c r="D1873" t="str">
        <f ca="1">IFERROR(__xludf.DUMMYFUNCTION("split(A1873,""("")"),"Making a Murderer ")</f>
        <v xml:space="preserve">Making a Murderer </v>
      </c>
      <c r="E1873" t="str">
        <f ca="1">IFERROR(__xludf.DUMMYFUNCTION("""COMPUTED_VALUE"""),"TV Series 2015– )")</f>
        <v>TV Series 2015– )</v>
      </c>
    </row>
    <row r="1874" spans="1:5" ht="13" x14ac:dyDescent="0.15">
      <c r="A1874" s="5" t="s">
        <v>2210</v>
      </c>
      <c r="D1874" t="str">
        <f ca="1">IFERROR(__xludf.DUMMYFUNCTION("split(A1874,""("")"),"Making History ")</f>
        <v xml:space="preserve">Making History </v>
      </c>
      <c r="E1874" t="str">
        <f ca="1">IFERROR(__xludf.DUMMYFUNCTION("""COMPUTED_VALUE"""),"TV Series 2017)")</f>
        <v>TV Series 2017)</v>
      </c>
    </row>
    <row r="1875" spans="1:5" ht="13" x14ac:dyDescent="0.15">
      <c r="A1875" s="5" t="s">
        <v>2211</v>
      </c>
      <c r="D1875" t="str">
        <f ca="1">IFERROR(__xludf.DUMMYFUNCTION("split(A1875,""("")"),"Making It ")</f>
        <v xml:space="preserve">Making It </v>
      </c>
      <c r="E1875" t="str">
        <f ca="1">IFERROR(__xludf.DUMMYFUNCTION("""COMPUTED_VALUE"""),"TV Series 2018– )")</f>
        <v>TV Series 2018– )</v>
      </c>
    </row>
    <row r="1876" spans="1:5" ht="13" x14ac:dyDescent="0.15">
      <c r="A1876" s="5" t="s">
        <v>2212</v>
      </c>
      <c r="D1876" t="str">
        <f ca="1">IFERROR(__xludf.DUMMYFUNCTION("split(A1876,""("")"),"Mako Mermaids ")</f>
        <v xml:space="preserve">Mako Mermaids </v>
      </c>
      <c r="E1876" t="str">
        <f ca="1">IFERROR(__xludf.DUMMYFUNCTION("""COMPUTED_VALUE"""),"TV Series 2013– )")</f>
        <v>TV Series 2013– )</v>
      </c>
    </row>
    <row r="1877" spans="1:5" ht="13" x14ac:dyDescent="0.15">
      <c r="A1877" s="5" t="s">
        <v>2213</v>
      </c>
      <c r="D1877" t="str">
        <f ca="1">IFERROR(__xludf.DUMMYFUNCTION("split(A1877,""("")"),"Makyna's Life ")</f>
        <v xml:space="preserve">Makyna's Life </v>
      </c>
      <c r="E1877" t="str">
        <f ca="1">IFERROR(__xludf.DUMMYFUNCTION("""COMPUTED_VALUE"""),"TV Series 2015–2016)")</f>
        <v>TV Series 2015–2016)</v>
      </c>
    </row>
    <row r="1878" spans="1:5" ht="13" x14ac:dyDescent="0.15">
      <c r="A1878" s="5" t="s">
        <v>2214</v>
      </c>
      <c r="D1878" t="str">
        <f ca="1">IFERROR(__xludf.DUMMYFUNCTION("split(A1878,""("")"),"Malcolm in the Middle ")</f>
        <v xml:space="preserve">Malcolm in the Middle </v>
      </c>
      <c r="E1878" t="str">
        <f ca="1">IFERROR(__xludf.DUMMYFUNCTION("""COMPUTED_VALUE"""),"TV Series 2000–2006)")</f>
        <v>TV Series 2000–2006)</v>
      </c>
    </row>
    <row r="1879" spans="1:5" ht="13" x14ac:dyDescent="0.15">
      <c r="A1879" s="5" t="s">
        <v>2215</v>
      </c>
      <c r="D1879" t="str">
        <f ca="1">IFERROR(__xludf.DUMMYFUNCTION("split(A1879,""("")"),"Malibu, CA ")</f>
        <v xml:space="preserve">Malibu, CA </v>
      </c>
      <c r="E1879" t="str">
        <f ca="1">IFERROR(__xludf.DUMMYFUNCTION("""COMPUTED_VALUE"""),"TV Series 1998–2000)")</f>
        <v>TV Series 1998–2000)</v>
      </c>
    </row>
    <row r="1880" spans="1:5" ht="13" x14ac:dyDescent="0.15">
      <c r="A1880" s="5" t="s">
        <v>2216</v>
      </c>
      <c r="D1880" t="str">
        <f ca="1">IFERROR(__xludf.DUMMYFUNCTION("split(A1880,""("")"),"Mama Lifestyle ")</f>
        <v xml:space="preserve">Mama Lifestyle </v>
      </c>
      <c r="E1880" t="str">
        <f ca="1">IFERROR(__xludf.DUMMYFUNCTION("""COMPUTED_VALUE"""),"TV Series 2013–2017)")</f>
        <v>TV Series 2013–2017)</v>
      </c>
    </row>
    <row r="1881" spans="1:5" ht="13" x14ac:dyDescent="0.15">
      <c r="A1881" s="5" t="s">
        <v>2217</v>
      </c>
      <c r="D1881" t="str">
        <f ca="1">IFERROR(__xludf.DUMMYFUNCTION("split(A1881,""("")"),"Man Down ")</f>
        <v xml:space="preserve">Man Down </v>
      </c>
      <c r="E1881" t="str">
        <f ca="1">IFERROR(__xludf.DUMMYFUNCTION("""COMPUTED_VALUE"""),"TV Series 2013– )")</f>
        <v>TV Series 2013– )</v>
      </c>
    </row>
    <row r="1882" spans="1:5" ht="13" x14ac:dyDescent="0.15">
      <c r="A1882" s="5" t="s">
        <v>2218</v>
      </c>
      <c r="D1882" t="str">
        <f ca="1">IFERROR(__xludf.DUMMYFUNCTION("split(A1882,""("")"),"Man Seeking Woman ")</f>
        <v xml:space="preserve">Man Seeking Woman </v>
      </c>
      <c r="E1882" t="str">
        <f ca="1">IFERROR(__xludf.DUMMYFUNCTION("""COMPUTED_VALUE"""),"TV Series 2015–2017)")</f>
        <v>TV Series 2015–2017)</v>
      </c>
    </row>
    <row r="1883" spans="1:5" ht="13" x14ac:dyDescent="0.15">
      <c r="A1883" s="5" t="s">
        <v>2219</v>
      </c>
      <c r="D1883" t="str">
        <f ca="1">IFERROR(__xludf.DUMMYFUNCTION("split(A1883,""("")"),"Man v. Food ")</f>
        <v xml:space="preserve">Man v. Food </v>
      </c>
      <c r="E1883" t="str">
        <f ca="1">IFERROR(__xludf.DUMMYFUNCTION("""COMPUTED_VALUE"""),"TV Series 2008– )")</f>
        <v>TV Series 2008– )</v>
      </c>
    </row>
    <row r="1884" spans="1:5" ht="13" x14ac:dyDescent="0.15">
      <c r="A1884" s="5" t="s">
        <v>2220</v>
      </c>
      <c r="D1884" t="str">
        <f ca="1">IFERROR(__xludf.DUMMYFUNCTION("split(A1884,""("")"),"Man with a Plan ")</f>
        <v xml:space="preserve">Man with a Plan </v>
      </c>
      <c r="E1884" t="str">
        <f ca="1">IFERROR(__xludf.DUMMYFUNCTION("""COMPUTED_VALUE"""),"TV Series 2016– )")</f>
        <v>TV Series 2016– )</v>
      </c>
    </row>
    <row r="1885" spans="1:5" ht="13" x14ac:dyDescent="0.15">
      <c r="A1885" s="5" t="s">
        <v>2221</v>
      </c>
      <c r="D1885" t="str">
        <f ca="1">IFERROR(__xludf.DUMMYFUNCTION("split(A1885,""("")"),"Manhunt ")</f>
        <v xml:space="preserve">Manhunt </v>
      </c>
      <c r="E1885" t="str">
        <f ca="1">IFERROR(__xludf.DUMMYFUNCTION("""COMPUTED_VALUE"""),"TV Series 2018– )")</f>
        <v>TV Series 2018– )</v>
      </c>
    </row>
    <row r="1886" spans="1:5" ht="13" x14ac:dyDescent="0.15">
      <c r="A1886" s="5" t="s">
        <v>2222</v>
      </c>
      <c r="D1886" t="str">
        <f ca="1">IFERROR(__xludf.DUMMYFUNCTION("split(A1886,""("")"),"Manifest ")</f>
        <v xml:space="preserve">Manifest </v>
      </c>
      <c r="E1886" t="str">
        <f ca="1">IFERROR(__xludf.DUMMYFUNCTION("""COMPUTED_VALUE"""),"TV Series 2018– )")</f>
        <v>TV Series 2018– )</v>
      </c>
    </row>
    <row r="1887" spans="1:5" ht="13" x14ac:dyDescent="0.15">
      <c r="A1887" s="5" t="s">
        <v>2223</v>
      </c>
      <c r="D1887" t="str">
        <f ca="1">IFERROR(__xludf.DUMMYFUNCTION("split(A1887,""("")"),"Manny's Movie Macabre ")</f>
        <v xml:space="preserve">Manny's Movie Macabre </v>
      </c>
      <c r="E1887" t="str">
        <f ca="1">IFERROR(__xludf.DUMMYFUNCTION("""COMPUTED_VALUE"""),"TV Series 2018– )")</f>
        <v>TV Series 2018– )</v>
      </c>
    </row>
    <row r="1888" spans="1:5" ht="13" x14ac:dyDescent="0.15">
      <c r="A1888" s="5" t="s">
        <v>2224</v>
      </c>
      <c r="D1888" t="str">
        <f ca="1">IFERROR(__xludf.DUMMYFUNCTION("split(A1888,""("")"),"Maple Town ")</f>
        <v xml:space="preserve">Maple Town </v>
      </c>
      <c r="E1888" t="str">
        <f ca="1">IFERROR(__xludf.DUMMYFUNCTION("""COMPUTED_VALUE"""),"TV Series 1986–1987)")</f>
        <v>TV Series 1986–1987)</v>
      </c>
    </row>
    <row r="1889" spans="1:5" ht="13" x14ac:dyDescent="0.15">
      <c r="A1889" s="5" t="s">
        <v>2225</v>
      </c>
      <c r="D1889" t="str">
        <f ca="1">IFERROR(__xludf.DUMMYFUNCTION("split(A1889,""("")"),"Mara Clara ")</f>
        <v xml:space="preserve">Mara Clara </v>
      </c>
      <c r="E1889" t="str">
        <f ca="1">IFERROR(__xludf.DUMMYFUNCTION("""COMPUTED_VALUE"""),"TV Series 2010–2011)")</f>
        <v>TV Series 2010–2011)</v>
      </c>
    </row>
    <row r="1890" spans="1:5" ht="13" x14ac:dyDescent="0.15">
      <c r="A1890" s="5" t="s">
        <v>2226</v>
      </c>
      <c r="D1890" t="str">
        <f ca="1">IFERROR(__xludf.DUMMYFUNCTION("split(A1890,""("")"),"Marcella ")</f>
        <v xml:space="preserve">Marcella </v>
      </c>
      <c r="E1890" t="str">
        <f ca="1">IFERROR(__xludf.DUMMYFUNCTION("""COMPUTED_VALUE"""),"TV Series 2016– )")</f>
        <v>TV Series 2016– )</v>
      </c>
    </row>
    <row r="1891" spans="1:5" ht="13" x14ac:dyDescent="0.15">
      <c r="A1891" s="5" t="s">
        <v>197</v>
      </c>
      <c r="D1891" t="str">
        <f ca="1">IFERROR(__xludf.DUMMYFUNCTION("split(A1891,""("")"),"Marco Polo ")</f>
        <v xml:space="preserve">Marco Polo </v>
      </c>
      <c r="E1891" t="str">
        <f ca="1">IFERROR(__xludf.DUMMYFUNCTION("""COMPUTED_VALUE"""),"TV Series 2014–2016)")</f>
        <v>TV Series 2014–2016)</v>
      </c>
    </row>
    <row r="1892" spans="1:5" ht="13" x14ac:dyDescent="0.15">
      <c r="A1892" s="5" t="s">
        <v>2227</v>
      </c>
      <c r="D1892" t="str">
        <f ca="1">IFERROR(__xludf.DUMMYFUNCTION("split(A1892,""("")"),"MareTV ")</f>
        <v xml:space="preserve">MareTV </v>
      </c>
      <c r="E1892" t="str">
        <f ca="1">IFERROR(__xludf.DUMMYFUNCTION("""COMPUTED_VALUE"""),"TV Series 2001– )")</f>
        <v>TV Series 2001– )</v>
      </c>
    </row>
    <row r="1893" spans="1:5" ht="13" x14ac:dyDescent="0.15">
      <c r="A1893" s="5" t="s">
        <v>2228</v>
      </c>
      <c r="D1893" t="str">
        <f ca="1">IFERROR(__xludf.DUMMYFUNCTION("split(A1893,""("")"),"Maria Watches Over Us ")</f>
        <v xml:space="preserve">Maria Watches Over Us </v>
      </c>
      <c r="E1893" t="str">
        <f ca="1">IFERROR(__xludf.DUMMYFUNCTION("""COMPUTED_VALUE"""),"TV Series 2004– )")</f>
        <v>TV Series 2004– )</v>
      </c>
    </row>
    <row r="1894" spans="1:5" ht="13" x14ac:dyDescent="0.15">
      <c r="A1894" s="5" t="s">
        <v>2229</v>
      </c>
      <c r="D1894" t="str">
        <f ca="1">IFERROR(__xludf.DUMMYFUNCTION("split(A1894,""("")"),"Marianne the First ")</f>
        <v xml:space="preserve">Marianne the First </v>
      </c>
      <c r="E1894" t="str">
        <f ca="1">IFERROR(__xludf.DUMMYFUNCTION("""COMPUTED_VALUE"""),"TV Series 1990– )")</f>
        <v>TV Series 1990– )</v>
      </c>
    </row>
    <row r="1895" spans="1:5" ht="13" x14ac:dyDescent="0.15">
      <c r="A1895" s="5" t="s">
        <v>2230</v>
      </c>
      <c r="D1895" t="str">
        <f ca="1">IFERROR(__xludf.DUMMYFUNCTION("split(A1895,""("")"),"Marimar ")</f>
        <v xml:space="preserve">Marimar </v>
      </c>
      <c r="E1895" t="str">
        <f ca="1">IFERROR(__xludf.DUMMYFUNCTION("""COMPUTED_VALUE"""),"TV Series 2007– )")</f>
        <v>TV Series 2007– )</v>
      </c>
    </row>
    <row r="1896" spans="1:5" ht="13" x14ac:dyDescent="0.15">
      <c r="A1896" s="5" t="s">
        <v>2231</v>
      </c>
      <c r="D1896" t="str">
        <f ca="1">IFERROR(__xludf.DUMMYFUNCTION("split(A1896,""("")"),"Mark Tyban ")</f>
        <v xml:space="preserve">Mark Tyban </v>
      </c>
      <c r="E1896" t="str">
        <f ca="1">IFERROR(__xludf.DUMMYFUNCTION("""COMPUTED_VALUE"""),"TV Series 2017– )")</f>
        <v>TV Series 2017– )</v>
      </c>
    </row>
    <row r="1897" spans="1:5" ht="13" x14ac:dyDescent="0.15">
      <c r="A1897" s="5" t="s">
        <v>2232</v>
      </c>
      <c r="D1897" t="str">
        <f ca="1">IFERROR(__xludf.DUMMYFUNCTION("split(A1897,""("")"),"Married ")</f>
        <v xml:space="preserve">Married </v>
      </c>
      <c r="E1897" t="str">
        <f ca="1">IFERROR(__xludf.DUMMYFUNCTION("""COMPUTED_VALUE"""),"TV Series 2014–2015)")</f>
        <v>TV Series 2014–2015)</v>
      </c>
    </row>
    <row r="1898" spans="1:5" ht="13" x14ac:dyDescent="0.15">
      <c r="A1898" s="5" t="s">
        <v>2233</v>
      </c>
      <c r="D1898" t="str">
        <f ca="1">IFERROR(__xludf.DUMMYFUNCTION("split(A1898,""("")"),"Married to Medicine ")</f>
        <v xml:space="preserve">Married to Medicine </v>
      </c>
      <c r="E1898" t="str">
        <f ca="1">IFERROR(__xludf.DUMMYFUNCTION("""COMPUTED_VALUE"""),"TV Series 2013– )")</f>
        <v>TV Series 2013– )</v>
      </c>
    </row>
    <row r="1899" spans="1:5" ht="13" x14ac:dyDescent="0.15">
      <c r="A1899" s="5" t="s">
        <v>2234</v>
      </c>
      <c r="D1899" t="str">
        <f ca="1">IFERROR(__xludf.DUMMYFUNCTION("split(A1899,""("")"),"Married... with Children ")</f>
        <v xml:space="preserve">Married... with Children </v>
      </c>
      <c r="E1899" t="str">
        <f ca="1">IFERROR(__xludf.DUMMYFUNCTION("""COMPUTED_VALUE"""),"TV Series 1987–1997)")</f>
        <v>TV Series 1987–1997)</v>
      </c>
    </row>
    <row r="1900" spans="1:5" ht="13" x14ac:dyDescent="0.15">
      <c r="A1900" s="5" t="s">
        <v>2235</v>
      </c>
      <c r="D1900" t="str">
        <f ca="1">IFERROR(__xludf.DUMMYFUNCTION("split(A1900,""("")"),"Marry Me ")</f>
        <v xml:space="preserve">Marry Me </v>
      </c>
      <c r="E1900" t="str">
        <f ca="1">IFERROR(__xludf.DUMMYFUNCTION("""COMPUTED_VALUE"""),"TV Series 2014–2015)")</f>
        <v>TV Series 2014–2015)</v>
      </c>
    </row>
    <row r="1901" spans="1:5" ht="13" x14ac:dyDescent="0.15">
      <c r="A1901" s="5" t="s">
        <v>2236</v>
      </c>
      <c r="D1901" t="str">
        <f ca="1">IFERROR(__xludf.DUMMYFUNCTION("split(A1901,""("")"),"Marta a Vera ")</f>
        <v xml:space="preserve">Marta a Vera </v>
      </c>
      <c r="E1901" t="str">
        <f ca="1">IFERROR(__xludf.DUMMYFUNCTION("""COMPUTED_VALUE"""),"TV Series 2014– )")</f>
        <v>TV Series 2014– )</v>
      </c>
    </row>
    <row r="1902" spans="1:5" ht="13" x14ac:dyDescent="0.15">
      <c r="A1902" s="5" t="s">
        <v>221</v>
      </c>
      <c r="D1902" t="str">
        <f ca="1">IFERROR(__xludf.DUMMYFUNCTION("split(A1902,""("")"),"Martial Law ")</f>
        <v xml:space="preserve">Martial Law </v>
      </c>
      <c r="E1902" t="str">
        <f ca="1">IFERROR(__xludf.DUMMYFUNCTION("""COMPUTED_VALUE"""),"TV Series 1998–2000)")</f>
        <v>TV Series 1998–2000)</v>
      </c>
    </row>
    <row r="1903" spans="1:5" ht="13" x14ac:dyDescent="0.15">
      <c r="A1903" s="5" t="s">
        <v>222</v>
      </c>
      <c r="D1903" t="str">
        <f ca="1">IFERROR(__xludf.DUMMYFUNCTION("split(A1903,""("")"),"Martin ")</f>
        <v xml:space="preserve">Martin </v>
      </c>
      <c r="E1903" t="str">
        <f ca="1">IFERROR(__xludf.DUMMYFUNCTION("""COMPUTED_VALUE"""),"TV Series 1992–1997)")</f>
        <v>TV Series 1992–1997)</v>
      </c>
    </row>
    <row r="1904" spans="1:5" ht="13" x14ac:dyDescent="0.15">
      <c r="A1904" s="5" t="s">
        <v>2237</v>
      </c>
      <c r="D1904" t="str">
        <f ca="1">IFERROR(__xludf.DUMMYFUNCTION("split(A1904,""("")"),"Martin Donát ")</f>
        <v xml:space="preserve">Martin Donát </v>
      </c>
      <c r="E1904" t="str">
        <f ca="1">IFERROR(__xludf.DUMMYFUNCTION("""COMPUTED_VALUE"""),"TV Series 2012–2016)")</f>
        <v>TV Series 2012–2016)</v>
      </c>
    </row>
    <row r="1905" spans="1:5" ht="13" x14ac:dyDescent="0.15">
      <c r="A1905" s="5" t="s">
        <v>2238</v>
      </c>
      <c r="D1905" t="str">
        <f ca="1">IFERROR(__xludf.DUMMYFUNCTION("split(A1905,""("")"),"Marvel Disk Wars: The Avengers ")</f>
        <v xml:space="preserve">Marvel Disk Wars: The Avengers </v>
      </c>
      <c r="E1905" t="str">
        <f ca="1">IFERROR(__xludf.DUMMYFUNCTION("""COMPUTED_VALUE"""),"TV Series 2014– )")</f>
        <v>TV Series 2014– )</v>
      </c>
    </row>
    <row r="1906" spans="1:5" ht="13" x14ac:dyDescent="0.15">
      <c r="A1906" s="5" t="s">
        <v>507</v>
      </c>
      <c r="D1906" t="str">
        <f ca="1">IFERROR(__xludf.DUMMYFUNCTION("split(A1906,""("")"),"Marvel's Hero Project ")</f>
        <v xml:space="preserve">Marvel's Hero Project </v>
      </c>
      <c r="E1906" t="str">
        <f ca="1">IFERROR(__xludf.DUMMYFUNCTION("""COMPUTED_VALUE"""),"TV Series 2019– )")</f>
        <v>TV Series 2019– )</v>
      </c>
    </row>
    <row r="1907" spans="1:5" ht="13" x14ac:dyDescent="0.15">
      <c r="A1907" s="5" t="s">
        <v>2239</v>
      </c>
      <c r="D1907" t="str">
        <f ca="1">IFERROR(__xludf.DUMMYFUNCTION("split(A1907,""("")"),"Mary Berry Everyday ")</f>
        <v xml:space="preserve">Mary Berry Everyday </v>
      </c>
      <c r="E1907" t="str">
        <f ca="1">IFERROR(__xludf.DUMMYFUNCTION("""COMPUTED_VALUE"""),"TV Series 2017– )")</f>
        <v>TV Series 2017– )</v>
      </c>
    </row>
    <row r="1908" spans="1:5" ht="13" x14ac:dyDescent="0.15">
      <c r="A1908" s="5" t="s">
        <v>2240</v>
      </c>
      <c r="D1908" t="str">
        <f ca="1">IFERROR(__xludf.DUMMYFUNCTION("split(A1908,""("")"),"Mary Kills People ")</f>
        <v xml:space="preserve">Mary Kills People </v>
      </c>
      <c r="E1908" t="str">
        <f ca="1">IFERROR(__xludf.DUMMYFUNCTION("""COMPUTED_VALUE"""),"TV Series 2017– )")</f>
        <v>TV Series 2017– )</v>
      </c>
    </row>
    <row r="1909" spans="1:5" ht="13" x14ac:dyDescent="0.15">
      <c r="A1909" s="5" t="s">
        <v>2241</v>
      </c>
      <c r="D1909" t="str">
        <f ca="1">IFERROR(__xludf.DUMMYFUNCTION("split(A1909,""("")"),"Mary Lou ")</f>
        <v xml:space="preserve">Mary Lou </v>
      </c>
      <c r="E1909" t="str">
        <f ca="1">IFERROR(__xludf.DUMMYFUNCTION("""COMPUTED_VALUE"""),"TV Series 2009– )")</f>
        <v>TV Series 2009– )</v>
      </c>
    </row>
    <row r="1910" spans="1:5" ht="13" x14ac:dyDescent="0.15">
      <c r="A1910" s="5" t="s">
        <v>223</v>
      </c>
      <c r="D1910" t="str">
        <f ca="1">IFERROR(__xludf.DUMMYFUNCTION("split(A1910,""("")"),"Master of None ")</f>
        <v xml:space="preserve">Master of None </v>
      </c>
      <c r="E1910" t="str">
        <f ca="1">IFERROR(__xludf.DUMMYFUNCTION("""COMPUTED_VALUE"""),"TV Series 2015– )")</f>
        <v>TV Series 2015– )</v>
      </c>
    </row>
    <row r="1911" spans="1:5" ht="13" x14ac:dyDescent="0.15">
      <c r="A1911" s="5" t="s">
        <v>357</v>
      </c>
      <c r="D1911" t="str">
        <f ca="1">IFERROR(__xludf.DUMMYFUNCTION("split(A1911,""("")"),"Masterchef ")</f>
        <v xml:space="preserve">Masterchef </v>
      </c>
      <c r="E1911" t="str">
        <f ca="1">IFERROR(__xludf.DUMMYFUNCTION("""COMPUTED_VALUE"""),"TV Series 2010– )")</f>
        <v>TV Series 2010– )</v>
      </c>
    </row>
    <row r="1912" spans="1:5" ht="13" x14ac:dyDescent="0.15">
      <c r="A1912" s="5" t="s">
        <v>315</v>
      </c>
      <c r="D1912" t="str">
        <f ca="1">IFERROR(__xludf.DUMMYFUNCTION("split(A1912,""("")"),"MasterChef Junior ")</f>
        <v xml:space="preserve">MasterChef Junior </v>
      </c>
      <c r="E1912" t="str">
        <f ca="1">IFERROR(__xludf.DUMMYFUNCTION("""COMPUTED_VALUE"""),"TV Series 2013– )")</f>
        <v>TV Series 2013– )</v>
      </c>
    </row>
    <row r="1913" spans="1:5" ht="13" x14ac:dyDescent="0.15">
      <c r="A1913" s="5" t="s">
        <v>2242</v>
      </c>
      <c r="D1913" t="str">
        <f ca="1">IFERROR(__xludf.DUMMYFUNCTION("split(A1913,""("")"),"Masters of Illusion ")</f>
        <v xml:space="preserve">Masters of Illusion </v>
      </c>
      <c r="E1913" t="str">
        <f ca="1">IFERROR(__xludf.DUMMYFUNCTION("""COMPUTED_VALUE"""),"TV Series 2014– )")</f>
        <v>TV Series 2014– )</v>
      </c>
    </row>
    <row r="1914" spans="1:5" ht="13" x14ac:dyDescent="0.15">
      <c r="A1914" s="5" t="s">
        <v>2243</v>
      </c>
      <c r="D1914" t="str">
        <f ca="1">IFERROR(__xludf.DUMMYFUNCTION("split(A1914,""("")"),"Masters of Sex ")</f>
        <v xml:space="preserve">Masters of Sex </v>
      </c>
      <c r="E1914" t="str">
        <f ca="1">IFERROR(__xludf.DUMMYFUNCTION("""COMPUTED_VALUE"""),"TV Series 2013–2016)")</f>
        <v>TV Series 2013–2016)</v>
      </c>
    </row>
    <row r="1915" spans="1:5" ht="13" x14ac:dyDescent="0.15">
      <c r="A1915" s="5" t="s">
        <v>2244</v>
      </c>
      <c r="D1915" t="str">
        <f ca="1">IFERROR(__xludf.DUMMYFUNCTION("split(A1915,""("")"),"Masters of the Universe vs. the Snake Men ")</f>
        <v xml:space="preserve">Masters of the Universe vs. the Snake Men </v>
      </c>
      <c r="E1915" t="str">
        <f ca="1">IFERROR(__xludf.DUMMYFUNCTION("""COMPUTED_VALUE"""),"TV Series 2002–2004)")</f>
        <v>TV Series 2002–2004)</v>
      </c>
    </row>
    <row r="1916" spans="1:5" ht="13" x14ac:dyDescent="0.15">
      <c r="A1916" s="5" t="s">
        <v>2245</v>
      </c>
      <c r="D1916" t="str">
        <f ca="1">IFERROR(__xludf.DUMMYFUNCTION("split(A1916,""("")"),"Match Game ")</f>
        <v xml:space="preserve">Match Game </v>
      </c>
      <c r="E1916" t="str">
        <f ca="1">IFERROR(__xludf.DUMMYFUNCTION("""COMPUTED_VALUE"""),"TV Series 2016– )")</f>
        <v>TV Series 2016– )</v>
      </c>
    </row>
    <row r="1917" spans="1:5" ht="13" x14ac:dyDescent="0.15">
      <c r="A1917" s="5" t="s">
        <v>2246</v>
      </c>
      <c r="D1917" t="str">
        <f ca="1">IFERROR(__xludf.DUMMYFUNCTION("split(A1917,""("")"),"Matlock ")</f>
        <v xml:space="preserve">Matlock </v>
      </c>
      <c r="E1917" t="str">
        <f ca="1">IFERROR(__xludf.DUMMYFUNCTION("""COMPUTED_VALUE"""),"TV Series 1986–1995)")</f>
        <v>TV Series 1986–1995)</v>
      </c>
    </row>
    <row r="1918" spans="1:5" ht="13" x14ac:dyDescent="0.15">
      <c r="A1918" s="5" t="s">
        <v>2247</v>
      </c>
      <c r="D1918" t="str">
        <f ca="1">IFERROR(__xludf.DUMMYFUNCTION("split(A1918,""("")"),"Matous Kacanos ")</f>
        <v xml:space="preserve">Matous Kacanos </v>
      </c>
      <c r="E1918" t="str">
        <f ca="1">IFERROR(__xludf.DUMMYFUNCTION("""COMPUTED_VALUE"""),"TV Series 2012– )")</f>
        <v>TV Series 2012– )</v>
      </c>
    </row>
    <row r="1919" spans="1:5" ht="13" x14ac:dyDescent="0.15">
      <c r="A1919" s="5" t="s">
        <v>2248</v>
      </c>
      <c r="D1919" t="str">
        <f ca="1">IFERROR(__xludf.DUMMYFUNCTION("split(A1919,""("")"),"Max Headroom ")</f>
        <v xml:space="preserve">Max Headroom </v>
      </c>
      <c r="E1919" t="str">
        <f ca="1">IFERROR(__xludf.DUMMYFUNCTION("""COMPUTED_VALUE"""),"TV Series 1987–1988)")</f>
        <v>TV Series 1987–1988)</v>
      </c>
    </row>
    <row r="1920" spans="1:5" ht="13" x14ac:dyDescent="0.15">
      <c r="A1920" s="5" t="s">
        <v>2249</v>
      </c>
      <c r="D1920" t="str">
        <f ca="1">IFERROR(__xludf.DUMMYFUNCTION("split(A1920,""("")"),"Maxim Hrabanec ")</f>
        <v xml:space="preserve">Maxim Hrabanec </v>
      </c>
      <c r="E1920" t="str">
        <f ca="1">IFERROR(__xludf.DUMMYFUNCTION("""COMPUTED_VALUE"""),"TV Series 2013– )")</f>
        <v>TV Series 2013– )</v>
      </c>
    </row>
    <row r="1921" spans="1:5" ht="13" x14ac:dyDescent="0.15">
      <c r="A1921" s="5" t="s">
        <v>177</v>
      </c>
      <c r="D1921" t="str">
        <f ca="1">IFERROR(__xludf.DUMMYFUNCTION("split(A1921,""("")"),"Mayans M.C. ")</f>
        <v xml:space="preserve">Mayans M.C. </v>
      </c>
      <c r="E1921" t="str">
        <f ca="1">IFERROR(__xludf.DUMMYFUNCTION("""COMPUTED_VALUE"""),"TV Series 2018– )")</f>
        <v>TV Series 2018– )</v>
      </c>
    </row>
    <row r="1922" spans="1:5" ht="13" x14ac:dyDescent="0.15">
      <c r="A1922" s="5" t="s">
        <v>2250</v>
      </c>
      <c r="D1922" t="str">
        <f ca="1">IFERROR(__xludf.DUMMYFUNCTION("split(A1922,""("")"),"McLeod's Daughters ")</f>
        <v xml:space="preserve">McLeod's Daughters </v>
      </c>
      <c r="E1922" t="str">
        <f ca="1">IFERROR(__xludf.DUMMYFUNCTION("""COMPUTED_VALUE"""),"TV Series 2001–2009)")</f>
        <v>TV Series 2001–2009)</v>
      </c>
    </row>
    <row r="1923" spans="1:5" ht="13" x14ac:dyDescent="0.15">
      <c r="A1923" s="5" t="s">
        <v>2251</v>
      </c>
      <c r="D1923" t="str">
        <f ca="1">IFERROR(__xludf.DUMMYFUNCTION("split(A1923,""("")"),"McMafia ")</f>
        <v xml:space="preserve">McMafia </v>
      </c>
      <c r="E1923" t="str">
        <f ca="1">IFERROR(__xludf.DUMMYFUNCTION("""COMPUTED_VALUE"""),"TV Series 2018– )")</f>
        <v>TV Series 2018– )</v>
      </c>
    </row>
    <row r="1924" spans="1:5" ht="13" x14ac:dyDescent="0.15">
      <c r="A1924" s="5" t="s">
        <v>2252</v>
      </c>
      <c r="D1924" t="str">
        <f ca="1">IFERROR(__xludf.DUMMYFUNCTION("split(A1924,""("")"),"Me &amp; My Monsters ")</f>
        <v xml:space="preserve">Me &amp; My Monsters </v>
      </c>
      <c r="E1924" t="str">
        <f ca="1">IFERROR(__xludf.DUMMYFUNCTION("""COMPUTED_VALUE"""),"TV Series 2010– )")</f>
        <v>TV Series 2010– )</v>
      </c>
    </row>
    <row r="1925" spans="1:5" ht="13" x14ac:dyDescent="0.15">
      <c r="A1925" s="5" t="s">
        <v>2253</v>
      </c>
      <c r="D1925" t="str">
        <f ca="1">IFERROR(__xludf.DUMMYFUNCTION("split(A1925,""("")"),"Me Too ")</f>
        <v xml:space="preserve">Me Too </v>
      </c>
      <c r="E1925" t="str">
        <f ca="1">IFERROR(__xludf.DUMMYFUNCTION("""COMPUTED_VALUE"""),"TV Series 2006– )")</f>
        <v>TV Series 2006– )</v>
      </c>
    </row>
    <row r="1926" spans="1:5" ht="13" x14ac:dyDescent="0.15">
      <c r="A1926" s="5" t="s">
        <v>2254</v>
      </c>
      <c r="D1926" t="str">
        <f ca="1">IFERROR(__xludf.DUMMYFUNCTION("split(A1926,""("")"),"Meadowlands ")</f>
        <v xml:space="preserve">Meadowlands </v>
      </c>
      <c r="E1926" t="str">
        <f ca="1">IFERROR(__xludf.DUMMYFUNCTION("""COMPUTED_VALUE"""),"TV Series 2007)")</f>
        <v>TV Series 2007)</v>
      </c>
    </row>
    <row r="1927" spans="1:5" ht="13" x14ac:dyDescent="0.15">
      <c r="A1927" s="5" t="s">
        <v>2255</v>
      </c>
      <c r="D1927" t="str">
        <f ca="1">IFERROR(__xludf.DUMMYFUNCTION("split(A1927,""("")"),"Meanwhile... ")</f>
        <v xml:space="preserve">Meanwhile... </v>
      </c>
      <c r="E1927" t="str">
        <f ca="1">IFERROR(__xludf.DUMMYFUNCTION("""COMPUTED_VALUE"""),"TV Series 2012– )")</f>
        <v>TV Series 2012– )</v>
      </c>
    </row>
    <row r="1928" spans="1:5" ht="13" x14ac:dyDescent="0.15">
      <c r="A1928" s="5" t="s">
        <v>2256</v>
      </c>
      <c r="D1928" t="str">
        <f ca="1">IFERROR(__xludf.DUMMYFUNCTION("split(A1928,""("")"),"Mechakko Dotakon ")</f>
        <v xml:space="preserve">Mechakko Dotakon </v>
      </c>
      <c r="E1928" t="str">
        <f ca="1">IFERROR(__xludf.DUMMYFUNCTION("""COMPUTED_VALUE"""),"TV Series 1981)")</f>
        <v>TV Series 1981)</v>
      </c>
    </row>
    <row r="1929" spans="1:5" ht="13" x14ac:dyDescent="0.15">
      <c r="A1929" s="5" t="s">
        <v>2257</v>
      </c>
      <c r="D1929" t="str">
        <f ca="1">IFERROR(__xludf.DUMMYFUNCTION("split(A1929,""("")"),"Medal of Honor ")</f>
        <v xml:space="preserve">Medal of Honor </v>
      </c>
      <c r="E1929" t="str">
        <f ca="1">IFERROR(__xludf.DUMMYFUNCTION("""COMPUTED_VALUE"""),"TV Series 2018– )")</f>
        <v>TV Series 2018– )</v>
      </c>
    </row>
    <row r="1930" spans="1:5" ht="13" x14ac:dyDescent="0.15">
      <c r="A1930" s="5" t="s">
        <v>2258</v>
      </c>
      <c r="D1930" t="str">
        <f ca="1">IFERROR(__xludf.DUMMYFUNCTION("split(A1930,""("")"),"Medici ")</f>
        <v xml:space="preserve">Medici </v>
      </c>
      <c r="E1930" t="str">
        <f ca="1">IFERROR(__xludf.DUMMYFUNCTION("""COMPUTED_VALUE"""),"TV Series 2016– )")</f>
        <v>TV Series 2016– )</v>
      </c>
    </row>
    <row r="1931" spans="1:5" ht="13" x14ac:dyDescent="0.15">
      <c r="A1931" s="5" t="s">
        <v>282</v>
      </c>
      <c r="D1931" t="str">
        <f ca="1">IFERROR(__xludf.DUMMYFUNCTION("split(A1931,""("")"),"Medium ")</f>
        <v xml:space="preserve">Medium </v>
      </c>
      <c r="E1931" t="str">
        <f ca="1">IFERROR(__xludf.DUMMYFUNCTION("""COMPUTED_VALUE"""),"TV Series 2005–2011)")</f>
        <v>TV Series 2005–2011)</v>
      </c>
    </row>
    <row r="1932" spans="1:5" ht="13" x14ac:dyDescent="0.15">
      <c r="A1932" s="5" t="s">
        <v>2259</v>
      </c>
      <c r="D1932" t="str">
        <f ca="1">IFERROR(__xludf.DUMMYFUNCTION("split(A1932,""("")"),"Meego ")</f>
        <v xml:space="preserve">Meego </v>
      </c>
      <c r="E1932" t="str">
        <f ca="1">IFERROR(__xludf.DUMMYFUNCTION("""COMPUTED_VALUE"""),"TV Series 1997– )")</f>
        <v>TV Series 1997– )</v>
      </c>
    </row>
    <row r="1933" spans="1:5" ht="13" x14ac:dyDescent="0.15">
      <c r="A1933" s="5" t="s">
        <v>2260</v>
      </c>
      <c r="D1933" t="str">
        <f ca="1">IFERROR(__xludf.DUMMYFUNCTION("split(A1933,""("")"),"Mega Babies ")</f>
        <v xml:space="preserve">Mega Babies </v>
      </c>
      <c r="E1933" t="str">
        <f ca="1">IFERROR(__xludf.DUMMYFUNCTION("""COMPUTED_VALUE"""),"TV Series 1999–2000)")</f>
        <v>TV Series 1999–2000)</v>
      </c>
    </row>
    <row r="1934" spans="1:5" ht="13" x14ac:dyDescent="0.15">
      <c r="A1934" s="5" t="s">
        <v>2261</v>
      </c>
      <c r="D1934" t="str">
        <f ca="1">IFERROR(__xludf.DUMMYFUNCTION("split(A1934,""("")"),"Mega Man ")</f>
        <v xml:space="preserve">Mega Man </v>
      </c>
      <c r="E1934" t="str">
        <f ca="1">IFERROR(__xludf.DUMMYFUNCTION("""COMPUTED_VALUE"""),"TV Series 1994–1995)")</f>
        <v>TV Series 1994–1995)</v>
      </c>
    </row>
    <row r="1935" spans="1:5" ht="13" x14ac:dyDescent="0.15">
      <c r="A1935" s="5" t="s">
        <v>2262</v>
      </c>
      <c r="D1935" t="str">
        <f ca="1">IFERROR(__xludf.DUMMYFUNCTION("split(A1935,""("")"),"Megas XLR ")</f>
        <v xml:space="preserve">Megas XLR </v>
      </c>
      <c r="E1935" t="str">
        <f ca="1">IFERROR(__xludf.DUMMYFUNCTION("""COMPUTED_VALUE"""),"TV Series 2004–2005)")</f>
        <v>TV Series 2004–2005)</v>
      </c>
    </row>
    <row r="1936" spans="1:5" ht="13" x14ac:dyDescent="0.15">
      <c r="A1936" s="5" t="s">
        <v>2263</v>
      </c>
      <c r="D1936" t="str">
        <f ca="1">IFERROR(__xludf.DUMMYFUNCTION("split(A1936,""("")"),"Megazone 23 III ")</f>
        <v xml:space="preserve">Megazone 23 III </v>
      </c>
      <c r="E1936" t="str">
        <f ca="1">IFERROR(__xludf.DUMMYFUNCTION("""COMPUTED_VALUE"""),"TV Series 1989– )")</f>
        <v>TV Series 1989– )</v>
      </c>
    </row>
    <row r="1937" spans="1:5" ht="13" x14ac:dyDescent="0.15">
      <c r="A1937" s="5" t="s">
        <v>2264</v>
      </c>
      <c r="D1937" t="str">
        <f ca="1">IFERROR(__xludf.DUMMYFUNCTION("split(A1937,""("")"),"Mei-chan's Butler ")</f>
        <v xml:space="preserve">Mei-chan's Butler </v>
      </c>
      <c r="E1937" t="str">
        <f ca="1">IFERROR(__xludf.DUMMYFUNCTION("""COMPUTED_VALUE"""),"TV Series 2009– )")</f>
        <v>TV Series 2009– )</v>
      </c>
    </row>
    <row r="1938" spans="1:5" ht="13" x14ac:dyDescent="0.15">
      <c r="A1938" s="5" t="s">
        <v>2265</v>
      </c>
      <c r="D1938" t="str">
        <f ca="1">IFERROR(__xludf.DUMMYFUNCTION("split(A1938,""("")"),"Melissa &amp; Joey ")</f>
        <v xml:space="preserve">Melissa &amp; Joey </v>
      </c>
      <c r="E1938" t="str">
        <f ca="1">IFERROR(__xludf.DUMMYFUNCTION("""COMPUTED_VALUE"""),"TV Series 2010–2015)")</f>
        <v>TV Series 2010–2015)</v>
      </c>
    </row>
    <row r="1939" spans="1:5" ht="13" x14ac:dyDescent="0.15">
      <c r="A1939" s="5" t="s">
        <v>358</v>
      </c>
      <c r="D1939" t="str">
        <f ca="1">IFERROR(__xludf.DUMMYFUNCTION("split(A1939,""("")"),"Melrose Place ")</f>
        <v xml:space="preserve">Melrose Place </v>
      </c>
      <c r="E1939" t="str">
        <f ca="1">IFERROR(__xludf.DUMMYFUNCTION("""COMPUTED_VALUE"""),"TV Series 1992–1999)")</f>
        <v>TV Series 1992–1999)</v>
      </c>
    </row>
    <row r="1940" spans="1:5" ht="13" x14ac:dyDescent="0.15">
      <c r="A1940" s="5" t="s">
        <v>2266</v>
      </c>
      <c r="D1940" t="str">
        <f ca="1">IFERROR(__xludf.DUMMYFUNCTION("split(A1940,""("")"),"Memories of the Alhambra ")</f>
        <v xml:space="preserve">Memories of the Alhambra </v>
      </c>
      <c r="E1940" t="str">
        <f ca="1">IFERROR(__xludf.DUMMYFUNCTION("""COMPUTED_VALUE"""),"TV Series 2018– )")</f>
        <v>TV Series 2018– )</v>
      </c>
    </row>
    <row r="1941" spans="1:5" ht="13" x14ac:dyDescent="0.15">
      <c r="A1941" s="5" t="s">
        <v>2267</v>
      </c>
      <c r="D1941" t="str">
        <f ca="1">IFERROR(__xludf.DUMMYFUNCTION("split(A1941,""("")"),"Memphis Beat ")</f>
        <v xml:space="preserve">Memphis Beat </v>
      </c>
      <c r="E1941" t="str">
        <f ca="1">IFERROR(__xludf.DUMMYFUNCTION("""COMPUTED_VALUE"""),"TV Series 2010– )")</f>
        <v>TV Series 2010– )</v>
      </c>
    </row>
    <row r="1942" spans="1:5" ht="13" x14ac:dyDescent="0.15">
      <c r="A1942" s="5" t="s">
        <v>2268</v>
      </c>
      <c r="D1942" t="str">
        <f ca="1">IFERROR(__xludf.DUMMYFUNCTION("split(A1942,""("")"),"Men Behaving Badly ")</f>
        <v xml:space="preserve">Men Behaving Badly </v>
      </c>
      <c r="E1942" t="str">
        <f ca="1">IFERROR(__xludf.DUMMYFUNCTION("""COMPUTED_VALUE"""),"TV Series 1996–1997)")</f>
        <v>TV Series 1996–1997)</v>
      </c>
    </row>
    <row r="1943" spans="1:5" ht="13" x14ac:dyDescent="0.15">
      <c r="A1943" s="5" t="s">
        <v>2269</v>
      </c>
      <c r="D1943" t="str">
        <f ca="1">IFERROR(__xludf.DUMMYFUNCTION("split(A1943,""("")"),"Mercy ")</f>
        <v xml:space="preserve">Mercy </v>
      </c>
      <c r="E1943" t="str">
        <f ca="1">IFERROR(__xludf.DUMMYFUNCTION("""COMPUTED_VALUE"""),"TV Series 2009–2010)")</f>
        <v>TV Series 2009–2010)</v>
      </c>
    </row>
    <row r="1944" spans="1:5" ht="13" x14ac:dyDescent="0.15">
      <c r="A1944" s="5" t="s">
        <v>2270</v>
      </c>
      <c r="D1944" t="str">
        <f ca="1">IFERROR(__xludf.DUMMYFUNCTION("split(A1944,""("")"),"Mercy Street ")</f>
        <v xml:space="preserve">Mercy Street </v>
      </c>
      <c r="E1944" t="str">
        <f ca="1">IFERROR(__xludf.DUMMYFUNCTION("""COMPUTED_VALUE"""),"TV Series 2016–2017)")</f>
        <v>TV Series 2016–2017)</v>
      </c>
    </row>
    <row r="1945" spans="1:5" ht="13" x14ac:dyDescent="0.15">
      <c r="A1945" s="5" t="s">
        <v>2271</v>
      </c>
      <c r="D1945" t="str">
        <f ca="1">IFERROR(__xludf.DUMMYFUNCTION("split(A1945,""("")"),"Meri Zaat Zarrae Benishan ")</f>
        <v xml:space="preserve">Meri Zaat Zarrae Benishan </v>
      </c>
      <c r="E1945" t="str">
        <f ca="1">IFERROR(__xludf.DUMMYFUNCTION("""COMPUTED_VALUE"""),"TV Series 2009– )")</f>
        <v>TV Series 2009– )</v>
      </c>
    </row>
    <row r="1946" spans="1:5" ht="13" x14ac:dyDescent="0.15">
      <c r="A1946" s="5" t="s">
        <v>2272</v>
      </c>
      <c r="D1946" t="str">
        <f ca="1">IFERROR(__xludf.DUMMYFUNCTION("split(A1946,""("")"),"Merlin ")</f>
        <v xml:space="preserve">Merlin </v>
      </c>
      <c r="E1946" t="str">
        <f ca="1">IFERROR(__xludf.DUMMYFUNCTION("""COMPUTED_VALUE"""),"TV Series 2008–2012)")</f>
        <v>TV Series 2008–2012)</v>
      </c>
    </row>
    <row r="1947" spans="1:5" ht="13" x14ac:dyDescent="0.15">
      <c r="A1947" s="5" t="s">
        <v>2273</v>
      </c>
      <c r="D1947" t="str">
        <f ca="1">IFERROR(__xludf.DUMMYFUNCTION("split(A1947,""("")"),"Metal Evolution ")</f>
        <v xml:space="preserve">Metal Evolution </v>
      </c>
      <c r="E1947" t="str">
        <f ca="1">IFERROR(__xludf.DUMMYFUNCTION("""COMPUTED_VALUE"""),"TV Series 2011–2014)")</f>
        <v>TV Series 2011–2014)</v>
      </c>
    </row>
    <row r="1948" spans="1:5" ht="13" x14ac:dyDescent="0.15">
      <c r="A1948" s="5" t="s">
        <v>667</v>
      </c>
      <c r="D1948" t="str">
        <f ca="1">IFERROR(__xludf.DUMMYFUNCTION("split(A1948,""("")"),"Metalocalypse ")</f>
        <v xml:space="preserve">Metalocalypse </v>
      </c>
      <c r="E1948" t="str">
        <f ca="1">IFERROR(__xludf.DUMMYFUNCTION("""COMPUTED_VALUE"""),"TV Series 2006–2013)")</f>
        <v>TV Series 2006–2013)</v>
      </c>
    </row>
    <row r="1949" spans="1:5" ht="13" x14ac:dyDescent="0.15">
      <c r="A1949" s="5" t="s">
        <v>2274</v>
      </c>
      <c r="D1949" t="str">
        <f ca="1">IFERROR(__xludf.DUMMYFUNCTION("split(A1949,""("")"),"Meteor Garden ")</f>
        <v xml:space="preserve">Meteor Garden </v>
      </c>
      <c r="E1949" t="str">
        <f ca="1">IFERROR(__xludf.DUMMYFUNCTION("""COMPUTED_VALUE"""),"TV Series 2018– )")</f>
        <v>TV Series 2018– )</v>
      </c>
    </row>
    <row r="1950" spans="1:5" ht="13" x14ac:dyDescent="0.15">
      <c r="A1950" s="5" t="s">
        <v>2275</v>
      </c>
      <c r="D1950" t="str">
        <f ca="1">IFERROR(__xludf.DUMMYFUNCTION("split(A1950,""("")"),"Metrosexuality ")</f>
        <v xml:space="preserve">Metrosexuality </v>
      </c>
      <c r="E1950" t="str">
        <f ca="1">IFERROR(__xludf.DUMMYFUNCTION("""COMPUTED_VALUE"""),"TV Series 1999–2001)")</f>
        <v>TV Series 1999–2001)</v>
      </c>
    </row>
    <row r="1951" spans="1:5" ht="13" x14ac:dyDescent="0.15">
      <c r="A1951" s="5" t="s">
        <v>2276</v>
      </c>
      <c r="D1951" t="str">
        <f ca="1">IFERROR(__xludf.DUMMYFUNCTION("split(A1951,""("")"),"Mga mata ni Anghelita ")</f>
        <v xml:space="preserve">Mga mata ni Anghelita </v>
      </c>
      <c r="E1951" t="str">
        <f ca="1">IFERROR(__xludf.DUMMYFUNCTION("""COMPUTED_VALUE"""),"TV Series 2007– )")</f>
        <v>TV Series 2007– )</v>
      </c>
    </row>
    <row r="1952" spans="1:5" ht="13" x14ac:dyDescent="0.15">
      <c r="A1952" s="5" t="s">
        <v>2277</v>
      </c>
      <c r="D1952" t="str">
        <f ca="1">IFERROR(__xludf.DUMMYFUNCTION("split(A1952,""("")"),"Miami Guns ")</f>
        <v xml:space="preserve">Miami Guns </v>
      </c>
      <c r="E1952" t="str">
        <f ca="1">IFERROR(__xludf.DUMMYFUNCTION("""COMPUTED_VALUE"""),"TV Series 2000– )")</f>
        <v>TV Series 2000– )</v>
      </c>
    </row>
    <row r="1953" spans="1:5" ht="13" x14ac:dyDescent="0.15">
      <c r="A1953" s="5" t="s">
        <v>2278</v>
      </c>
      <c r="D1953" t="str">
        <f ca="1">IFERROR(__xludf.DUMMYFUNCTION("split(A1953,""("")"),"Miami Ink ")</f>
        <v xml:space="preserve">Miami Ink </v>
      </c>
      <c r="E1953" t="str">
        <f ca="1">IFERROR(__xludf.DUMMYFUNCTION("""COMPUTED_VALUE"""),"TV Series 2005–2008)")</f>
        <v>TV Series 2005–2008)</v>
      </c>
    </row>
    <row r="1954" spans="1:5" ht="13" x14ac:dyDescent="0.15">
      <c r="A1954" s="5" t="s">
        <v>250</v>
      </c>
      <c r="D1954" t="str">
        <f ca="1">IFERROR(__xludf.DUMMYFUNCTION("split(A1954,""("")"),"Miami Vice ")</f>
        <v xml:space="preserve">Miami Vice </v>
      </c>
      <c r="E1954" t="str">
        <f ca="1">IFERROR(__xludf.DUMMYFUNCTION("""COMPUTED_VALUE"""),"TV Series 1984–1989)")</f>
        <v>TV Series 1984–1989)</v>
      </c>
    </row>
    <row r="1955" spans="1:5" ht="13" x14ac:dyDescent="0.15">
      <c r="A1955" s="5" t="s">
        <v>2279</v>
      </c>
      <c r="D1955" t="str">
        <f ca="1">IFERROR(__xludf.DUMMYFUNCTION("split(A1955,""("")"),"Micawber ")</f>
        <v xml:space="preserve">Micawber </v>
      </c>
      <c r="E1955" t="str">
        <f ca="1">IFERROR(__xludf.DUMMYFUNCTION("""COMPUTED_VALUE"""),"TV Series 2001– )")</f>
        <v>TV Series 2001– )</v>
      </c>
    </row>
    <row r="1956" spans="1:5" ht="13" x14ac:dyDescent="0.15">
      <c r="A1956" s="5" t="s">
        <v>2280</v>
      </c>
      <c r="D1956" t="str">
        <f ca="1">IFERROR(__xludf.DUMMYFUNCTION("split(A1956,""("")"),"Michael &amp; Michael Have Issues ")</f>
        <v xml:space="preserve">Michael &amp; Michael Have Issues </v>
      </c>
      <c r="E1956" t="str">
        <f ca="1">IFERROR(__xludf.DUMMYFUNCTION("""COMPUTED_VALUE"""),"TV Series 2009– )")</f>
        <v>TV Series 2009– )</v>
      </c>
    </row>
    <row r="1957" spans="1:5" ht="13" x14ac:dyDescent="0.15">
      <c r="A1957" s="5" t="s">
        <v>470</v>
      </c>
      <c r="D1957" t="str">
        <f ca="1">IFERROR(__xludf.DUMMYFUNCTION("split(A1957,""("")"),"Mickey and the Roadster Racers ")</f>
        <v xml:space="preserve">Mickey and the Roadster Racers </v>
      </c>
      <c r="E1957" t="str">
        <f ca="1">IFERROR(__xludf.DUMMYFUNCTION("""COMPUTED_VALUE"""),"TV Series 2017– )")</f>
        <v>TV Series 2017– )</v>
      </c>
    </row>
    <row r="1958" spans="1:5" ht="13" x14ac:dyDescent="0.15">
      <c r="A1958" s="5" t="s">
        <v>471</v>
      </c>
      <c r="D1958" t="str">
        <f ca="1">IFERROR(__xludf.DUMMYFUNCTION("split(A1958,""("")"),"Mickey Mouse ")</f>
        <v xml:space="preserve">Mickey Mouse </v>
      </c>
      <c r="E1958" t="str">
        <f ca="1">IFERROR(__xludf.DUMMYFUNCTION("""COMPUTED_VALUE"""),"TV Series 2013– )")</f>
        <v>TV Series 2013– )</v>
      </c>
    </row>
    <row r="1959" spans="1:5" ht="13" x14ac:dyDescent="0.15">
      <c r="A1959" s="5" t="s">
        <v>472</v>
      </c>
      <c r="D1959" t="str">
        <f ca="1">IFERROR(__xludf.DUMMYFUNCTION("split(A1959,""("")"),"Mickey Mouse Clubhouse ")</f>
        <v xml:space="preserve">Mickey Mouse Clubhouse </v>
      </c>
      <c r="E1959" t="str">
        <f ca="1">IFERROR(__xludf.DUMMYFUNCTION("""COMPUTED_VALUE"""),"TV Series 2006–2016)")</f>
        <v>TV Series 2006–2016)</v>
      </c>
    </row>
    <row r="1960" spans="1:5" ht="13" x14ac:dyDescent="0.15">
      <c r="A1960" s="5" t="s">
        <v>473</v>
      </c>
      <c r="D1960" t="str">
        <f ca="1">IFERROR(__xludf.DUMMYFUNCTION("split(A1960,""("")"),"Mickey Mouse Works ")</f>
        <v xml:space="preserve">Mickey Mouse Works </v>
      </c>
      <c r="E1960" t="str">
        <f ca="1">IFERROR(__xludf.DUMMYFUNCTION("""COMPUTED_VALUE"""),"TV Series 1999–2000)")</f>
        <v>TV Series 1999–2000)</v>
      </c>
    </row>
    <row r="1961" spans="1:5" ht="13" x14ac:dyDescent="0.15">
      <c r="A1961" s="5" t="s">
        <v>2281</v>
      </c>
      <c r="D1961" t="str">
        <f ca="1">IFERROR(__xludf.DUMMYFUNCTION("split(A1961,""("")"),"Midnight Sun ")</f>
        <v xml:space="preserve">Midnight Sun </v>
      </c>
      <c r="E1961" t="str">
        <f ca="1">IFERROR(__xludf.DUMMYFUNCTION("""COMPUTED_VALUE"""),"TV Series 2016– )")</f>
        <v>TV Series 2016– )</v>
      </c>
    </row>
    <row r="1962" spans="1:5" ht="13" x14ac:dyDescent="0.15">
      <c r="A1962" s="5" t="s">
        <v>135</v>
      </c>
      <c r="D1962" t="str">
        <f ca="1">IFERROR(__xludf.DUMMYFUNCTION("split(A1962,""("")"),"Midnight, Texas ")</f>
        <v xml:space="preserve">Midnight, Texas </v>
      </c>
      <c r="E1962" t="str">
        <f ca="1">IFERROR(__xludf.DUMMYFUNCTION("""COMPUTED_VALUE"""),"TV Series 2017–2018)")</f>
        <v>TV Series 2017–2018)</v>
      </c>
    </row>
    <row r="1963" spans="1:5" ht="13" x14ac:dyDescent="0.15">
      <c r="A1963" s="5" t="s">
        <v>2282</v>
      </c>
      <c r="D1963" t="str">
        <f ca="1">IFERROR(__xludf.DUMMYFUNCTION("split(A1963,""("")"),"Midsomer Murders ")</f>
        <v xml:space="preserve">Midsomer Murders </v>
      </c>
      <c r="E1963" t="str">
        <f ca="1">IFERROR(__xludf.DUMMYFUNCTION("""COMPUTED_VALUE"""),"TV Series 1997– )")</f>
        <v>TV Series 1997– )</v>
      </c>
    </row>
    <row r="1964" spans="1:5" ht="13" x14ac:dyDescent="0.15">
      <c r="A1964" s="5" t="s">
        <v>2283</v>
      </c>
      <c r="D1964" t="str">
        <f ca="1">IFERROR(__xludf.DUMMYFUNCTION("split(A1964,""("")"),"Mighty Morphin Power Rangers ")</f>
        <v xml:space="preserve">Mighty Morphin Power Rangers </v>
      </c>
      <c r="E1964" t="str">
        <f ca="1">IFERROR(__xludf.DUMMYFUNCTION("""COMPUTED_VALUE"""),"TV Series 1993–1999)")</f>
        <v>TV Series 1993–1999)</v>
      </c>
    </row>
    <row r="1965" spans="1:5" ht="13" x14ac:dyDescent="0.15">
      <c r="A1965" s="5" t="s">
        <v>2284</v>
      </c>
      <c r="D1965" t="str">
        <f ca="1">IFERROR(__xludf.DUMMYFUNCTION("split(A1965,""("")"),"Miimu iro iro yume no tabi ")</f>
        <v xml:space="preserve">Miimu iro iro yume no tabi </v>
      </c>
      <c r="E1965" t="str">
        <f ca="1">IFERROR(__xludf.DUMMYFUNCTION("""COMPUTED_VALUE"""),"TV Series 1983–1985)")</f>
        <v>TV Series 1983–1985)</v>
      </c>
    </row>
    <row r="1966" spans="1:5" ht="13" x14ac:dyDescent="0.15">
      <c r="A1966" s="5" t="s">
        <v>359</v>
      </c>
      <c r="D1966" t="str">
        <f ca="1">IFERROR(__xludf.DUMMYFUNCTION("split(A1966,""("")"),"Mike &amp; Molly ")</f>
        <v xml:space="preserve">Mike &amp; Molly </v>
      </c>
      <c r="E1966" t="str">
        <f ca="1">IFERROR(__xludf.DUMMYFUNCTION("""COMPUTED_VALUE"""),"TV Series 2010–2016)")</f>
        <v>TV Series 2010–2016)</v>
      </c>
    </row>
    <row r="1967" spans="1:5" ht="13" x14ac:dyDescent="0.15">
      <c r="A1967" s="5" t="s">
        <v>2285</v>
      </c>
      <c r="D1967" t="str">
        <f ca="1">IFERROR(__xludf.DUMMYFUNCTION("split(A1967,""("")"),"Mike Tyson Mysteries ")</f>
        <v xml:space="preserve">Mike Tyson Mysteries </v>
      </c>
      <c r="E1967" t="str">
        <f ca="1">IFERROR(__xludf.DUMMYFUNCTION("""COMPUTED_VALUE"""),"TV Series 2014– )")</f>
        <v>TV Series 2014– )</v>
      </c>
    </row>
    <row r="1968" spans="1:5" ht="13" x14ac:dyDescent="0.15">
      <c r="A1968" s="5" t="s">
        <v>2286</v>
      </c>
      <c r="D1968" t="str">
        <f ca="1">IFERROR(__xludf.DUMMYFUNCTION("split(A1968,""("")"),"Mile High ")</f>
        <v xml:space="preserve">Mile High </v>
      </c>
      <c r="E1968" t="str">
        <f ca="1">IFERROR(__xludf.DUMMYFUNCTION("""COMPUTED_VALUE"""),"TV Series 2003–2005)")</f>
        <v>TV Series 2003–2005)</v>
      </c>
    </row>
    <row r="1969" spans="1:5" ht="13" x14ac:dyDescent="0.15">
      <c r="A1969" s="5" t="s">
        <v>2287</v>
      </c>
      <c r="D1969" t="str">
        <f ca="1">IFERROR(__xludf.DUMMYFUNCTION("split(A1969,""("")"),"Miles from Tomorrowland ")</f>
        <v xml:space="preserve">Miles from Tomorrowland </v>
      </c>
      <c r="E1969" t="str">
        <f ca="1">IFERROR(__xludf.DUMMYFUNCTION("""COMPUTED_VALUE"""),"TV Series 2015– )")</f>
        <v>TV Series 2015– )</v>
      </c>
    </row>
    <row r="1970" spans="1:5" ht="13" x14ac:dyDescent="0.15">
      <c r="A1970" s="5" t="s">
        <v>2288</v>
      </c>
      <c r="D1970" t="str">
        <f ca="1">IFERROR(__xludf.DUMMYFUNCTION("split(A1970,""("")"),"Millennium ")</f>
        <v xml:space="preserve">Millennium </v>
      </c>
      <c r="E1970" t="str">
        <f ca="1">IFERROR(__xludf.DUMMYFUNCTION("""COMPUTED_VALUE"""),"TV Series 1996–1999)")</f>
        <v>TV Series 1996–1999)</v>
      </c>
    </row>
    <row r="1971" spans="1:5" ht="13" x14ac:dyDescent="0.15">
      <c r="A1971" s="5" t="s">
        <v>2289</v>
      </c>
      <c r="D1971" t="str">
        <f ca="1">IFERROR(__xludf.DUMMYFUNCTION("split(A1971,""("")"),"Million Dollar Listing Los Angeles ")</f>
        <v xml:space="preserve">Million Dollar Listing Los Angeles </v>
      </c>
      <c r="E1971" t="str">
        <f ca="1">IFERROR(__xludf.DUMMYFUNCTION("""COMPUTED_VALUE"""),"TV Series 2006– )")</f>
        <v>TV Series 2006– )</v>
      </c>
    </row>
    <row r="1972" spans="1:5" ht="13" x14ac:dyDescent="0.15">
      <c r="A1972" s="5" t="s">
        <v>615</v>
      </c>
      <c r="D1972" t="str">
        <f ca="1">IFERROR(__xludf.DUMMYFUNCTION("split(A1972,""("")"),"Million Dollar Listing New York ")</f>
        <v xml:space="preserve">Million Dollar Listing New York </v>
      </c>
      <c r="E1972" t="str">
        <f ca="1">IFERROR(__xludf.DUMMYFUNCTION("""COMPUTED_VALUE"""),"TV Series 2012– )")</f>
        <v>TV Series 2012– )</v>
      </c>
    </row>
    <row r="1973" spans="1:5" ht="13" x14ac:dyDescent="0.15">
      <c r="A1973" s="5" t="s">
        <v>2290</v>
      </c>
      <c r="D1973" t="str">
        <f ca="1">IFERROR(__xludf.DUMMYFUNCTION("split(A1973,""("")"),"Milly, Molly ")</f>
        <v xml:space="preserve">Milly, Molly </v>
      </c>
      <c r="E1973" t="str">
        <f ca="1">IFERROR(__xludf.DUMMYFUNCTION("""COMPUTED_VALUE"""),"TV Series 2008– )")</f>
        <v>TV Series 2008– )</v>
      </c>
    </row>
    <row r="1974" spans="1:5" ht="13" x14ac:dyDescent="0.15">
      <c r="A1974" s="5" t="s">
        <v>2291</v>
      </c>
      <c r="D1974" t="str">
        <f ca="1">IFERROR(__xludf.DUMMYFUNCTION("split(A1974,""("")"),"Mind Field ")</f>
        <v xml:space="preserve">Mind Field </v>
      </c>
      <c r="E1974" t="str">
        <f ca="1">IFERROR(__xludf.DUMMYFUNCTION("""COMPUTED_VALUE"""),"TV Series 2017– )")</f>
        <v>TV Series 2017– )</v>
      </c>
    </row>
    <row r="1975" spans="1:5" ht="13" x14ac:dyDescent="0.15">
      <c r="A1975" s="5" t="s">
        <v>2292</v>
      </c>
      <c r="D1975" t="str">
        <f ca="1">IFERROR(__xludf.DUMMYFUNCTION("split(A1975,""("")"),"Mind of Mencia ")</f>
        <v xml:space="preserve">Mind of Mencia </v>
      </c>
      <c r="E1975" t="str">
        <f ca="1">IFERROR(__xludf.DUMMYFUNCTION("""COMPUTED_VALUE"""),"TV Series 2005– )")</f>
        <v>TV Series 2005– )</v>
      </c>
    </row>
    <row r="1976" spans="1:5" ht="13" x14ac:dyDescent="0.15">
      <c r="A1976" s="5" t="s">
        <v>15</v>
      </c>
      <c r="D1976" t="str">
        <f ca="1">IFERROR(__xludf.DUMMYFUNCTION("split(A1976,""("")"),"Mindhunter ")</f>
        <v xml:space="preserve">Mindhunter </v>
      </c>
      <c r="E1976" t="str">
        <f ca="1">IFERROR(__xludf.DUMMYFUNCTION("""COMPUTED_VALUE"""),"TV Series 2017– )")</f>
        <v>TV Series 2017– )</v>
      </c>
    </row>
    <row r="1977" spans="1:5" ht="13" x14ac:dyDescent="0.15">
      <c r="A1977" s="5" t="s">
        <v>189</v>
      </c>
      <c r="D1977" t="str">
        <f ca="1">IFERROR(__xludf.DUMMYFUNCTION("split(A1977,""("")"),"Minority Report ")</f>
        <v xml:space="preserve">Minority Report </v>
      </c>
      <c r="E1977" t="str">
        <f ca="1">IFERROR(__xludf.DUMMYFUNCTION("""COMPUTED_VALUE"""),"TV Series 2015)")</f>
        <v>TV Series 2015)</v>
      </c>
    </row>
    <row r="1978" spans="1:5" ht="13" x14ac:dyDescent="0.15">
      <c r="A1978" s="5" t="s">
        <v>2293</v>
      </c>
      <c r="D1978" t="str">
        <f ca="1">IFERROR(__xludf.DUMMYFUNCTION("split(A1978,""("")"),"Mira lo que has hecho ")</f>
        <v xml:space="preserve">Mira lo que has hecho </v>
      </c>
      <c r="E1978" t="str">
        <f ca="1">IFERROR(__xludf.DUMMYFUNCTION("""COMPUTED_VALUE"""),"TV Series 2018–2019)")</f>
        <v>TV Series 2018–2019)</v>
      </c>
    </row>
    <row r="1979" spans="1:5" ht="13" x14ac:dyDescent="0.15">
      <c r="A1979" s="5" t="s">
        <v>2294</v>
      </c>
      <c r="D1979" t="str">
        <f ca="1">IFERROR(__xludf.DUMMYFUNCTION("split(A1979,""("")"),"Miraculous: Tales of Ladybug &amp; Cat Noir ")</f>
        <v xml:space="preserve">Miraculous: Tales of Ladybug &amp; Cat Noir </v>
      </c>
      <c r="E1979" t="str">
        <f ca="1">IFERROR(__xludf.DUMMYFUNCTION("""COMPUTED_VALUE"""),"TV Series 2015– )")</f>
        <v>TV Series 2015– )</v>
      </c>
    </row>
    <row r="1980" spans="1:5" ht="13" x14ac:dyDescent="0.15">
      <c r="A1980" s="5" t="s">
        <v>2295</v>
      </c>
      <c r="D1980" t="str">
        <f ca="1">IFERROR(__xludf.DUMMYFUNCTION("split(A1980,""("")"),"Miranda ")</f>
        <v xml:space="preserve">Miranda </v>
      </c>
      <c r="E1980" t="str">
        <f ca="1">IFERROR(__xludf.DUMMYFUNCTION("""COMPUTED_VALUE"""),"TV Series 2009–2015)")</f>
        <v>TV Series 2009–2015)</v>
      </c>
    </row>
    <row r="1981" spans="1:5" ht="13" x14ac:dyDescent="0.15">
      <c r="A1981" s="5" t="s">
        <v>2296</v>
      </c>
      <c r="D1981" t="str">
        <f ca="1">IFERROR(__xludf.DUMMYFUNCTION("split(A1981,""("")"),"Miranda Sings ")</f>
        <v xml:space="preserve">Miranda Sings </v>
      </c>
      <c r="E1981" t="str">
        <f ca="1">IFERROR(__xludf.DUMMYFUNCTION("""COMPUTED_VALUE"""),"TV Series 2008– )")</f>
        <v>TV Series 2008– )</v>
      </c>
    </row>
    <row r="1982" spans="1:5" ht="13" x14ac:dyDescent="0.15">
      <c r="A1982" s="5" t="s">
        <v>2297</v>
      </c>
      <c r="D1982" t="str">
        <f ca="1">IFERROR(__xludf.DUMMYFUNCTION("split(A1982,""("")"),"Mirror, Mirror ")</f>
        <v xml:space="preserve">Mirror, Mirror </v>
      </c>
      <c r="E1982" t="str">
        <f ca="1">IFERROR(__xludf.DUMMYFUNCTION("""COMPUTED_VALUE"""),"TV Series 1995– )")</f>
        <v>TV Series 1995– )</v>
      </c>
    </row>
    <row r="1983" spans="1:5" ht="13" x14ac:dyDescent="0.15">
      <c r="A1983" s="5" t="s">
        <v>2298</v>
      </c>
      <c r="D1983" t="str">
        <f ca="1">IFERROR(__xludf.DUMMYFUNCTION("split(A1983,""("")"),"Mirzapur ")</f>
        <v xml:space="preserve">Mirzapur </v>
      </c>
      <c r="E1983" t="str">
        <f ca="1">IFERROR(__xludf.DUMMYFUNCTION("""COMPUTED_VALUE"""),"TV Series 2018– )")</f>
        <v>TV Series 2018– )</v>
      </c>
    </row>
    <row r="1984" spans="1:5" ht="13" x14ac:dyDescent="0.15">
      <c r="A1984" s="5" t="s">
        <v>677</v>
      </c>
      <c r="D1984" t="str">
        <f ca="1">IFERROR(__xludf.DUMMYFUNCTION("split(A1984,""("")"),"Misfits ")</f>
        <v xml:space="preserve">Misfits </v>
      </c>
      <c r="E1984" t="str">
        <f ca="1">IFERROR(__xludf.DUMMYFUNCTION("""COMPUTED_VALUE"""),"TV Series 2009–2013)")</f>
        <v>TV Series 2009–2013)</v>
      </c>
    </row>
    <row r="1985" spans="1:5" ht="13" x14ac:dyDescent="0.15">
      <c r="A1985" s="5" t="s">
        <v>2299</v>
      </c>
      <c r="D1985" t="str">
        <f ca="1">IFERROR(__xludf.DUMMYFUNCTION("split(A1985,""("")"),"Misija majora Atertona ")</f>
        <v xml:space="preserve">Misija majora Atertona </v>
      </c>
      <c r="E1985" t="str">
        <f ca="1">IFERROR(__xludf.DUMMYFUNCTION("""COMPUTED_VALUE"""),"TV Series 1986– )")</f>
        <v>TV Series 1986– )</v>
      </c>
    </row>
    <row r="1986" spans="1:5" ht="13" x14ac:dyDescent="0.15">
      <c r="A1986" s="5" t="s">
        <v>2300</v>
      </c>
      <c r="D1986" t="str">
        <f ca="1">IFERROR(__xludf.DUMMYFUNCTION("split(A1986,""("")"),"Miss Fisher's Murder Mysteries ")</f>
        <v xml:space="preserve">Miss Fisher's Murder Mysteries </v>
      </c>
      <c r="E1986" t="str">
        <f ca="1">IFERROR(__xludf.DUMMYFUNCTION("""COMPUTED_VALUE"""),"TV Series 2012– )")</f>
        <v>TV Series 2012– )</v>
      </c>
    </row>
    <row r="1987" spans="1:5" ht="13" x14ac:dyDescent="0.15">
      <c r="A1987" s="5" t="s">
        <v>2301</v>
      </c>
      <c r="D1987" t="str">
        <f ca="1">IFERROR(__xludf.DUMMYFUNCTION("split(A1987,""("")"),"Missing ")</f>
        <v xml:space="preserve">Missing </v>
      </c>
      <c r="E1987" t="str">
        <f ca="1">IFERROR(__xludf.DUMMYFUNCTION("""COMPUTED_VALUE"""),"TV Series 2009–2010)")</f>
        <v>TV Series 2009–2010)</v>
      </c>
    </row>
    <row r="1988" spans="1:5" ht="13" x14ac:dyDescent="0.15">
      <c r="A1988" s="5" t="s">
        <v>2302</v>
      </c>
      <c r="D1988" t="str">
        <f ca="1">IFERROR(__xludf.DUMMYFUNCTION("split(A1988,""("")"),"Missing ")</f>
        <v xml:space="preserve">Missing </v>
      </c>
      <c r="E1988" t="str">
        <f ca="1">IFERROR(__xludf.DUMMYFUNCTION("""COMPUTED_VALUE"""),"TV Series 2010)")</f>
        <v>TV Series 2010)</v>
      </c>
    </row>
    <row r="1989" spans="1:5" ht="13" x14ac:dyDescent="0.15">
      <c r="A1989" s="5" t="s">
        <v>2303</v>
      </c>
      <c r="D1989" t="str">
        <f ca="1">IFERROR(__xludf.DUMMYFUNCTION("split(A1989,""("")"),"Missing ")</f>
        <v xml:space="preserve">Missing </v>
      </c>
      <c r="E1989" t="str">
        <f ca="1">IFERROR(__xludf.DUMMYFUNCTION("""COMPUTED_VALUE"""),"TV Series 2012)")</f>
        <v>TV Series 2012)</v>
      </c>
    </row>
    <row r="1990" spans="1:5" ht="13" x14ac:dyDescent="0.15">
      <c r="A1990" s="5" t="s">
        <v>2304</v>
      </c>
      <c r="D1990" t="str">
        <f ca="1">IFERROR(__xludf.DUMMYFUNCTION("split(A1990,""("")"),"Mission Selfie ")</f>
        <v xml:space="preserve">Mission Selfie </v>
      </c>
      <c r="E1990" t="str">
        <f ca="1">IFERROR(__xludf.DUMMYFUNCTION("""COMPUTED_VALUE"""),"TV Series 2016– )")</f>
        <v>TV Series 2016– )</v>
      </c>
    </row>
    <row r="1991" spans="1:5" ht="13" x14ac:dyDescent="0.15">
      <c r="A1991" s="5" t="s">
        <v>616</v>
      </c>
      <c r="D1991" t="str">
        <f ca="1">IFERROR(__xludf.DUMMYFUNCTION("split(A1991,""("")"),"Mission: Impossible ")</f>
        <v xml:space="preserve">Mission: Impossible </v>
      </c>
      <c r="E1991" t="str">
        <f ca="1">IFERROR(__xludf.DUMMYFUNCTION("""COMPUTED_VALUE"""),"TV Series 1988–1990)")</f>
        <v>TV Series 1988–1990)</v>
      </c>
    </row>
    <row r="1992" spans="1:5" ht="13" x14ac:dyDescent="0.15">
      <c r="A1992" s="5" t="s">
        <v>2305</v>
      </c>
      <c r="D1992" t="str">
        <f ca="1">IFERROR(__xludf.DUMMYFUNCTION("split(A1992,""("")"),"Mister Tachyon ")</f>
        <v xml:space="preserve">Mister Tachyon </v>
      </c>
      <c r="E1992" t="str">
        <f ca="1">IFERROR(__xludf.DUMMYFUNCTION("""COMPUTED_VALUE"""),"TV Series 2018– )")</f>
        <v>TV Series 2018– )</v>
      </c>
    </row>
    <row r="1993" spans="1:5" ht="13" x14ac:dyDescent="0.15">
      <c r="A1993" s="5" t="s">
        <v>2306</v>
      </c>
      <c r="D1993" t="str">
        <f ca="1">IFERROR(__xludf.DUMMYFUNCTION("split(A1993,""("")"),"Mistresses ")</f>
        <v xml:space="preserve">Mistresses </v>
      </c>
      <c r="E1993" t="str">
        <f ca="1">IFERROR(__xludf.DUMMYFUNCTION("""COMPUTED_VALUE"""),"TV Series 2008–2010)")</f>
        <v>TV Series 2008–2010)</v>
      </c>
    </row>
    <row r="1994" spans="1:5" ht="13" x14ac:dyDescent="0.15">
      <c r="A1994" s="5" t="s">
        <v>2307</v>
      </c>
      <c r="D1994" t="str">
        <f ca="1">IFERROR(__xludf.DUMMYFUNCTION("split(A1994,""("")"),"Mistresses ")</f>
        <v xml:space="preserve">Mistresses </v>
      </c>
      <c r="E1994" t="str">
        <f ca="1">IFERROR(__xludf.DUMMYFUNCTION("""COMPUTED_VALUE"""),"TV Series 2013–2016)")</f>
        <v>TV Series 2013–2016)</v>
      </c>
    </row>
    <row r="1995" spans="1:5" ht="13" x14ac:dyDescent="0.15">
      <c r="A1995" s="5" t="s">
        <v>2308</v>
      </c>
      <c r="D1995" t="str">
        <f ca="1">IFERROR(__xludf.DUMMYFUNCTION("split(A1995,""("")"),"Mob Wives ")</f>
        <v xml:space="preserve">Mob Wives </v>
      </c>
      <c r="E1995" t="str">
        <f ca="1">IFERROR(__xludf.DUMMYFUNCTION("""COMPUTED_VALUE"""),"TV Series 2011–2016)")</f>
        <v>TV Series 2011–2016)</v>
      </c>
    </row>
    <row r="1996" spans="1:5" ht="13" x14ac:dyDescent="0.15">
      <c r="A1996" s="5" t="s">
        <v>2309</v>
      </c>
      <c r="D1996" t="str">
        <f ca="1">IFERROR(__xludf.DUMMYFUNCTION("split(A1996,""("")"),"Mobbed ")</f>
        <v xml:space="preserve">Mobbed </v>
      </c>
      <c r="E1996" t="str">
        <f ca="1">IFERROR(__xludf.DUMMYFUNCTION("""COMPUTED_VALUE"""),"TV Series 2011– )")</f>
        <v>TV Series 2011– )</v>
      </c>
    </row>
    <row r="1997" spans="1:5" ht="13" x14ac:dyDescent="0.15">
      <c r="A1997" s="5" t="s">
        <v>2310</v>
      </c>
      <c r="D1997" t="str">
        <f ca="1">IFERROR(__xludf.DUMMYFUNCTION("split(A1997,""("")"),"Mobile Fighter G Gundam ")</f>
        <v xml:space="preserve">Mobile Fighter G Gundam </v>
      </c>
      <c r="E1997" t="str">
        <f ca="1">IFERROR(__xludf.DUMMYFUNCTION("""COMPUTED_VALUE"""),"TV Series 1994– )")</f>
        <v>TV Series 1994– )</v>
      </c>
    </row>
    <row r="1998" spans="1:5" ht="13" x14ac:dyDescent="0.15">
      <c r="A1998" s="5" t="s">
        <v>617</v>
      </c>
      <c r="D1998" t="str">
        <f ca="1">IFERROR(__xludf.DUMMYFUNCTION("split(A1998,""("")"),"Mobile Suit Gundam Seed ")</f>
        <v xml:space="preserve">Mobile Suit Gundam Seed </v>
      </c>
      <c r="E1998" t="str">
        <f ca="1">IFERROR(__xludf.DUMMYFUNCTION("""COMPUTED_VALUE"""),"TV Series 2002–2003)")</f>
        <v>TV Series 2002–2003)</v>
      </c>
    </row>
    <row r="1999" spans="1:5" ht="13" x14ac:dyDescent="0.15">
      <c r="A1999" s="5" t="s">
        <v>618</v>
      </c>
      <c r="D1999" t="str">
        <f ca="1">IFERROR(__xludf.DUMMYFUNCTION("split(A1999,""("")"),"Mobile Suit Gundam Seed Destiny ")</f>
        <v xml:space="preserve">Mobile Suit Gundam Seed Destiny </v>
      </c>
      <c r="E1999" t="str">
        <f ca="1">IFERROR(__xludf.DUMMYFUNCTION("""COMPUTED_VALUE"""),"TV Series 2004–2005)")</f>
        <v>TV Series 2004–2005)</v>
      </c>
    </row>
    <row r="2000" spans="1:5" ht="13" x14ac:dyDescent="0.15">
      <c r="A2000" s="5" t="s">
        <v>619</v>
      </c>
      <c r="D2000" t="str">
        <f ca="1">IFERROR(__xludf.DUMMYFUNCTION("split(A2000,""("")"),"Mobile Suit Gundam Wing ")</f>
        <v xml:space="preserve">Mobile Suit Gundam Wing </v>
      </c>
      <c r="E2000" t="str">
        <f ca="1">IFERROR(__xludf.DUMMYFUNCTION("""COMPUTED_VALUE"""),"TV Series 1995–1996)")</f>
        <v>TV Series 1995–1996)</v>
      </c>
    </row>
    <row r="2001" spans="1:6" ht="13" x14ac:dyDescent="0.15">
      <c r="A2001" s="5" t="s">
        <v>620</v>
      </c>
      <c r="D2001" t="str">
        <f ca="1">IFERROR(__xludf.DUMMYFUNCTION("split(A2001,""("")"),"Mobile Suit Gundam ZZ ")</f>
        <v xml:space="preserve">Mobile Suit Gundam ZZ </v>
      </c>
      <c r="E2001" t="str">
        <f ca="1">IFERROR(__xludf.DUMMYFUNCTION("""COMPUTED_VALUE"""),"TV Series 1986–1987)")</f>
        <v>TV Series 1986–1987)</v>
      </c>
    </row>
    <row r="2002" spans="1:6" ht="13" x14ac:dyDescent="0.15">
      <c r="A2002" s="5" t="s">
        <v>2311</v>
      </c>
      <c r="D2002" t="str">
        <f ca="1">IFERROR(__xludf.DUMMYFUNCTION("split(A2002,""("")"),"Mobile Suit Zeta Gundam ")</f>
        <v xml:space="preserve">Mobile Suit Zeta Gundam </v>
      </c>
      <c r="E2002" t="str">
        <f ca="1">IFERROR(__xludf.DUMMYFUNCTION("""COMPUTED_VALUE"""),"TV Series 1985–1986)")</f>
        <v>TV Series 1985–1986)</v>
      </c>
    </row>
    <row r="2003" spans="1:6" ht="13" x14ac:dyDescent="0.15">
      <c r="A2003" s="5" t="s">
        <v>2312</v>
      </c>
      <c r="D2003" t="str">
        <f ca="1">IFERROR(__xludf.DUMMYFUNCTION("split(A2003,""("")"),"Modeling with Ishah Wright Produced in Full HD ")</f>
        <v xml:space="preserve">Modeling with Ishah Wright Produced in Full HD </v>
      </c>
      <c r="E2003" t="str">
        <f ca="1">IFERROR(__xludf.DUMMYFUNCTION("""COMPUTED_VALUE"""),"TV Series 2011– )")</f>
        <v>TV Series 2011– )</v>
      </c>
    </row>
    <row r="2004" spans="1:6" ht="13" x14ac:dyDescent="0.15">
      <c r="A2004" s="5" t="s">
        <v>2313</v>
      </c>
      <c r="D2004" t="str">
        <f ca="1">IFERROR(__xludf.DUMMYFUNCTION("split(A2004,""("")"),"Modern Family ")</f>
        <v xml:space="preserve">Modern Family </v>
      </c>
      <c r="E2004" t="str">
        <f ca="1">IFERROR(__xludf.DUMMYFUNCTION("""COMPUTED_VALUE"""),"TV Series 2009– )")</f>
        <v>TV Series 2009– )</v>
      </c>
    </row>
    <row r="2005" spans="1:6" ht="13" x14ac:dyDescent="0.15">
      <c r="A2005" s="5" t="s">
        <v>13</v>
      </c>
      <c r="D2005" t="str">
        <f ca="1">IFERROR(__xludf.DUMMYFUNCTION("split(A2005,""("")"),"Modern Love ")</f>
        <v xml:space="preserve">Modern Love </v>
      </c>
      <c r="E2005" t="str">
        <f ca="1">IFERROR(__xludf.DUMMYFUNCTION("""COMPUTED_VALUE"""),"TV Series 2019– )")</f>
        <v>TV Series 2019– )</v>
      </c>
    </row>
    <row r="2006" spans="1:6" ht="13" x14ac:dyDescent="0.15">
      <c r="A2006" s="5" t="s">
        <v>251</v>
      </c>
      <c r="D2006" t="str">
        <f ca="1">IFERROR(__xludf.DUMMYFUNCTION("split(A2006,""("")"),"Mom ")</f>
        <v xml:space="preserve">Mom </v>
      </c>
      <c r="E2006" t="str">
        <f ca="1">IFERROR(__xludf.DUMMYFUNCTION("""COMPUTED_VALUE"""),"TV Series 2013– )")</f>
        <v>TV Series 2013– )</v>
      </c>
    </row>
    <row r="2007" spans="1:6" ht="13" x14ac:dyDescent="0.15">
      <c r="A2007" s="5" t="s">
        <v>2314</v>
      </c>
      <c r="D2007" t="str">
        <f ca="1">IFERROR(__xludf.DUMMYFUNCTION("split(A2007,""("")"),"Mom &amp; Me ")</f>
        <v xml:space="preserve">Mom &amp; Me </v>
      </c>
      <c r="E2007" t="str">
        <f ca="1">IFERROR(__xludf.DUMMYFUNCTION("""COMPUTED_VALUE"""),"and Everyone Online) ")</f>
        <v xml:space="preserve">and Everyone Online) </v>
      </c>
      <c r="F2007" t="str">
        <f ca="1">IFERROR(__xludf.DUMMYFUNCTION("""COMPUTED_VALUE"""),"TV Series 2016–2017)")</f>
        <v>TV Series 2016–2017)</v>
      </c>
    </row>
    <row r="2008" spans="1:6" ht="13" x14ac:dyDescent="0.15">
      <c r="A2008" s="5" t="s">
        <v>2315</v>
      </c>
      <c r="D2008" t="str">
        <f ca="1">IFERROR(__xludf.DUMMYFUNCTION("split(A2008,""("")"),"Mona the Vampire ")</f>
        <v xml:space="preserve">Mona the Vampire </v>
      </c>
      <c r="E2008" t="str">
        <f ca="1">IFERROR(__xludf.DUMMYFUNCTION("""COMPUTED_VALUE"""),"TV Series 1999–2003)")</f>
        <v>TV Series 1999–2003)</v>
      </c>
    </row>
    <row r="2009" spans="1:6" ht="13" x14ac:dyDescent="0.15">
      <c r="A2009" s="5" t="s">
        <v>2316</v>
      </c>
      <c r="D2009" t="str">
        <f ca="1">IFERROR(__xludf.DUMMYFUNCTION("split(A2009,""("")"),"Monarch of the Glen ")</f>
        <v xml:space="preserve">Monarch of the Glen </v>
      </c>
      <c r="E2009" t="str">
        <f ca="1">IFERROR(__xludf.DUMMYFUNCTION("""COMPUTED_VALUE"""),"TV Series 2000–2005)")</f>
        <v>TV Series 2000–2005)</v>
      </c>
    </row>
    <row r="2010" spans="1:6" ht="13" x14ac:dyDescent="0.15">
      <c r="A2010" s="5" t="s">
        <v>2317</v>
      </c>
      <c r="D2010" t="str">
        <f ca="1">IFERROR(__xludf.DUMMYFUNCTION("split(A2010,""("")"),"Money Heist ")</f>
        <v xml:space="preserve">Money Heist </v>
      </c>
      <c r="E2010" t="str">
        <f ca="1">IFERROR(__xludf.DUMMYFUNCTION("""COMPUTED_VALUE"""),"TV Series 2017– )")</f>
        <v>TV Series 2017– )</v>
      </c>
    </row>
    <row r="2011" spans="1:6" ht="13" x14ac:dyDescent="0.15">
      <c r="A2011" s="5" t="s">
        <v>2318</v>
      </c>
      <c r="D2011" t="str">
        <f ca="1">IFERROR(__xludf.DUMMYFUNCTION("split(A2011,""("")"),"Mongrels ")</f>
        <v xml:space="preserve">Mongrels </v>
      </c>
      <c r="E2011" t="str">
        <f ca="1">IFERROR(__xludf.DUMMYFUNCTION("""COMPUTED_VALUE"""),"TV Series 2010–2011)")</f>
        <v>TV Series 2010–2011)</v>
      </c>
    </row>
    <row r="2012" spans="1:6" ht="13" x14ac:dyDescent="0.15">
      <c r="A2012" s="5" t="s">
        <v>2319</v>
      </c>
      <c r="D2012" t="str">
        <f ca="1">IFERROR(__xludf.DUMMYFUNCTION("split(A2012,""("")"),"Monk ")</f>
        <v xml:space="preserve">Monk </v>
      </c>
      <c r="E2012" t="str">
        <f ca="1">IFERROR(__xludf.DUMMYFUNCTION("""COMPUTED_VALUE"""),"TV Series 2002–2009)")</f>
        <v>TV Series 2002–2009)</v>
      </c>
    </row>
    <row r="2013" spans="1:6" ht="13" x14ac:dyDescent="0.15">
      <c r="A2013" s="5" t="s">
        <v>2320</v>
      </c>
      <c r="D2013" t="str">
        <f ca="1">IFERROR(__xludf.DUMMYFUNCTION("split(A2013,""("")"),"Monstar ")</f>
        <v xml:space="preserve">Monstar </v>
      </c>
      <c r="E2013" t="str">
        <f ca="1">IFERROR(__xludf.DUMMYFUNCTION("""COMPUTED_VALUE"""),"TV Series 2013– )")</f>
        <v>TV Series 2013– )</v>
      </c>
    </row>
    <row r="2014" spans="1:6" ht="13" x14ac:dyDescent="0.15">
      <c r="A2014" s="5" t="s">
        <v>2321</v>
      </c>
      <c r="D2014" t="str">
        <f ca="1">IFERROR(__xludf.DUMMYFUNCTION("split(A2014,""("")"),"Monster ")</f>
        <v xml:space="preserve">Monster </v>
      </c>
      <c r="E2014" t="str">
        <f ca="1">IFERROR(__xludf.DUMMYFUNCTION("""COMPUTED_VALUE"""),"TV Series 2004–2010)")</f>
        <v>TV Series 2004–2010)</v>
      </c>
    </row>
    <row r="2015" spans="1:6" ht="13" x14ac:dyDescent="0.15">
      <c r="A2015" s="5" t="s">
        <v>2322</v>
      </c>
      <c r="D2015" t="str">
        <f ca="1">IFERROR(__xludf.DUMMYFUNCTION("split(A2015,""("")"),"Monster Musume: Everyday Life with Monster Girls ")</f>
        <v xml:space="preserve">Monster Musume: Everyday Life with Monster Girls </v>
      </c>
      <c r="E2015" t="str">
        <f ca="1">IFERROR(__xludf.DUMMYFUNCTION("""COMPUTED_VALUE"""),"TV Series 2015– )")</f>
        <v>TV Series 2015– )</v>
      </c>
    </row>
    <row r="2016" spans="1:6" ht="13" x14ac:dyDescent="0.15">
      <c r="A2016" s="5" t="s">
        <v>2323</v>
      </c>
      <c r="D2016" t="str">
        <f ca="1">IFERROR(__xludf.DUMMYFUNCTION("split(A2016,""("")"),"Monsuno ")</f>
        <v xml:space="preserve">Monsuno </v>
      </c>
      <c r="E2016" t="str">
        <f ca="1">IFERROR(__xludf.DUMMYFUNCTION("""COMPUTED_VALUE"""),"TV Series 2011– )")</f>
        <v>TV Series 2011– )</v>
      </c>
    </row>
    <row r="2017" spans="1:5" ht="13" x14ac:dyDescent="0.15">
      <c r="A2017" s="5" t="s">
        <v>2324</v>
      </c>
      <c r="D2017" t="str">
        <f ca="1">IFERROR(__xludf.DUMMYFUNCTION("split(A2017,""("")"),"Moon Dreamers ")</f>
        <v xml:space="preserve">Moon Dreamers </v>
      </c>
      <c r="E2017" t="str">
        <f ca="1">IFERROR(__xludf.DUMMYFUNCTION("""COMPUTED_VALUE"""),"TV Series 1986– )")</f>
        <v>TV Series 1986– )</v>
      </c>
    </row>
    <row r="2018" spans="1:5" ht="13" x14ac:dyDescent="0.15">
      <c r="A2018" s="5" t="s">
        <v>136</v>
      </c>
      <c r="D2018" t="str">
        <f ca="1">IFERROR(__xludf.DUMMYFUNCTION("split(A2018,""("")"),"Moon Lovers: Scarlet Heart Ryeo ")</f>
        <v xml:space="preserve">Moon Lovers: Scarlet Heart Ryeo </v>
      </c>
      <c r="E2018" t="str">
        <f ca="1">IFERROR(__xludf.DUMMYFUNCTION("""COMPUTED_VALUE"""),"TV Series 2016– )")</f>
        <v>TV Series 2016– )</v>
      </c>
    </row>
    <row r="2019" spans="1:5" ht="13" x14ac:dyDescent="0.15">
      <c r="A2019" s="5" t="s">
        <v>2325</v>
      </c>
      <c r="D2019" t="str">
        <f ca="1">IFERROR(__xludf.DUMMYFUNCTION("split(A2019,""("")"),"Moone Boy ")</f>
        <v xml:space="preserve">Moone Boy </v>
      </c>
      <c r="E2019" t="str">
        <f ca="1">IFERROR(__xludf.DUMMYFUNCTION("""COMPUTED_VALUE"""),"TV Series 2012–2015)")</f>
        <v>TV Series 2012–2015)</v>
      </c>
    </row>
    <row r="2020" spans="1:5" ht="13" x14ac:dyDescent="0.15">
      <c r="A2020" s="5" t="s">
        <v>283</v>
      </c>
      <c r="D2020" t="str">
        <f ca="1">IFERROR(__xludf.DUMMYFUNCTION("split(A2020,""("")"),"Moonlighting ")</f>
        <v xml:space="preserve">Moonlighting </v>
      </c>
      <c r="E2020" t="str">
        <f ca="1">IFERROR(__xludf.DUMMYFUNCTION("""COMPUTED_VALUE"""),"TV Series 1985–1989)")</f>
        <v>TV Series 1985–1989)</v>
      </c>
    </row>
    <row r="2021" spans="1:5" ht="13" x14ac:dyDescent="0.15">
      <c r="A2021" s="5" t="s">
        <v>2326</v>
      </c>
      <c r="D2021" t="str">
        <f ca="1">IFERROR(__xludf.DUMMYFUNCTION("split(A2021,""("")"),"Moonshiners ")</f>
        <v xml:space="preserve">Moonshiners </v>
      </c>
      <c r="E2021" t="str">
        <f ca="1">IFERROR(__xludf.DUMMYFUNCTION("""COMPUTED_VALUE"""),"TV Series 2011– )")</f>
        <v>TV Series 2011– )</v>
      </c>
    </row>
    <row r="2022" spans="1:5" ht="13" x14ac:dyDescent="0.15">
      <c r="A2022" s="5" t="s">
        <v>2327</v>
      </c>
      <c r="D2022" t="str">
        <f ca="1">IFERROR(__xludf.DUMMYFUNCTION("split(A2022,""("")"),"Moral Orel ")</f>
        <v xml:space="preserve">Moral Orel </v>
      </c>
      <c r="E2022" t="str">
        <f ca="1">IFERROR(__xludf.DUMMYFUNCTION("""COMPUTED_VALUE"""),"TV Series 2005–2009)")</f>
        <v>TV Series 2005–2009)</v>
      </c>
    </row>
    <row r="2023" spans="1:5" ht="13" x14ac:dyDescent="0.15">
      <c r="A2023" s="5" t="s">
        <v>2328</v>
      </c>
      <c r="D2023" t="str">
        <f ca="1">IFERROR(__xludf.DUMMYFUNCTION("split(A2023,""("")"),"Morangos com Açúcar ")</f>
        <v xml:space="preserve">Morangos com Açúcar </v>
      </c>
      <c r="E2023" t="str">
        <f ca="1">IFERROR(__xludf.DUMMYFUNCTION("""COMPUTED_VALUE"""),"TV Series 2003– )")</f>
        <v>TV Series 2003– )</v>
      </c>
    </row>
    <row r="2024" spans="1:5" ht="13" x14ac:dyDescent="0.15">
      <c r="A2024" s="5" t="s">
        <v>2329</v>
      </c>
      <c r="D2024" t="str">
        <f ca="1">IFERROR(__xludf.DUMMYFUNCTION("split(A2024,""("")"),"More Than a River ")</f>
        <v xml:space="preserve">More Than a River </v>
      </c>
      <c r="E2024" t="str">
        <f ca="1">IFERROR(__xludf.DUMMYFUNCTION("""COMPUTED_VALUE"""),"TV Series 2004)")</f>
        <v>TV Series 2004)</v>
      </c>
    </row>
    <row r="2025" spans="1:5" ht="13" x14ac:dyDescent="0.15">
      <c r="A2025" s="5" t="s">
        <v>2330</v>
      </c>
      <c r="D2025" t="str">
        <f ca="1">IFERROR(__xludf.DUMMYFUNCTION("split(A2025,""("")"),"More Zoella ")</f>
        <v xml:space="preserve">More Zoella </v>
      </c>
      <c r="E2025" t="str">
        <f ca="1">IFERROR(__xludf.DUMMYFUNCTION("""COMPUTED_VALUE"""),"TV Series 2012– )")</f>
        <v>TV Series 2012– )</v>
      </c>
    </row>
    <row r="2026" spans="1:5" ht="13" x14ac:dyDescent="0.15">
      <c r="A2026" s="5" t="s">
        <v>392</v>
      </c>
      <c r="D2026" t="str">
        <f ca="1">IFERROR(__xludf.DUMMYFUNCTION("split(A2026,""("")"),"Mortal Kombat: Conquest ")</f>
        <v xml:space="preserve">Mortal Kombat: Conquest </v>
      </c>
      <c r="E2026" t="str">
        <f ca="1">IFERROR(__xludf.DUMMYFUNCTION("""COMPUTED_VALUE"""),"TV Series 1998–1999)")</f>
        <v>TV Series 1998–1999)</v>
      </c>
    </row>
    <row r="2027" spans="1:5" ht="13" x14ac:dyDescent="0.15">
      <c r="A2027" s="5" t="s">
        <v>403</v>
      </c>
      <c r="D2027" t="str">
        <f ca="1">IFERROR(__xludf.DUMMYFUNCTION("split(A2027,""("")"),"Mortal Kombat: Defenders of the Realm ")</f>
        <v xml:space="preserve">Mortal Kombat: Defenders of the Realm </v>
      </c>
      <c r="E2027" t="str">
        <f ca="1">IFERROR(__xludf.DUMMYFUNCTION("""COMPUTED_VALUE"""),"TV Series 1995–1996)")</f>
        <v>TV Series 1995–1996)</v>
      </c>
    </row>
    <row r="2028" spans="1:5" ht="13" x14ac:dyDescent="0.15">
      <c r="A2028" s="5" t="s">
        <v>474</v>
      </c>
      <c r="D2028" t="str">
        <f ca="1">IFERROR(__xludf.DUMMYFUNCTION("split(A2028,""("")"),"Mortal Kombat: Legacy ")</f>
        <v xml:space="preserve">Mortal Kombat: Legacy </v>
      </c>
      <c r="E2028" t="str">
        <f ca="1">IFERROR(__xludf.DUMMYFUNCTION("""COMPUTED_VALUE"""),"TV Series 2011–2013)")</f>
        <v>TV Series 2011–2013)</v>
      </c>
    </row>
    <row r="2029" spans="1:5" ht="13" x14ac:dyDescent="0.15">
      <c r="A2029" s="7" t="s">
        <v>2331</v>
      </c>
      <c r="D2029" t="str">
        <f ca="1">IFERROR(__xludf.DUMMYFUNCTION("split(A2029,""("")"),"Moshi koukou yakyuu no joshi manêjâ ga Dorakkâ no 'Manejimento' wo yondara ")</f>
        <v xml:space="preserve">Moshi koukou yakyuu no joshi manêjâ ga Dorakkâ no 'Manejimento' wo yondara </v>
      </c>
      <c r="E2029" t="str">
        <f ca="1">IFERROR(__xludf.DUMMYFUNCTION("""COMPUTED_VALUE"""),"TV Series 2011– )")</f>
        <v>TV Series 2011– )</v>
      </c>
    </row>
    <row r="2030" spans="1:5" ht="13" x14ac:dyDescent="0.15">
      <c r="A2030" s="5" t="s">
        <v>2332</v>
      </c>
      <c r="D2030" t="str">
        <f ca="1">IFERROR(__xludf.DUMMYFUNCTION("split(A2030,""("")"),"Most Evil ")</f>
        <v xml:space="preserve">Most Evil </v>
      </c>
      <c r="E2030" t="str">
        <f ca="1">IFERROR(__xludf.DUMMYFUNCTION("""COMPUTED_VALUE"""),"TV Series 2006–2015)")</f>
        <v>TV Series 2006–2015)</v>
      </c>
    </row>
    <row r="2031" spans="1:5" ht="13" x14ac:dyDescent="0.15">
      <c r="A2031" s="5" t="s">
        <v>2333</v>
      </c>
      <c r="D2031" t="str">
        <f ca="1">IFERROR(__xludf.DUMMYFUNCTION("split(A2031,""("")"),"Most Haunted ")</f>
        <v xml:space="preserve">Most Haunted </v>
      </c>
      <c r="E2031" t="str">
        <f ca="1">IFERROR(__xludf.DUMMYFUNCTION("""COMPUTED_VALUE"""),"TV Series 2002– )")</f>
        <v>TV Series 2002– )</v>
      </c>
    </row>
    <row r="2032" spans="1:5" ht="13" x14ac:dyDescent="0.15">
      <c r="A2032" s="5" t="s">
        <v>2334</v>
      </c>
      <c r="D2032" t="str">
        <f ca="1">IFERROR(__xludf.DUMMYFUNCTION("split(A2032,""("")"),"Mot i brøstet ")</f>
        <v xml:space="preserve">Mot i brøstet </v>
      </c>
      <c r="E2032" t="str">
        <f ca="1">IFERROR(__xludf.DUMMYFUNCTION("""COMPUTED_VALUE"""),"TV Series 1993–1997)")</f>
        <v>TV Series 1993–1997)</v>
      </c>
    </row>
    <row r="2033" spans="1:5" ht="13" x14ac:dyDescent="0.15">
      <c r="A2033" s="5" t="s">
        <v>2335</v>
      </c>
      <c r="D2033" t="str">
        <f ca="1">IFERROR(__xludf.DUMMYFUNCTION("split(A2033,""("")"),"Motherland ")</f>
        <v xml:space="preserve">Motherland </v>
      </c>
      <c r="E2033" t="str">
        <f ca="1">IFERROR(__xludf.DUMMYFUNCTION("""COMPUTED_VALUE"""),"TV Series 2016– )")</f>
        <v>TV Series 2016– )</v>
      </c>
    </row>
    <row r="2034" spans="1:5" ht="13" x14ac:dyDescent="0.15">
      <c r="A2034" s="5" t="s">
        <v>2336</v>
      </c>
      <c r="D2034" t="str">
        <f ca="1">IFERROR(__xludf.DUMMYFUNCTION("split(A2034,""("")"),"Motive ")</f>
        <v xml:space="preserve">Motive </v>
      </c>
      <c r="E2034" t="str">
        <f ca="1">IFERROR(__xludf.DUMMYFUNCTION("""COMPUTED_VALUE"""),"TV Series 2013–2016)")</f>
        <v>TV Series 2013–2016)</v>
      </c>
    </row>
    <row r="2035" spans="1:5" ht="13" x14ac:dyDescent="0.15">
      <c r="A2035" s="5" t="s">
        <v>2337</v>
      </c>
      <c r="D2035" t="str">
        <f ca="1">IFERROR(__xludf.DUMMYFUNCTION("split(A2035,""("")"),"Moya Prechistenka ")</f>
        <v xml:space="preserve">Moya Prechistenka </v>
      </c>
      <c r="E2035" t="str">
        <f ca="1">IFERROR(__xludf.DUMMYFUNCTION("""COMPUTED_VALUE"""),"TV Series 2006– )")</f>
        <v>TV Series 2006– )</v>
      </c>
    </row>
    <row r="2036" spans="1:5" ht="13" x14ac:dyDescent="0.15">
      <c r="A2036" s="5" t="s">
        <v>2338</v>
      </c>
      <c r="D2036" t="str">
        <f ca="1">IFERROR(__xludf.DUMMYFUNCTION("split(A2036,""("")"),"Mr &amp; Mrs Murder ")</f>
        <v xml:space="preserve">Mr &amp; Mrs Murder </v>
      </c>
      <c r="E2036" t="str">
        <f ca="1">IFERROR(__xludf.DUMMYFUNCTION("""COMPUTED_VALUE"""),"TV Series 2013)")</f>
        <v>TV Series 2013)</v>
      </c>
    </row>
    <row r="2037" spans="1:5" ht="13" x14ac:dyDescent="0.15">
      <c r="A2037" s="5" t="s">
        <v>2339</v>
      </c>
      <c r="D2037" t="str">
        <f ca="1">IFERROR(__xludf.DUMMYFUNCTION("split(A2037,""("")"),"Mr Selfridge ")</f>
        <v xml:space="preserve">Mr Selfridge </v>
      </c>
      <c r="E2037" t="str">
        <f ca="1">IFERROR(__xludf.DUMMYFUNCTION("""COMPUTED_VALUE"""),"TV Series 2013–2016)")</f>
        <v>TV Series 2013–2016)</v>
      </c>
    </row>
    <row r="2038" spans="1:5" ht="13" x14ac:dyDescent="0.15">
      <c r="A2038" s="5" t="s">
        <v>2340</v>
      </c>
      <c r="D2038" t="str">
        <f ca="1">IFERROR(__xludf.DUMMYFUNCTION("split(A2038,""("")"),"Mr. Bean ")</f>
        <v xml:space="preserve">Mr. Bean </v>
      </c>
      <c r="E2038" t="str">
        <f ca="1">IFERROR(__xludf.DUMMYFUNCTION("""COMPUTED_VALUE"""),"TV Series 1990–1995)")</f>
        <v>TV Series 1990–1995)</v>
      </c>
    </row>
    <row r="2039" spans="1:5" ht="13" x14ac:dyDescent="0.15">
      <c r="A2039" s="5" t="s">
        <v>2341</v>
      </c>
      <c r="D2039" t="str">
        <f ca="1">IFERROR(__xludf.DUMMYFUNCTION("split(A2039,""("")"),"Mr. Mercedes ")</f>
        <v xml:space="preserve">Mr. Mercedes </v>
      </c>
      <c r="E2039" t="str">
        <f ca="1">IFERROR(__xludf.DUMMYFUNCTION("""COMPUTED_VALUE"""),"TV Series 2017– )")</f>
        <v>TV Series 2017– )</v>
      </c>
    </row>
    <row r="2040" spans="1:5" ht="13" x14ac:dyDescent="0.15">
      <c r="A2040" s="5" t="s">
        <v>2342</v>
      </c>
      <c r="D2040" t="str">
        <f ca="1">IFERROR(__xludf.DUMMYFUNCTION("split(A2040,""("")"),"Mr. Pickles ")</f>
        <v xml:space="preserve">Mr. Pickles </v>
      </c>
      <c r="E2040" t="str">
        <f ca="1">IFERROR(__xludf.DUMMYFUNCTION("""COMPUTED_VALUE"""),"TV Series 2013– )")</f>
        <v>TV Series 2013– )</v>
      </c>
    </row>
    <row r="2041" spans="1:5" ht="13" x14ac:dyDescent="0.15">
      <c r="A2041" s="5" t="s">
        <v>2343</v>
      </c>
      <c r="D2041" t="str">
        <f ca="1">IFERROR(__xludf.DUMMYFUNCTION("split(A2041,""("")"),"Mr. Robot ")</f>
        <v xml:space="preserve">Mr. Robot </v>
      </c>
      <c r="E2041" t="str">
        <f ca="1">IFERROR(__xludf.DUMMYFUNCTION("""COMPUTED_VALUE"""),"TV Series 2015– )")</f>
        <v>TV Series 2015– )</v>
      </c>
    </row>
    <row r="2042" spans="1:5" ht="13" x14ac:dyDescent="0.15">
      <c r="A2042" s="5" t="s">
        <v>2344</v>
      </c>
      <c r="D2042" t="str">
        <f ca="1">IFERROR(__xludf.DUMMYFUNCTION("split(A2042,""("")"),"Mr. Show with Bob and David ")</f>
        <v xml:space="preserve">Mr. Show with Bob and David </v>
      </c>
      <c r="E2042" t="str">
        <f ca="1">IFERROR(__xludf.DUMMYFUNCTION("""COMPUTED_VALUE"""),"TV Series 1995–1998)")</f>
        <v>TV Series 1995–1998)</v>
      </c>
    </row>
    <row r="2043" spans="1:5" ht="13" x14ac:dyDescent="0.15">
      <c r="A2043" s="5" t="s">
        <v>2345</v>
      </c>
      <c r="D2043" t="str">
        <f ca="1">IFERROR(__xludf.DUMMYFUNCTION("split(A2043,""("")"),"Mr. Sloane ")</f>
        <v xml:space="preserve">Mr. Sloane </v>
      </c>
      <c r="E2043" t="str">
        <f ca="1">IFERROR(__xludf.DUMMYFUNCTION("""COMPUTED_VALUE"""),"TV Series 2014– )")</f>
        <v>TV Series 2014– )</v>
      </c>
    </row>
    <row r="2044" spans="1:5" ht="13" x14ac:dyDescent="0.15">
      <c r="A2044" s="5" t="s">
        <v>2346</v>
      </c>
      <c r="D2044" t="str">
        <f ca="1">IFERROR(__xludf.DUMMYFUNCTION("split(A2044,""("")"),"Mr. Sunshine ")</f>
        <v xml:space="preserve">Mr. Sunshine </v>
      </c>
      <c r="E2044" t="str">
        <f ca="1">IFERROR(__xludf.DUMMYFUNCTION("""COMPUTED_VALUE"""),"TV Series 2011–2012)")</f>
        <v>TV Series 2011–2012)</v>
      </c>
    </row>
    <row r="2045" spans="1:5" ht="13" x14ac:dyDescent="0.15">
      <c r="A2045" s="5" t="s">
        <v>2347</v>
      </c>
      <c r="D2045" t="str">
        <f ca="1">IFERROR(__xludf.DUMMYFUNCTION("split(A2045,""("")"),"Mrs. Brown's Boys ")</f>
        <v xml:space="preserve">Mrs. Brown's Boys </v>
      </c>
      <c r="E2045" t="str">
        <f ca="1">IFERROR(__xludf.DUMMYFUNCTION("""COMPUTED_VALUE"""),"TV Series 2011– )")</f>
        <v>TV Series 2011– )</v>
      </c>
    </row>
    <row r="2046" spans="1:5" ht="13" x14ac:dyDescent="0.15">
      <c r="A2046" s="5" t="s">
        <v>2348</v>
      </c>
      <c r="D2046" t="str">
        <f ca="1">IFERROR(__xludf.DUMMYFUNCTION("split(A2046,""("")"),"Mrs. Fletcher ")</f>
        <v xml:space="preserve">Mrs. Fletcher </v>
      </c>
      <c r="E2046" t="str">
        <f ca="1">IFERROR(__xludf.DUMMYFUNCTION("""COMPUTED_VALUE"""),"TV Series 2019– )")</f>
        <v>TV Series 2019– )</v>
      </c>
    </row>
    <row r="2047" spans="1:5" ht="13" x14ac:dyDescent="0.15">
      <c r="A2047" s="5" t="s">
        <v>2349</v>
      </c>
      <c r="D2047" t="str">
        <f ca="1">IFERROR(__xludf.DUMMYFUNCTION("split(A2047,""("")"),"MrTomcatCZ ")</f>
        <v xml:space="preserve">MrTomcatCZ </v>
      </c>
      <c r="E2047" t="str">
        <f ca="1">IFERROR(__xludf.DUMMYFUNCTION("""COMPUTED_VALUE"""),"TV Series 2012– )")</f>
        <v>TV Series 2012– )</v>
      </c>
    </row>
    <row r="2048" spans="1:5" ht="13" x14ac:dyDescent="0.15">
      <c r="A2048" s="5" t="s">
        <v>2350</v>
      </c>
      <c r="D2048" t="str">
        <f ca="1">IFERROR(__xludf.DUMMYFUNCTION("split(A2048,""("")"),"Ms. Monologue ")</f>
        <v xml:space="preserve">Ms. Monologue </v>
      </c>
      <c r="E2048" t="str">
        <f ca="1">IFERROR(__xludf.DUMMYFUNCTION("""COMPUTED_VALUE"""),"TV Series 2013– )")</f>
        <v>TV Series 2013– )</v>
      </c>
    </row>
    <row r="2049" spans="1:5" ht="13" x14ac:dyDescent="0.15">
      <c r="A2049" s="5" t="s">
        <v>2351</v>
      </c>
      <c r="D2049" t="str">
        <f ca="1">IFERROR(__xludf.DUMMYFUNCTION("split(A2049,""("")"),"Mt. Emmanuel Missionary Baptist Church ")</f>
        <v xml:space="preserve">Mt. Emmanuel Missionary Baptist Church </v>
      </c>
      <c r="E2049" t="str">
        <f ca="1">IFERROR(__xludf.DUMMYFUNCTION("""COMPUTED_VALUE"""),"TV Series 2011– )")</f>
        <v>TV Series 2011– )</v>
      </c>
    </row>
    <row r="2050" spans="1:5" ht="13" x14ac:dyDescent="0.15">
      <c r="A2050" s="5" t="s">
        <v>2352</v>
      </c>
      <c r="D2050" t="str">
        <f ca="1">IFERROR(__xludf.DUMMYFUNCTION("split(A2050,""("")"),"MTV Floribama Shore ")</f>
        <v xml:space="preserve">MTV Floribama Shore </v>
      </c>
      <c r="E2050" t="str">
        <f ca="1">IFERROR(__xludf.DUMMYFUNCTION("""COMPUTED_VALUE"""),"TV Series 2017– )")</f>
        <v>TV Series 2017– )</v>
      </c>
    </row>
    <row r="2051" spans="1:5" ht="13" x14ac:dyDescent="0.15">
      <c r="A2051" s="5" t="s">
        <v>2353</v>
      </c>
      <c r="D2051" t="str">
        <f ca="1">IFERROR(__xludf.DUMMYFUNCTION("split(A2051,""("")"),"Mujeres de nadie ")</f>
        <v xml:space="preserve">Mujeres de nadie </v>
      </c>
      <c r="E2051" t="str">
        <f ca="1">IFERROR(__xludf.DUMMYFUNCTION("""COMPUTED_VALUE"""),"TV Series 2007– )")</f>
        <v>TV Series 2007– )</v>
      </c>
    </row>
    <row r="2052" spans="1:5" ht="13" x14ac:dyDescent="0.15">
      <c r="A2052" s="5" t="s">
        <v>2354</v>
      </c>
      <c r="D2052" t="str">
        <f ca="1">IFERROR(__xludf.DUMMYFUNCTION("split(A2052,""("")"),"Mula sa puso ")</f>
        <v xml:space="preserve">Mula sa puso </v>
      </c>
      <c r="E2052" t="str">
        <f ca="1">IFERROR(__xludf.DUMMYFUNCTION("""COMPUTED_VALUE"""),"TV Series 1997–1999)")</f>
        <v>TV Series 1997–1999)</v>
      </c>
    </row>
    <row r="2053" spans="1:5" ht="13" x14ac:dyDescent="0.15">
      <c r="A2053" s="5" t="s">
        <v>2355</v>
      </c>
      <c r="D2053" t="str">
        <f ca="1">IFERROR(__xludf.DUMMYFUNCTION("split(A2053,""("")"),"Mulawin ")</f>
        <v xml:space="preserve">Mulawin </v>
      </c>
      <c r="E2053" t="str">
        <f ca="1">IFERROR(__xludf.DUMMYFUNCTION("""COMPUTED_VALUE"""),"TV Series 2004– )")</f>
        <v>TV Series 2004– )</v>
      </c>
    </row>
    <row r="2054" spans="1:5" ht="13" x14ac:dyDescent="0.15">
      <c r="A2054" s="5" t="s">
        <v>2356</v>
      </c>
      <c r="D2054" t="str">
        <f ca="1">IFERROR(__xludf.DUMMYFUNCTION("split(A2054,""("")"),"Mummies Alive! ")</f>
        <v xml:space="preserve">Mummies Alive! </v>
      </c>
      <c r="E2054" t="str">
        <f ca="1">IFERROR(__xludf.DUMMYFUNCTION("""COMPUTED_VALUE"""),"TV Series 1997–1998)")</f>
        <v>TV Series 1997–1998)</v>
      </c>
    </row>
    <row r="2055" spans="1:5" ht="13" x14ac:dyDescent="0.15">
      <c r="A2055" s="5" t="s">
        <v>2357</v>
      </c>
      <c r="D2055" t="str">
        <f ca="1">IFERROR(__xludf.DUMMYFUNCTION("split(A2055,""("")"),"Mundo de fieras ")</f>
        <v xml:space="preserve">Mundo de fieras </v>
      </c>
      <c r="E2055" t="str">
        <f ca="1">IFERROR(__xludf.DUMMYFUNCTION("""COMPUTED_VALUE"""),"TV Series 2006–2007)")</f>
        <v>TV Series 2006–2007)</v>
      </c>
    </row>
    <row r="2056" spans="1:5" ht="13" x14ac:dyDescent="0.15">
      <c r="A2056" s="5" t="s">
        <v>2358</v>
      </c>
      <c r="D2056" t="str">
        <f ca="1">IFERROR(__xludf.DUMMYFUNCTION("split(A2056,""("")"),"Munting heredera ")</f>
        <v xml:space="preserve">Munting heredera </v>
      </c>
      <c r="E2056" t="str">
        <f ca="1">IFERROR(__xludf.DUMMYFUNCTION("""COMPUTED_VALUE"""),"TV Series 2011– )")</f>
        <v>TV Series 2011– )</v>
      </c>
    </row>
    <row r="2057" spans="1:5" ht="13" x14ac:dyDescent="0.15">
      <c r="A2057" s="5" t="s">
        <v>475</v>
      </c>
      <c r="D2057" t="str">
        <f ca="1">IFERROR(__xludf.DUMMYFUNCTION("split(A2057,""("")"),"Muppet Babies ")</f>
        <v xml:space="preserve">Muppet Babies </v>
      </c>
      <c r="E2057" t="str">
        <f ca="1">IFERROR(__xludf.DUMMYFUNCTION("""COMPUTED_VALUE"""),"TV Series 1984–1991)")</f>
        <v>TV Series 1984–1991)</v>
      </c>
    </row>
    <row r="2058" spans="1:5" ht="13" x14ac:dyDescent="0.15">
      <c r="A2058" s="5" t="s">
        <v>2359</v>
      </c>
      <c r="D2058" t="str">
        <f ca="1">IFERROR(__xludf.DUMMYFUNCTION("split(A2058,""("")"),"Murder Call ")</f>
        <v xml:space="preserve">Murder Call </v>
      </c>
      <c r="E2058" t="str">
        <f ca="1">IFERROR(__xludf.DUMMYFUNCTION("""COMPUTED_VALUE"""),"TV Series 1997–1999)")</f>
        <v>TV Series 1997–1999)</v>
      </c>
    </row>
    <row r="2059" spans="1:5" ht="13" x14ac:dyDescent="0.15">
      <c r="A2059" s="5" t="s">
        <v>2360</v>
      </c>
      <c r="D2059" t="str">
        <f ca="1">IFERROR(__xludf.DUMMYFUNCTION("split(A2059,""("")"),"Murder, She Wrote ")</f>
        <v xml:space="preserve">Murder, She Wrote </v>
      </c>
      <c r="E2059" t="str">
        <f ca="1">IFERROR(__xludf.DUMMYFUNCTION("""COMPUTED_VALUE"""),"TV Series 1984–1996)")</f>
        <v>TV Series 1984–1996)</v>
      </c>
    </row>
    <row r="2060" spans="1:5" ht="13" x14ac:dyDescent="0.15">
      <c r="A2060" s="5" t="s">
        <v>2361</v>
      </c>
      <c r="D2060" t="str">
        <f ca="1">IFERROR(__xludf.DUMMYFUNCTION("split(A2060,""("")"),"Murdoch Mysteries ")</f>
        <v xml:space="preserve">Murdoch Mysteries </v>
      </c>
      <c r="E2060" t="str">
        <f ca="1">IFERROR(__xludf.DUMMYFUNCTION("""COMPUTED_VALUE"""),"TV Series 2008– )")</f>
        <v>TV Series 2008– )</v>
      </c>
    </row>
    <row r="2061" spans="1:5" ht="13" x14ac:dyDescent="0.15">
      <c r="A2061" s="5" t="s">
        <v>284</v>
      </c>
      <c r="D2061" t="str">
        <f ca="1">IFERROR(__xludf.DUMMYFUNCTION("split(A2061,""("")"),"Murphy Brown ")</f>
        <v xml:space="preserve">Murphy Brown </v>
      </c>
      <c r="E2061" t="str">
        <f ca="1">IFERROR(__xludf.DUMMYFUNCTION("""COMPUTED_VALUE"""),"TV Series 1988–2018)")</f>
        <v>TV Series 1988–2018)</v>
      </c>
    </row>
    <row r="2062" spans="1:5" ht="13" x14ac:dyDescent="0.15">
      <c r="A2062" s="5" t="s">
        <v>621</v>
      </c>
      <c r="D2062" t="str">
        <f ca="1">IFERROR(__xludf.DUMMYFUNCTION("split(A2062,""("")"),"Murphy Brown ")</f>
        <v xml:space="preserve">Murphy Brown </v>
      </c>
      <c r="E2062" t="str">
        <f ca="1">IFERROR(__xludf.DUMMYFUNCTION("""COMPUTED_VALUE"""),"TV Series 2018– )")</f>
        <v>TV Series 2018– )</v>
      </c>
    </row>
    <row r="2063" spans="1:5" ht="13" x14ac:dyDescent="0.15">
      <c r="A2063" s="5" t="s">
        <v>2362</v>
      </c>
      <c r="D2063" t="str">
        <f ca="1">IFERROR(__xludf.DUMMYFUNCTION("split(A2063,""("")"),"Musée Eden ")</f>
        <v xml:space="preserve">Musée Eden </v>
      </c>
      <c r="E2063" t="str">
        <f ca="1">IFERROR(__xludf.DUMMYFUNCTION("""COMPUTED_VALUE"""),"TV Series 2010– )")</f>
        <v>TV Series 2010– )</v>
      </c>
    </row>
    <row r="2064" spans="1:5" ht="13" x14ac:dyDescent="0.15">
      <c r="A2064" s="5" t="s">
        <v>2363</v>
      </c>
      <c r="D2064" t="str">
        <f ca="1">IFERROR(__xludf.DUMMYFUNCTION("split(A2064,""("")"),"Mutant X ")</f>
        <v xml:space="preserve">Mutant X </v>
      </c>
      <c r="E2064" t="str">
        <f ca="1">IFERROR(__xludf.DUMMYFUNCTION("""COMPUTED_VALUE"""),"TV Series 2001–2004)")</f>
        <v>TV Series 2001–2004)</v>
      </c>
    </row>
    <row r="2065" spans="1:5" ht="13" x14ac:dyDescent="0.15">
      <c r="A2065" s="5" t="s">
        <v>2364</v>
      </c>
      <c r="D2065" t="str">
        <f ca="1">IFERROR(__xludf.DUMMYFUNCTION("split(A2065,""("")"),"My 600-lb Life ")</f>
        <v xml:space="preserve">My 600-lb Life </v>
      </c>
      <c r="E2065" t="str">
        <f ca="1">IFERROR(__xludf.DUMMYFUNCTION("""COMPUTED_VALUE"""),"TV Series 2012– )")</f>
        <v>TV Series 2012– )</v>
      </c>
    </row>
    <row r="2066" spans="1:5" ht="13" x14ac:dyDescent="0.15">
      <c r="A2066" s="5" t="s">
        <v>622</v>
      </c>
      <c r="D2066" t="str">
        <f ca="1">IFERROR(__xludf.DUMMYFUNCTION("split(A2066,""("")"),"My Big Fat Fabulous Life ")</f>
        <v xml:space="preserve">My Big Fat Fabulous Life </v>
      </c>
      <c r="E2066" t="str">
        <f ca="1">IFERROR(__xludf.DUMMYFUNCTION("""COMPUTED_VALUE"""),"TV Series 2015– )")</f>
        <v>TV Series 2015– )</v>
      </c>
    </row>
    <row r="2067" spans="1:5" ht="13" x14ac:dyDescent="0.15">
      <c r="A2067" s="5" t="s">
        <v>2365</v>
      </c>
      <c r="D2067" t="str">
        <f ca="1">IFERROR(__xludf.DUMMYFUNCTION("split(A2067,""("")"),"My Big Fat Obnoxious Fiance ")</f>
        <v xml:space="preserve">My Big Fat Obnoxious Fiance </v>
      </c>
      <c r="E2067" t="str">
        <f ca="1">IFERROR(__xludf.DUMMYFUNCTION("""COMPUTED_VALUE"""),"TV Series 2004– )")</f>
        <v>TV Series 2004– )</v>
      </c>
    </row>
    <row r="2068" spans="1:5" ht="13" x14ac:dyDescent="0.15">
      <c r="A2068" s="5" t="s">
        <v>2366</v>
      </c>
      <c r="D2068" t="str">
        <f ca="1">IFERROR(__xludf.DUMMYFUNCTION("split(A2068,""("")"),"My Brilliant Friend ")</f>
        <v xml:space="preserve">My Brilliant Friend </v>
      </c>
      <c r="E2068" t="str">
        <f ca="1">IFERROR(__xludf.DUMMYFUNCTION("""COMPUTED_VALUE"""),"TV Series 2018– )")</f>
        <v>TV Series 2018– )</v>
      </c>
    </row>
    <row r="2069" spans="1:5" ht="13" x14ac:dyDescent="0.15">
      <c r="A2069" s="5" t="s">
        <v>2367</v>
      </c>
      <c r="D2069" t="str">
        <f ca="1">IFERROR(__xludf.DUMMYFUNCTION("split(A2069,""("")"),"My Cat from Hell ")</f>
        <v xml:space="preserve">My Cat from Hell </v>
      </c>
      <c r="E2069" t="str">
        <f ca="1">IFERROR(__xludf.DUMMYFUNCTION("""COMPUTED_VALUE"""),"TV Series 2011–2018)")</f>
        <v>TV Series 2011–2018)</v>
      </c>
    </row>
    <row r="2070" spans="1:5" ht="13" x14ac:dyDescent="0.15">
      <c r="A2070" s="5" t="s">
        <v>2368</v>
      </c>
      <c r="D2070" t="str">
        <f ca="1">IFERROR(__xludf.DUMMYFUNCTION("split(A2070,""("")"),"My Crazy Ex ")</f>
        <v xml:space="preserve">My Crazy Ex </v>
      </c>
      <c r="E2070" t="str">
        <f ca="1">IFERROR(__xludf.DUMMYFUNCTION("""COMPUTED_VALUE"""),"TV Series 2014– )")</f>
        <v>TV Series 2014– )</v>
      </c>
    </row>
    <row r="2071" spans="1:5" ht="13" x14ac:dyDescent="0.15">
      <c r="A2071" s="5" t="s">
        <v>2369</v>
      </c>
      <c r="D2071" t="str">
        <f ca="1">IFERROR(__xludf.DUMMYFUNCTION("split(A2071,""("")"),"My Diet Is Better Than Yours ")</f>
        <v xml:space="preserve">My Diet Is Better Than Yours </v>
      </c>
      <c r="E2071" t="str">
        <f ca="1">IFERROR(__xludf.DUMMYFUNCTION("""COMPUTED_VALUE"""),"TV Series 2016– )")</f>
        <v>TV Series 2016– )</v>
      </c>
    </row>
    <row r="2072" spans="1:5" ht="13" x14ac:dyDescent="0.15">
      <c r="A2072" s="5" t="s">
        <v>2370</v>
      </c>
      <c r="D2072" t="str">
        <f ca="1">IFERROR(__xludf.DUMMYFUNCTION("split(A2072,""("")"),"My Family ")</f>
        <v xml:space="preserve">My Family </v>
      </c>
      <c r="E2072" t="str">
        <f ca="1">IFERROR(__xludf.DUMMYFUNCTION("""COMPUTED_VALUE"""),"TV Series 2000–2011)")</f>
        <v>TV Series 2000–2011)</v>
      </c>
    </row>
    <row r="2073" spans="1:5" ht="13" x14ac:dyDescent="0.15">
      <c r="A2073" s="5" t="s">
        <v>2371</v>
      </c>
      <c r="D2073" t="str">
        <f ca="1">IFERROR(__xludf.DUMMYFUNCTION("split(A2073,""("")"),"My Girlfriend Is a Gumiho ")</f>
        <v xml:space="preserve">My Girlfriend Is a Gumiho </v>
      </c>
      <c r="E2073" t="str">
        <f ca="1">IFERROR(__xludf.DUMMYFUNCTION("""COMPUTED_VALUE"""),"TV Series 2010– )")</f>
        <v>TV Series 2010– )</v>
      </c>
    </row>
    <row r="2074" spans="1:5" ht="13" x14ac:dyDescent="0.15">
      <c r="A2074" s="5" t="s">
        <v>2372</v>
      </c>
      <c r="D2074" t="str">
        <f ca="1">IFERROR(__xludf.DUMMYFUNCTION("split(A2074,""("")"),"My Guardian Characters ")</f>
        <v xml:space="preserve">My Guardian Characters </v>
      </c>
      <c r="E2074" t="str">
        <f ca="1">IFERROR(__xludf.DUMMYFUNCTION("""COMPUTED_VALUE"""),"TV Series 2007–2008)")</f>
        <v>TV Series 2007–2008)</v>
      </c>
    </row>
    <row r="2075" spans="1:5" ht="13" x14ac:dyDescent="0.15">
      <c r="A2075" s="5" t="s">
        <v>2373</v>
      </c>
      <c r="D2075" t="str">
        <f ca="1">IFERROR(__xludf.DUMMYFUNCTION("split(A2075,""("")"),"My Gym Partner's a Monkey ")</f>
        <v xml:space="preserve">My Gym Partner's a Monkey </v>
      </c>
      <c r="E2075" t="str">
        <f ca="1">IFERROR(__xludf.DUMMYFUNCTION("""COMPUTED_VALUE"""),"TV Series 2005–2008)")</f>
        <v>TV Series 2005–2008)</v>
      </c>
    </row>
    <row r="2076" spans="1:5" ht="13" x14ac:dyDescent="0.15">
      <c r="A2076" s="5" t="s">
        <v>2374</v>
      </c>
      <c r="D2076" t="str">
        <f ca="1">IFERROR(__xludf.DUMMYFUNCTION("split(A2076,""("")"),"My Hero Academia ")</f>
        <v xml:space="preserve">My Hero Academia </v>
      </c>
      <c r="E2076" t="str">
        <f ca="1">IFERROR(__xludf.DUMMYFUNCTION("""COMPUTED_VALUE"""),"TV Series 2016– )")</f>
        <v>TV Series 2016– )</v>
      </c>
    </row>
    <row r="2077" spans="1:5" ht="13" x14ac:dyDescent="0.15">
      <c r="A2077" s="5" t="s">
        <v>623</v>
      </c>
      <c r="D2077" t="str">
        <f ca="1">IFERROR(__xludf.DUMMYFUNCTION("split(A2077,""("")"),"My Little Pony: Friendship Is Magic ")</f>
        <v xml:space="preserve">My Little Pony: Friendship Is Magic </v>
      </c>
      <c r="E2077" t="str">
        <f ca="1">IFERROR(__xludf.DUMMYFUNCTION("""COMPUTED_VALUE"""),"TV Series 2010–2020)")</f>
        <v>TV Series 2010–2020)</v>
      </c>
    </row>
    <row r="2078" spans="1:5" ht="13" x14ac:dyDescent="0.15">
      <c r="A2078" s="5" t="s">
        <v>2375</v>
      </c>
      <c r="D2078" t="str">
        <f ca="1">IFERROR(__xludf.DUMMYFUNCTION("split(A2078,""("")"),"My Lovely Sam-Soon ")</f>
        <v xml:space="preserve">My Lovely Sam-Soon </v>
      </c>
      <c r="E2078" t="str">
        <f ca="1">IFERROR(__xludf.DUMMYFUNCTION("""COMPUTED_VALUE"""),"TV Series 2005– )")</f>
        <v>TV Series 2005– )</v>
      </c>
    </row>
    <row r="2079" spans="1:5" ht="13" x14ac:dyDescent="0.15">
      <c r="A2079" s="5" t="s">
        <v>137</v>
      </c>
      <c r="D2079" t="str">
        <f ca="1">IFERROR(__xludf.DUMMYFUNCTION("split(A2079,""("")"),"My Mad Fat Diary ")</f>
        <v xml:space="preserve">My Mad Fat Diary </v>
      </c>
      <c r="E2079" t="str">
        <f ca="1">IFERROR(__xludf.DUMMYFUNCTION("""COMPUTED_VALUE"""),"TV Series 2013–2015)")</f>
        <v>TV Series 2013–2015)</v>
      </c>
    </row>
    <row r="2080" spans="1:5" ht="13" x14ac:dyDescent="0.15">
      <c r="A2080" s="5" t="s">
        <v>2376</v>
      </c>
      <c r="D2080" t="str">
        <f ca="1">IFERROR(__xludf.DUMMYFUNCTION("split(A2080,""("")"),"My Name Is Earl ")</f>
        <v xml:space="preserve">My Name Is Earl </v>
      </c>
      <c r="E2080" t="str">
        <f ca="1">IFERROR(__xludf.DUMMYFUNCTION("""COMPUTED_VALUE"""),"TV Series 2005–2009)")</f>
        <v>TV Series 2005–2009)</v>
      </c>
    </row>
    <row r="2081" spans="1:5" ht="13" x14ac:dyDescent="0.15">
      <c r="A2081" s="5" t="s">
        <v>2377</v>
      </c>
      <c r="D2081" t="str">
        <f ca="1">IFERROR(__xludf.DUMMYFUNCTION("split(A2081,""("")"),"My Parents Are Aliens ")</f>
        <v xml:space="preserve">My Parents Are Aliens </v>
      </c>
      <c r="E2081" t="str">
        <f ca="1">IFERROR(__xludf.DUMMYFUNCTION("""COMPUTED_VALUE"""),"TV Series 1999–2006)")</f>
        <v>TV Series 1999–2006)</v>
      </c>
    </row>
    <row r="2082" spans="1:5" ht="13" x14ac:dyDescent="0.15">
      <c r="A2082" s="5" t="s">
        <v>2378</v>
      </c>
      <c r="D2082" t="str">
        <f ca="1">IFERROR(__xludf.DUMMYFUNCTION("split(A2082,""("")"),"My Secret Identity ")</f>
        <v xml:space="preserve">My Secret Identity </v>
      </c>
      <c r="E2082" t="str">
        <f ca="1">IFERROR(__xludf.DUMMYFUNCTION("""COMPUTED_VALUE"""),"TV Series 1988–1991)")</f>
        <v>TV Series 1988–1991)</v>
      </c>
    </row>
    <row r="2083" spans="1:5" ht="13" x14ac:dyDescent="0.15">
      <c r="A2083" s="5" t="s">
        <v>2379</v>
      </c>
      <c r="D2083" t="str">
        <f ca="1">IFERROR(__xludf.DUMMYFUNCTION("split(A2083,""("")"),"My So-Called Life ")</f>
        <v xml:space="preserve">My So-Called Life </v>
      </c>
      <c r="E2083" t="str">
        <f ca="1">IFERROR(__xludf.DUMMYFUNCTION("""COMPUTED_VALUE"""),"TV Series 1994–1995)")</f>
        <v>TV Series 1994–1995)</v>
      </c>
    </row>
    <row r="2084" spans="1:5" ht="13" x14ac:dyDescent="0.15">
      <c r="A2084" s="5" t="s">
        <v>2380</v>
      </c>
      <c r="D2084" t="str">
        <f ca="1">IFERROR(__xludf.DUMMYFUNCTION("split(A2084,""("")"),"My Strange Addiction ")</f>
        <v xml:space="preserve">My Strange Addiction </v>
      </c>
      <c r="E2084" t="str">
        <f ca="1">IFERROR(__xludf.DUMMYFUNCTION("""COMPUTED_VALUE"""),"TV Series 2010– )")</f>
        <v>TV Series 2010– )</v>
      </c>
    </row>
    <row r="2085" spans="1:5" ht="13" x14ac:dyDescent="0.15">
      <c r="A2085" s="5" t="s">
        <v>2381</v>
      </c>
      <c r="D2085" t="str">
        <f ca="1">IFERROR(__xludf.DUMMYFUNCTION("split(A2085,""("")"),"My Super Sweet 16 ")</f>
        <v xml:space="preserve">My Super Sweet 16 </v>
      </c>
      <c r="E2085" t="str">
        <f ca="1">IFERROR(__xludf.DUMMYFUNCTION("""COMPUTED_VALUE"""),"TV Series 2005– )")</f>
        <v>TV Series 2005– )</v>
      </c>
    </row>
    <row r="2086" spans="1:5" ht="13" x14ac:dyDescent="0.15">
      <c r="A2086" s="5" t="s">
        <v>2382</v>
      </c>
      <c r="D2086" t="str">
        <f ca="1">IFERROR(__xludf.DUMMYFUNCTION("split(A2086,""("")"),"My Two Dads ")</f>
        <v xml:space="preserve">My Two Dads </v>
      </c>
      <c r="E2086" t="str">
        <f ca="1">IFERROR(__xludf.DUMMYFUNCTION("""COMPUTED_VALUE"""),"TV Series 1987–1990)")</f>
        <v>TV Series 1987–1990)</v>
      </c>
    </row>
    <row r="2087" spans="1:5" ht="13" x14ac:dyDescent="0.15">
      <c r="A2087" s="5" t="s">
        <v>2383</v>
      </c>
      <c r="D2087" t="str">
        <f ca="1">IFERROR(__xludf.DUMMYFUNCTION("split(A2087,""("")"),"My Virgin Kitchen ")</f>
        <v xml:space="preserve">My Virgin Kitchen </v>
      </c>
      <c r="E2087" t="str">
        <f ca="1">IFERROR(__xludf.DUMMYFUNCTION("""COMPUTED_VALUE"""),"TV Series 2010– )")</f>
        <v>TV Series 2010– )</v>
      </c>
    </row>
    <row r="2088" spans="1:5" ht="13" x14ac:dyDescent="0.15">
      <c r="A2088" s="5" t="s">
        <v>2384</v>
      </c>
      <c r="D2088" t="str">
        <f ca="1">IFERROR(__xludf.DUMMYFUNCTION("split(A2088,""("")"),"My Wife and Kids ")</f>
        <v xml:space="preserve">My Wife and Kids </v>
      </c>
      <c r="E2088" t="str">
        <f ca="1">IFERROR(__xludf.DUMMYFUNCTION("""COMPUTED_VALUE"""),"TV Series 2001–2005)")</f>
        <v>TV Series 2001–2005)</v>
      </c>
    </row>
    <row r="2089" spans="1:5" ht="13" x14ac:dyDescent="0.15">
      <c r="A2089" s="5" t="s">
        <v>2385</v>
      </c>
      <c r="D2089" t="str">
        <f ca="1">IFERROR(__xludf.DUMMYFUNCTION("split(A2089,""("")"),"Mystery Science Theater 3000 ")</f>
        <v xml:space="preserve">Mystery Science Theater 3000 </v>
      </c>
      <c r="E2089" t="str">
        <f ca="1">IFERROR(__xludf.DUMMYFUNCTION("""COMPUTED_VALUE"""),"TV Series 1988–1999)")</f>
        <v>TV Series 1988–1999)</v>
      </c>
    </row>
    <row r="2090" spans="1:5" ht="13" x14ac:dyDescent="0.15">
      <c r="A2090" s="5" t="s">
        <v>2386</v>
      </c>
      <c r="D2090" t="str">
        <f ca="1">IFERROR(__xludf.DUMMYFUNCTION("split(A2090,""("")"),"Mystery!: Cadfael ")</f>
        <v xml:space="preserve">Mystery!: Cadfael </v>
      </c>
      <c r="E2090" t="str">
        <f ca="1">IFERROR(__xludf.DUMMYFUNCTION("""COMPUTED_VALUE"""),"TV Series 1994–1996)")</f>
        <v>TV Series 1994–1996)</v>
      </c>
    </row>
    <row r="2091" spans="1:5" ht="13" x14ac:dyDescent="0.15">
      <c r="A2091" s="5" t="s">
        <v>2387</v>
      </c>
      <c r="D2091" t="str">
        <f ca="1">IFERROR(__xludf.DUMMYFUNCTION("split(A2091,""("")"),"Mystic Knights of Tir Na Nog ")</f>
        <v xml:space="preserve">Mystic Knights of Tir Na Nog </v>
      </c>
      <c r="E2091" t="str">
        <f ca="1">IFERROR(__xludf.DUMMYFUNCTION("""COMPUTED_VALUE"""),"TV Series 1998– )")</f>
        <v>TV Series 1998– )</v>
      </c>
    </row>
    <row r="2092" spans="1:5" ht="13" x14ac:dyDescent="0.15">
      <c r="A2092" s="5" t="s">
        <v>2388</v>
      </c>
      <c r="D2092" t="str">
        <f ca="1">IFERROR(__xludf.DUMMYFUNCTION("split(A2092,""("")"),"MythBusters ")</f>
        <v xml:space="preserve">MythBusters </v>
      </c>
      <c r="E2092" t="str">
        <f ca="1">IFERROR(__xludf.DUMMYFUNCTION("""COMPUTED_VALUE"""),"TV Series 2003– )")</f>
        <v>TV Series 2003– )</v>
      </c>
    </row>
    <row r="2093" spans="1:5" ht="13" x14ac:dyDescent="0.15">
      <c r="A2093" s="5" t="s">
        <v>2389</v>
      </c>
      <c r="D2093" t="str">
        <f ca="1">IFERROR(__xludf.DUMMYFUNCTION("split(A2093,""("")"),"MythQuest ")</f>
        <v xml:space="preserve">MythQuest </v>
      </c>
      <c r="E2093" t="str">
        <f ca="1">IFERROR(__xludf.DUMMYFUNCTION("""COMPUTED_VALUE"""),"TV Series 2001– )")</f>
        <v>TV Series 2001– )</v>
      </c>
    </row>
    <row r="2094" spans="1:5" ht="13" x14ac:dyDescent="0.15">
      <c r="A2094" s="5" t="s">
        <v>2390</v>
      </c>
      <c r="D2094" t="str">
        <f ca="1">IFERROR(__xludf.DUMMYFUNCTION("split(A2094,""("")"),"Naagin ")</f>
        <v xml:space="preserve">Naagin </v>
      </c>
      <c r="E2094" t="str">
        <f ca="1">IFERROR(__xludf.DUMMYFUNCTION("""COMPUTED_VALUE"""),"TV Series 2017–2019)")</f>
        <v>TV Series 2017–2019)</v>
      </c>
    </row>
    <row r="2095" spans="1:5" ht="13" x14ac:dyDescent="0.15">
      <c r="A2095" s="5" t="s">
        <v>2391</v>
      </c>
      <c r="D2095" t="str">
        <f ca="1">IFERROR(__xludf.DUMMYFUNCTION("split(A2095,""("")"),"Nadia: The Secret of Blue Water ")</f>
        <v xml:space="preserve">Nadia: The Secret of Blue Water </v>
      </c>
      <c r="E2095" t="str">
        <f ca="1">IFERROR(__xludf.DUMMYFUNCTION("""COMPUTED_VALUE"""),"TV Series 1990– )")</f>
        <v>TV Series 1990– )</v>
      </c>
    </row>
    <row r="2096" spans="1:5" ht="13" x14ac:dyDescent="0.15">
      <c r="A2096" s="5" t="s">
        <v>2392</v>
      </c>
      <c r="D2096" t="str">
        <f ca="1">IFERROR(__xludf.DUMMYFUNCTION("split(A2096,""("")"),"Nadiya's British Food Adventure ")</f>
        <v xml:space="preserve">Nadiya's British Food Adventure </v>
      </c>
      <c r="E2096" t="str">
        <f ca="1">IFERROR(__xludf.DUMMYFUNCTION("""COMPUTED_VALUE"""),"TV Series 2017)")</f>
        <v>TV Series 2017)</v>
      </c>
    </row>
    <row r="2097" spans="1:5" ht="13" x14ac:dyDescent="0.15">
      <c r="A2097" s="5" t="s">
        <v>2393</v>
      </c>
      <c r="D2097" t="str">
        <f ca="1">IFERROR(__xludf.DUMMYFUNCTION("split(A2097,""("")"),"Nadrazí ")</f>
        <v xml:space="preserve">Nadrazí </v>
      </c>
      <c r="E2097" t="str">
        <f ca="1">IFERROR(__xludf.DUMMYFUNCTION("""COMPUTED_VALUE"""),"TV Series 2017– )")</f>
        <v>TV Series 2017– )</v>
      </c>
    </row>
    <row r="2098" spans="1:5" ht="13" x14ac:dyDescent="0.15">
      <c r="A2098" s="5" t="s">
        <v>2394</v>
      </c>
      <c r="D2098" t="str">
        <f ca="1">IFERROR(__xludf.DUMMYFUNCTION("split(A2098,""("")"),"Nailed It! ")</f>
        <v xml:space="preserve">Nailed It! </v>
      </c>
      <c r="E2098" t="str">
        <f ca="1">IFERROR(__xludf.DUMMYFUNCTION("""COMPUTED_VALUE"""),"TV Series 2018– )")</f>
        <v>TV Series 2018– )</v>
      </c>
    </row>
    <row r="2099" spans="1:5" ht="13" x14ac:dyDescent="0.15">
      <c r="A2099" s="5" t="s">
        <v>2395</v>
      </c>
      <c r="D2099" t="str">
        <f ca="1">IFERROR(__xludf.DUMMYFUNCTION("split(A2099,""("")"),"Najica: Blitz Tactics ")</f>
        <v xml:space="preserve">Najica: Blitz Tactics </v>
      </c>
      <c r="E2099" t="str">
        <f ca="1">IFERROR(__xludf.DUMMYFUNCTION("""COMPUTED_VALUE"""),"TV Series 2001– )")</f>
        <v>TV Series 2001– )</v>
      </c>
    </row>
    <row r="2100" spans="1:5" ht="13" x14ac:dyDescent="0.15">
      <c r="A2100" s="5" t="s">
        <v>2396</v>
      </c>
      <c r="D2100" t="str">
        <f ca="1">IFERROR(__xludf.DUMMYFUNCTION("split(A2100,""("")"),"Naked and Afraid ")</f>
        <v xml:space="preserve">Naked and Afraid </v>
      </c>
      <c r="E2100" t="str">
        <f ca="1">IFERROR(__xludf.DUMMYFUNCTION("""COMPUTED_VALUE"""),"TV Series 2013– )")</f>
        <v>TV Series 2013– )</v>
      </c>
    </row>
    <row r="2101" spans="1:5" ht="13" x14ac:dyDescent="0.15">
      <c r="A2101" s="5" t="s">
        <v>2397</v>
      </c>
      <c r="D2101" t="str">
        <f ca="1">IFERROR(__xludf.DUMMYFUNCTION("split(A2101,""("")"),"Naked and Marooned with Ed Stafford ")</f>
        <v xml:space="preserve">Naked and Marooned with Ed Stafford </v>
      </c>
      <c r="E2101" t="str">
        <f ca="1">IFERROR(__xludf.DUMMYFUNCTION("""COMPUTED_VALUE"""),"TV Series 2013– )")</f>
        <v>TV Series 2013– )</v>
      </c>
    </row>
    <row r="2102" spans="1:5" ht="13" x14ac:dyDescent="0.15">
      <c r="A2102" s="5" t="s">
        <v>2398</v>
      </c>
      <c r="D2102" t="str">
        <f ca="1">IFERROR(__xludf.DUMMYFUNCTION("split(A2102,""("")"),"Naked Attraction ")</f>
        <v xml:space="preserve">Naked Attraction </v>
      </c>
      <c r="E2102" t="str">
        <f ca="1">IFERROR(__xludf.DUMMYFUNCTION("""COMPUTED_VALUE"""),"TV Series 2016– )")</f>
        <v>TV Series 2016– )</v>
      </c>
    </row>
    <row r="2103" spans="1:5" ht="13" x14ac:dyDescent="0.15">
      <c r="A2103" s="5" t="s">
        <v>2399</v>
      </c>
      <c r="D2103" t="str">
        <f ca="1">IFERROR(__xludf.DUMMYFUNCTION("split(A2103,""("")"),"Namoos ")</f>
        <v xml:space="preserve">Namoos </v>
      </c>
      <c r="E2103" t="str">
        <f ca="1">IFERROR(__xludf.DUMMYFUNCTION("""COMPUTED_VALUE"""),"TV Series 2006– )")</f>
        <v>TV Series 2006– )</v>
      </c>
    </row>
    <row r="2104" spans="1:5" ht="13" x14ac:dyDescent="0.15">
      <c r="A2104" s="5" t="s">
        <v>18</v>
      </c>
      <c r="D2104" t="str">
        <f ca="1">IFERROR(__xludf.DUMMYFUNCTION("split(A2104,""("")"),"Nancy Drew ")</f>
        <v xml:space="preserve">Nancy Drew </v>
      </c>
      <c r="E2104" t="str">
        <f ca="1">IFERROR(__xludf.DUMMYFUNCTION("""COMPUTED_VALUE"""),"TV Series 2019– )")</f>
        <v>TV Series 2019– )</v>
      </c>
    </row>
    <row r="2105" spans="1:5" ht="13" x14ac:dyDescent="0.15">
      <c r="A2105" s="5" t="s">
        <v>224</v>
      </c>
      <c r="D2105" t="str">
        <f ca="1">IFERROR(__xludf.DUMMYFUNCTION("split(A2105,""("")"),"Narcos ")</f>
        <v xml:space="preserve">Narcos </v>
      </c>
      <c r="E2105" t="str">
        <f ca="1">IFERROR(__xludf.DUMMYFUNCTION("""COMPUTED_VALUE"""),"TV Series 2015–2017)")</f>
        <v>TV Series 2015–2017)</v>
      </c>
    </row>
    <row r="2106" spans="1:5" ht="13" x14ac:dyDescent="0.15">
      <c r="A2106" s="5" t="s">
        <v>195</v>
      </c>
      <c r="D2106" t="str">
        <f ca="1">IFERROR(__xludf.DUMMYFUNCTION("split(A2106,""("")"),"Narcos: Mexico ")</f>
        <v xml:space="preserve">Narcos: Mexico </v>
      </c>
      <c r="E2106" t="str">
        <f ca="1">IFERROR(__xludf.DUMMYFUNCTION("""COMPUTED_VALUE"""),"TV Series 2018– )")</f>
        <v>TV Series 2018– )</v>
      </c>
    </row>
    <row r="2107" spans="1:5" ht="13" x14ac:dyDescent="0.15">
      <c r="A2107" s="5" t="s">
        <v>138</v>
      </c>
      <c r="D2107" t="str">
        <f ca="1">IFERROR(__xludf.DUMMYFUNCTION("split(A2107,""("")"),"Naruto ")</f>
        <v xml:space="preserve">Naruto </v>
      </c>
      <c r="E2107" t="str">
        <f ca="1">IFERROR(__xludf.DUMMYFUNCTION("""COMPUTED_VALUE"""),"TV Series 2002–2007)")</f>
        <v>TV Series 2002–2007)</v>
      </c>
    </row>
    <row r="2108" spans="1:5" ht="13" x14ac:dyDescent="0.15">
      <c r="A2108" s="5" t="s">
        <v>101</v>
      </c>
      <c r="D2108" t="str">
        <f ca="1">IFERROR(__xludf.DUMMYFUNCTION("split(A2108,""("")"),"Naruto: Shippûden ")</f>
        <v xml:space="preserve">Naruto: Shippûden </v>
      </c>
      <c r="E2108" t="str">
        <f ca="1">IFERROR(__xludf.DUMMYFUNCTION("""COMPUTED_VALUE"""),"TV Series 2007–2017)")</f>
        <v>TV Series 2007–2017)</v>
      </c>
    </row>
    <row r="2109" spans="1:5" ht="13" x14ac:dyDescent="0.15">
      <c r="A2109" s="5" t="s">
        <v>2400</v>
      </c>
      <c r="D2109" t="str">
        <f ca="1">IFERROR(__xludf.DUMMYFUNCTION("split(A2109,""("")"),"Nasaan ka, Elisa? ")</f>
        <v xml:space="preserve">Nasaan ka, Elisa? </v>
      </c>
      <c r="E2109" t="str">
        <f ca="1">IFERROR(__xludf.DUMMYFUNCTION("""COMPUTED_VALUE"""),"TV Series 2011–2012)")</f>
        <v>TV Series 2011–2012)</v>
      </c>
    </row>
    <row r="2110" spans="1:5" ht="13" x14ac:dyDescent="0.15">
      <c r="A2110" s="5" t="s">
        <v>285</v>
      </c>
      <c r="D2110" t="str">
        <f ca="1">IFERROR(__xludf.DUMMYFUNCTION("split(A2110,""("")"),"Nash Bridges ")</f>
        <v xml:space="preserve">Nash Bridges </v>
      </c>
      <c r="E2110" t="str">
        <f ca="1">IFERROR(__xludf.DUMMYFUNCTION("""COMPUTED_VALUE"""),"TV Series 1996–2001)")</f>
        <v>TV Series 1996–2001)</v>
      </c>
    </row>
    <row r="2111" spans="1:5" ht="13" x14ac:dyDescent="0.15">
      <c r="A2111" s="5" t="s">
        <v>2401</v>
      </c>
      <c r="D2111" t="str">
        <f ca="1">IFERROR(__xludf.DUMMYFUNCTION("split(A2111,""("")"),"Nashville ")</f>
        <v xml:space="preserve">Nashville </v>
      </c>
      <c r="E2111" t="str">
        <f ca="1">IFERROR(__xludf.DUMMYFUNCTION("""COMPUTED_VALUE"""),"TV Series 2012–2018)")</f>
        <v>TV Series 2012–2018)</v>
      </c>
    </row>
    <row r="2112" spans="1:5" ht="13" x14ac:dyDescent="0.15">
      <c r="A2112" s="5" t="s">
        <v>2402</v>
      </c>
      <c r="D2112" t="str">
        <f ca="1">IFERROR(__xludf.DUMMYFUNCTION("split(A2112,""("")"),"Nasi ")</f>
        <v xml:space="preserve">Nasi </v>
      </c>
      <c r="E2112" t="str">
        <f ca="1">IFERROR(__xludf.DUMMYFUNCTION("""COMPUTED_VALUE"""),"TV Series 2016– )")</f>
        <v>TV Series 2016– )</v>
      </c>
    </row>
    <row r="2113" spans="1:5" ht="13" x14ac:dyDescent="0.15">
      <c r="A2113" s="5" t="s">
        <v>2403</v>
      </c>
      <c r="D2113" t="str">
        <f ca="1">IFERROR(__xludf.DUMMYFUNCTION("split(A2113,""("")"),"Nate Is Late ")</f>
        <v xml:space="preserve">Nate Is Late </v>
      </c>
      <c r="E2113" t="str">
        <f ca="1">IFERROR(__xludf.DUMMYFUNCTION("""COMPUTED_VALUE"""),"TV Series 2018)")</f>
        <v>TV Series 2018)</v>
      </c>
    </row>
    <row r="2114" spans="1:5" ht="13" x14ac:dyDescent="0.15">
      <c r="A2114" s="5" t="s">
        <v>2404</v>
      </c>
      <c r="D2114" t="str">
        <f ca="1">IFERROR(__xludf.DUMMYFUNCTION("split(A2114,""("")"),"Natsume's Book of Friends ")</f>
        <v xml:space="preserve">Natsume's Book of Friends </v>
      </c>
      <c r="E2114" t="str">
        <f ca="1">IFERROR(__xludf.DUMMYFUNCTION("""COMPUTED_VALUE"""),"TV Series 2008– )")</f>
        <v>TV Series 2008– )</v>
      </c>
    </row>
    <row r="2115" spans="1:5" ht="13" x14ac:dyDescent="0.15">
      <c r="A2115" s="5" t="s">
        <v>2405</v>
      </c>
      <c r="D2115" t="str">
        <f ca="1">IFERROR(__xludf.DUMMYFUNCTION("split(A2115,""("")"),"Natyla ")</f>
        <v xml:space="preserve">Natyla </v>
      </c>
      <c r="E2115" t="str">
        <f ca="1">IFERROR(__xludf.DUMMYFUNCTION("""COMPUTED_VALUE"""),"TV Series 2014– )")</f>
        <v>TV Series 2014– )</v>
      </c>
    </row>
    <row r="2116" spans="1:5" ht="13" x14ac:dyDescent="0.15">
      <c r="A2116" s="5" t="s">
        <v>2406</v>
      </c>
      <c r="D2116" t="str">
        <f ca="1">IFERROR(__xludf.DUMMYFUNCTION("split(A2116,""("")"),"NCIS ")</f>
        <v xml:space="preserve">NCIS </v>
      </c>
      <c r="E2116" t="str">
        <f ca="1">IFERROR(__xludf.DUMMYFUNCTION("""COMPUTED_VALUE"""),"TV Series 2003– )")</f>
        <v>TV Series 2003– )</v>
      </c>
    </row>
    <row r="2117" spans="1:5" ht="13" x14ac:dyDescent="0.15">
      <c r="A2117" s="5" t="s">
        <v>624</v>
      </c>
      <c r="D2117" t="str">
        <f ca="1">IFERROR(__xludf.DUMMYFUNCTION("split(A2117,""("")"),"NCIS: Los Angeles ")</f>
        <v xml:space="preserve">NCIS: Los Angeles </v>
      </c>
      <c r="E2117" t="str">
        <f ca="1">IFERROR(__xludf.DUMMYFUNCTION("""COMPUTED_VALUE"""),"TV Series 2009– )")</f>
        <v>TV Series 2009– )</v>
      </c>
    </row>
    <row r="2118" spans="1:5" ht="13" x14ac:dyDescent="0.15">
      <c r="A2118" s="5" t="s">
        <v>625</v>
      </c>
      <c r="D2118" t="str">
        <f ca="1">IFERROR(__xludf.DUMMYFUNCTION("split(A2118,""("")"),"NCIS: New Orleans ")</f>
        <v xml:space="preserve">NCIS: New Orleans </v>
      </c>
      <c r="E2118" t="str">
        <f ca="1">IFERROR(__xludf.DUMMYFUNCTION("""COMPUTED_VALUE"""),"TV Series 2014– )")</f>
        <v>TV Series 2014– )</v>
      </c>
    </row>
    <row r="2119" spans="1:5" ht="13" x14ac:dyDescent="0.15">
      <c r="A2119" s="5" t="s">
        <v>2407</v>
      </c>
      <c r="D2119" t="str">
        <f ca="1">IFERROR(__xludf.DUMMYFUNCTION("split(A2119,""("")"),"Ne Vremya ")</f>
        <v xml:space="preserve">Ne Vremya </v>
      </c>
      <c r="E2119" t="str">
        <f ca="1">IFERROR(__xludf.DUMMYFUNCTION("""COMPUTED_VALUE"""),"TV Series 1999–2004)")</f>
        <v>TV Series 1999–2004)</v>
      </c>
    </row>
    <row r="2120" spans="1:5" ht="13" x14ac:dyDescent="0.15">
      <c r="A2120" s="5" t="s">
        <v>2408</v>
      </c>
      <c r="D2120" t="str">
        <f ca="1">IFERROR(__xludf.DUMMYFUNCTION("split(A2120,""("")"),"Necessary Roughness ")</f>
        <v xml:space="preserve">Necessary Roughness </v>
      </c>
      <c r="E2120" t="str">
        <f ca="1">IFERROR(__xludf.DUMMYFUNCTION("""COMPUTED_VALUE"""),"TV Series 2011–2013)")</f>
        <v>TV Series 2011–2013)</v>
      </c>
    </row>
    <row r="2121" spans="1:5" ht="13" x14ac:dyDescent="0.15">
      <c r="A2121" s="5" t="s">
        <v>2409</v>
      </c>
      <c r="D2121" t="str">
        <f ca="1">IFERROR(__xludf.DUMMYFUNCTION("split(A2121,""("")"),"Neighbours ")</f>
        <v xml:space="preserve">Neighbours </v>
      </c>
      <c r="E2121" t="str">
        <f ca="1">IFERROR(__xludf.DUMMYFUNCTION("""COMPUTED_VALUE"""),"TV Series 1985– )")</f>
        <v>TV Series 1985– )</v>
      </c>
    </row>
    <row r="2122" spans="1:5" ht="13" x14ac:dyDescent="0.15">
      <c r="A2122" s="5" t="s">
        <v>2410</v>
      </c>
      <c r="D2122" t="str">
        <f ca="1">IFERROR(__xludf.DUMMYFUNCTION("split(A2122,""("")"),"Nejhater ")</f>
        <v xml:space="preserve">Nejhater </v>
      </c>
      <c r="E2122" t="str">
        <f ca="1">IFERROR(__xludf.DUMMYFUNCTION("""COMPUTED_VALUE"""),"TV Series 2012–2015)")</f>
        <v>TV Series 2012–2015)</v>
      </c>
    </row>
    <row r="2123" spans="1:5" ht="13" x14ac:dyDescent="0.15">
      <c r="A2123" s="5" t="s">
        <v>2411</v>
      </c>
      <c r="D2123" t="str">
        <f ca="1">IFERROR(__xludf.DUMMYFUNCTION("split(A2123,""("")"),"Neon Genesis Evangelion ")</f>
        <v xml:space="preserve">Neon Genesis Evangelion </v>
      </c>
      <c r="E2123" t="str">
        <f ca="1">IFERROR(__xludf.DUMMYFUNCTION("""COMPUTED_VALUE"""),"TV Series 1995–1996)")</f>
        <v>TV Series 1995–1996)</v>
      </c>
    </row>
    <row r="2124" spans="1:5" ht="13" x14ac:dyDescent="0.15">
      <c r="A2124" s="5" t="s">
        <v>2412</v>
      </c>
      <c r="D2124" t="str">
        <f ca="1">IFERROR(__xludf.DUMMYFUNCTION("split(A2124,""("")"),"Neon Joe, Werewolf Hunter ")</f>
        <v xml:space="preserve">Neon Joe, Werewolf Hunter </v>
      </c>
      <c r="E2124" t="str">
        <f ca="1">IFERROR(__xludf.DUMMYFUNCTION("""COMPUTED_VALUE"""),"TV Series 2015– )")</f>
        <v>TV Series 2015– )</v>
      </c>
    </row>
    <row r="2125" spans="1:5" ht="13" x14ac:dyDescent="0.15">
      <c r="A2125" s="5" t="s">
        <v>2413</v>
      </c>
      <c r="D2125" t="str">
        <f ca="1">IFERROR(__xludf.DUMMYFUNCTION("split(A2125,""("")"),"New Amsterdam ")</f>
        <v xml:space="preserve">New Amsterdam </v>
      </c>
      <c r="E2125" t="str">
        <f ca="1">IFERROR(__xludf.DUMMYFUNCTION("""COMPUTED_VALUE"""),"TV Series 2018– )")</f>
        <v>TV Series 2018– )</v>
      </c>
    </row>
    <row r="2126" spans="1:5" ht="13" x14ac:dyDescent="0.15">
      <c r="A2126" s="5" t="s">
        <v>2414</v>
      </c>
      <c r="D2126" t="str">
        <f ca="1">IFERROR(__xludf.DUMMYFUNCTION("split(A2126,""("")"),"New Blood ")</f>
        <v xml:space="preserve">New Blood </v>
      </c>
      <c r="E2126" t="str">
        <f ca="1">IFERROR(__xludf.DUMMYFUNCTION("""COMPUTED_VALUE"""),"TV Series 2016– )")</f>
        <v>TV Series 2016– )</v>
      </c>
    </row>
    <row r="2127" spans="1:5" ht="13" x14ac:dyDescent="0.15">
      <c r="A2127" s="5" t="s">
        <v>2415</v>
      </c>
      <c r="D2127" t="str">
        <f ca="1">IFERROR(__xludf.DUMMYFUNCTION("split(A2127,""("")"),"New Fist of the North Star ")</f>
        <v xml:space="preserve">New Fist of the North Star </v>
      </c>
      <c r="E2127" t="str">
        <f ca="1">IFERROR(__xludf.DUMMYFUNCTION("""COMPUTED_VALUE"""),"TV Series 2003– )")</f>
        <v>TV Series 2003– )</v>
      </c>
    </row>
    <row r="2128" spans="1:5" ht="13" x14ac:dyDescent="0.15">
      <c r="A2128" s="5" t="s">
        <v>2416</v>
      </c>
      <c r="D2128" t="str">
        <f ca="1">IFERROR(__xludf.DUMMYFUNCTION("split(A2128,""("")"),"New Hope Apostolic Church ")</f>
        <v xml:space="preserve">New Hope Apostolic Church </v>
      </c>
      <c r="E2128" t="str">
        <f ca="1">IFERROR(__xludf.DUMMYFUNCTION("""COMPUTED_VALUE"""),"TV Series 2014– )")</f>
        <v>TV Series 2014– )</v>
      </c>
    </row>
    <row r="2129" spans="1:5" ht="13" x14ac:dyDescent="0.15">
      <c r="A2129" s="5" t="s">
        <v>2417</v>
      </c>
      <c r="D2129" t="str">
        <f ca="1">IFERROR(__xludf.DUMMYFUNCTION("split(A2129,""("")"),"New Looney Tunes ")</f>
        <v xml:space="preserve">New Looney Tunes </v>
      </c>
      <c r="E2129" t="str">
        <f ca="1">IFERROR(__xludf.DUMMYFUNCTION("""COMPUTED_VALUE"""),"TV Series 2015–2019)")</f>
        <v>TV Series 2015–2019)</v>
      </c>
    </row>
    <row r="2130" spans="1:5" ht="13" x14ac:dyDescent="0.15">
      <c r="A2130" s="5" t="s">
        <v>2418</v>
      </c>
      <c r="D2130" t="str">
        <f ca="1">IFERROR(__xludf.DUMMYFUNCTION("split(A2130,""("")"),"NewsRadio ")</f>
        <v xml:space="preserve">NewsRadio </v>
      </c>
      <c r="E2130" t="str">
        <f ca="1">IFERROR(__xludf.DUMMYFUNCTION("""COMPUTED_VALUE"""),"TV Series 1995–1999)")</f>
        <v>TV Series 1995–1999)</v>
      </c>
    </row>
    <row r="2131" spans="1:5" ht="13" x14ac:dyDescent="0.15">
      <c r="A2131" s="5" t="s">
        <v>2419</v>
      </c>
      <c r="D2131" t="str">
        <f ca="1">IFERROR(__xludf.DUMMYFUNCTION("split(A2131,""("")"),"Newzoids ")</f>
        <v xml:space="preserve">Newzoids </v>
      </c>
      <c r="E2131" t="str">
        <f ca="1">IFERROR(__xludf.DUMMYFUNCTION("""COMPUTED_VALUE"""),"TV Series 2015– )")</f>
        <v>TV Series 2015– )</v>
      </c>
    </row>
    <row r="2132" spans="1:5" ht="13" x14ac:dyDescent="0.15">
      <c r="A2132" s="5" t="s">
        <v>2420</v>
      </c>
      <c r="D2132" t="str">
        <f ca="1">IFERROR(__xludf.DUMMYFUNCTION("split(A2132,""("")"),"Nexo Knights ")</f>
        <v xml:space="preserve">Nexo Knights </v>
      </c>
      <c r="E2132" t="str">
        <f ca="1">IFERROR(__xludf.DUMMYFUNCTION("""COMPUTED_VALUE"""),"TV Series 2015– )")</f>
        <v>TV Series 2015– )</v>
      </c>
    </row>
    <row r="2133" spans="1:5" ht="13" x14ac:dyDescent="0.15">
      <c r="A2133" s="5" t="s">
        <v>2421</v>
      </c>
      <c r="D2133" t="str">
        <f ca="1">IFERROR(__xludf.DUMMYFUNCTION("split(A2133,""("")"),"Nickelodeon Presents: Inside-Out Boy ")</f>
        <v xml:space="preserve">Nickelodeon Presents: Inside-Out Boy </v>
      </c>
      <c r="E2133" t="str">
        <f ca="1">IFERROR(__xludf.DUMMYFUNCTION("""COMPUTED_VALUE"""),"TV Series 1989–1993)")</f>
        <v>TV Series 1989–1993)</v>
      </c>
    </row>
    <row r="2134" spans="1:5" ht="13" x14ac:dyDescent="0.15">
      <c r="A2134" s="5" t="s">
        <v>2422</v>
      </c>
      <c r="D2134" t="str">
        <f ca="1">IFERROR(__xludf.DUMMYFUNCTION("split(A2134,""("")"),"Nigella Bites ")</f>
        <v xml:space="preserve">Nigella Bites </v>
      </c>
      <c r="E2134" t="str">
        <f ca="1">IFERROR(__xludf.DUMMYFUNCTION("""COMPUTED_VALUE"""),"TV Series 2000– )")</f>
        <v>TV Series 2000– )</v>
      </c>
    </row>
    <row r="2135" spans="1:5" ht="13" x14ac:dyDescent="0.15">
      <c r="A2135" s="5" t="s">
        <v>2423</v>
      </c>
      <c r="D2135" t="str">
        <f ca="1">IFERROR(__xludf.DUMMYFUNCTION("split(A2135,""("")"),"Night club ")</f>
        <v xml:space="preserve">Night club </v>
      </c>
      <c r="E2135" t="str">
        <f ca="1">IFERROR(__xludf.DUMMYFUNCTION("""COMPUTED_VALUE"""),"TV Series 2001–2002)")</f>
        <v>TV Series 2001–2002)</v>
      </c>
    </row>
    <row r="2136" spans="1:5" ht="13" x14ac:dyDescent="0.15">
      <c r="A2136" s="5" t="s">
        <v>2424</v>
      </c>
      <c r="D2136" t="str">
        <f ca="1">IFERROR(__xludf.DUMMYFUNCTION("split(A2136,""("")"),"Night Court ")</f>
        <v xml:space="preserve">Night Court </v>
      </c>
      <c r="E2136" t="str">
        <f ca="1">IFERROR(__xludf.DUMMYFUNCTION("""COMPUTED_VALUE"""),"TV Series 1984–1992)")</f>
        <v>TV Series 1984–1992)</v>
      </c>
    </row>
    <row r="2137" spans="1:5" ht="13" x14ac:dyDescent="0.15">
      <c r="A2137" s="5" t="s">
        <v>2425</v>
      </c>
      <c r="D2137" t="str">
        <f ca="1">IFERROR(__xludf.DUMMYFUNCTION("split(A2137,""("")"),"Night Shift Nurses ")</f>
        <v xml:space="preserve">Night Shift Nurses </v>
      </c>
      <c r="E2137" t="str">
        <f ca="1">IFERROR(__xludf.DUMMYFUNCTION("""COMPUTED_VALUE"""),"TV Series 2000– )")</f>
        <v>TV Series 2000– )</v>
      </c>
    </row>
    <row r="2138" spans="1:5" ht="13" x14ac:dyDescent="0.15">
      <c r="A2138" s="5" t="s">
        <v>225</v>
      </c>
      <c r="D2138" t="str">
        <f ca="1">IFERROR(__xludf.DUMMYFUNCTION("split(A2138,""("")"),"Night Stalker ")</f>
        <v xml:space="preserve">Night Stalker </v>
      </c>
      <c r="E2138" t="str">
        <f ca="1">IFERROR(__xludf.DUMMYFUNCTION("""COMPUTED_VALUE"""),"TV Series 2005– )")</f>
        <v>TV Series 2005– )</v>
      </c>
    </row>
    <row r="2139" spans="1:5" ht="13" x14ac:dyDescent="0.15">
      <c r="A2139" s="5" t="s">
        <v>2426</v>
      </c>
      <c r="D2139" t="str">
        <f ca="1">IFERROR(__xludf.DUMMYFUNCTION("split(A2139,""("")"),"Nightflyers ")</f>
        <v xml:space="preserve">Nightflyers </v>
      </c>
      <c r="E2139" t="str">
        <f ca="1">IFERROR(__xludf.DUMMYFUNCTION("""COMPUTED_VALUE"""),"TV Series 2018– )")</f>
        <v>TV Series 2018– )</v>
      </c>
    </row>
    <row r="2140" spans="1:5" ht="13" x14ac:dyDescent="0.15">
      <c r="A2140" s="5" t="s">
        <v>2427</v>
      </c>
      <c r="D2140" t="str">
        <f ca="1">IFERROR(__xludf.DUMMYFUNCTION("split(A2140,""("")"),"Nightmare Next Door ")</f>
        <v xml:space="preserve">Nightmare Next Door </v>
      </c>
      <c r="E2140" t="str">
        <f ca="1">IFERROR(__xludf.DUMMYFUNCTION("""COMPUTED_VALUE"""),"TV Series 2011– )")</f>
        <v>TV Series 2011– )</v>
      </c>
    </row>
    <row r="2141" spans="1:5" ht="13" x14ac:dyDescent="0.15">
      <c r="A2141" s="5" t="s">
        <v>2428</v>
      </c>
      <c r="D2141" t="str">
        <f ca="1">IFERROR(__xludf.DUMMYFUNCTION("split(A2141,""("")"),"Nightwalker: Midnight Detective ")</f>
        <v xml:space="preserve">Nightwalker: Midnight Detective </v>
      </c>
      <c r="E2141" t="str">
        <f ca="1">IFERROR(__xludf.DUMMYFUNCTION("""COMPUTED_VALUE"""),"TV Series 1998– )")</f>
        <v>TV Series 1998– )</v>
      </c>
    </row>
    <row r="2142" spans="1:5" ht="13" x14ac:dyDescent="0.15">
      <c r="A2142" s="5" t="s">
        <v>443</v>
      </c>
      <c r="D2142" t="str">
        <f ca="1">IFERROR(__xludf.DUMMYFUNCTION("split(A2142,""("")"),"Nikita ")</f>
        <v xml:space="preserve">Nikita </v>
      </c>
      <c r="E2142" t="str">
        <f ca="1">IFERROR(__xludf.DUMMYFUNCTION("""COMPUTED_VALUE"""),"TV Series 2010–2013)")</f>
        <v>TV Series 2010–2013)</v>
      </c>
    </row>
    <row r="2143" spans="1:5" ht="13" x14ac:dyDescent="0.15">
      <c r="A2143" s="5" t="s">
        <v>2429</v>
      </c>
      <c r="D2143" t="str">
        <f ca="1">IFERROR(__xludf.DUMMYFUNCTION("split(A2143,""("")"),"Ninja Scroll: The Series ")</f>
        <v xml:space="preserve">Ninja Scroll: The Series </v>
      </c>
      <c r="E2143" t="str">
        <f ca="1">IFERROR(__xludf.DUMMYFUNCTION("""COMPUTED_VALUE"""),"TV Series 2003– )")</f>
        <v>TV Series 2003– )</v>
      </c>
    </row>
    <row r="2144" spans="1:5" ht="13" x14ac:dyDescent="0.15">
      <c r="A2144" s="5" t="s">
        <v>72</v>
      </c>
      <c r="D2144" t="str">
        <f ca="1">IFERROR(__xludf.DUMMYFUNCTION("split(A2144,""("")"),"Ninja Turtles: The Next Mutation ")</f>
        <v xml:space="preserve">Ninja Turtles: The Next Mutation </v>
      </c>
      <c r="E2144" t="str">
        <f ca="1">IFERROR(__xludf.DUMMYFUNCTION("""COMPUTED_VALUE"""),"TV Series 1997–1998)")</f>
        <v>TV Series 1997–1998)</v>
      </c>
    </row>
    <row r="2145" spans="1:5" ht="13" x14ac:dyDescent="0.15">
      <c r="A2145" s="5" t="s">
        <v>360</v>
      </c>
      <c r="D2145" t="str">
        <f ca="1">IFERROR(__xludf.DUMMYFUNCTION("split(A2145,""("")"),"Nip/Tuck ")</f>
        <v xml:space="preserve">Nip/Tuck </v>
      </c>
      <c r="E2145" t="str">
        <f ca="1">IFERROR(__xludf.DUMMYFUNCTION("""COMPUTED_VALUE"""),"TV Series 2003–2010)")</f>
        <v>TV Series 2003–2010)</v>
      </c>
    </row>
    <row r="2146" spans="1:5" ht="13" x14ac:dyDescent="0.15">
      <c r="A2146" s="5" t="s">
        <v>2430</v>
      </c>
      <c r="D2146" t="str">
        <f ca="1">IFERROR(__xludf.DUMMYFUNCTION("split(A2146,""("")"),"Nirvana in Fire ")</f>
        <v xml:space="preserve">Nirvana in Fire </v>
      </c>
      <c r="E2146" t="str">
        <f ca="1">IFERROR(__xludf.DUMMYFUNCTION("""COMPUTED_VALUE"""),"TV Series 2015– )")</f>
        <v>TV Series 2015– )</v>
      </c>
    </row>
    <row r="2147" spans="1:5" ht="13" x14ac:dyDescent="0.15">
      <c r="A2147" s="5" t="s">
        <v>2431</v>
      </c>
      <c r="D2147" t="str">
        <f ca="1">IFERROR(__xludf.DUMMYFUNCTION("split(A2147,""("")"),"Nitro Rad ")</f>
        <v xml:space="preserve">Nitro Rad </v>
      </c>
      <c r="E2147" t="str">
        <f ca="1">IFERROR(__xludf.DUMMYFUNCTION("""COMPUTED_VALUE"""),"TV Series 2013– )")</f>
        <v>TV Series 2013– )</v>
      </c>
    </row>
    <row r="2148" spans="1:5" ht="13" x14ac:dyDescent="0.15">
      <c r="A2148" s="5" t="s">
        <v>2432</v>
      </c>
      <c r="D2148" t="str">
        <f ca="1">IFERROR(__xludf.DUMMYFUNCTION("split(A2148,""("")"),"No Angels ")</f>
        <v xml:space="preserve">No Angels </v>
      </c>
      <c r="E2148" t="str">
        <f ca="1">IFERROR(__xludf.DUMMYFUNCTION("""COMPUTED_VALUE"""),"TV Series 2004–2006)")</f>
        <v>TV Series 2004–2006)</v>
      </c>
    </row>
    <row r="2149" spans="1:5" ht="13" x14ac:dyDescent="0.15">
      <c r="A2149" s="5" t="s">
        <v>2433</v>
      </c>
      <c r="D2149" t="str">
        <f ca="1">IFERROR(__xludf.DUMMYFUNCTION("split(A2149,""("")"),"No Evil ")</f>
        <v xml:space="preserve">No Evil </v>
      </c>
      <c r="E2149" t="str">
        <f ca="1">IFERROR(__xludf.DUMMYFUNCTION("""COMPUTED_VALUE"""),"TV Series 2012– )")</f>
        <v>TV Series 2012– )</v>
      </c>
    </row>
    <row r="2150" spans="1:5" ht="13" x14ac:dyDescent="0.15">
      <c r="A2150" s="5" t="s">
        <v>2434</v>
      </c>
      <c r="D2150" t="str">
        <f ca="1">IFERROR(__xludf.DUMMYFUNCTION("split(A2150,""("")"),"No Offence ")</f>
        <v xml:space="preserve">No Offence </v>
      </c>
      <c r="E2150" t="str">
        <f ca="1">IFERROR(__xludf.DUMMYFUNCTION("""COMPUTED_VALUE"""),"TV Series 2015– )")</f>
        <v>TV Series 2015– )</v>
      </c>
    </row>
    <row r="2151" spans="1:5" ht="13" x14ac:dyDescent="0.15">
      <c r="A2151" s="5" t="s">
        <v>361</v>
      </c>
      <c r="D2151" t="str">
        <f ca="1">IFERROR(__xludf.DUMMYFUNCTION("split(A2151,""("")"),"No Ordinary Family ")</f>
        <v xml:space="preserve">No Ordinary Family </v>
      </c>
      <c r="E2151" t="str">
        <f ca="1">IFERROR(__xludf.DUMMYFUNCTION("""COMPUTED_VALUE"""),"TV Series 2010–2011)")</f>
        <v>TV Series 2010–2011)</v>
      </c>
    </row>
    <row r="2152" spans="1:5" ht="13" x14ac:dyDescent="0.15">
      <c r="A2152" s="5" t="s">
        <v>2435</v>
      </c>
      <c r="D2152" t="str">
        <f ca="1">IFERROR(__xludf.DUMMYFUNCTION("split(A2152,""("")"),"No Place Like Home ")</f>
        <v xml:space="preserve">No Place Like Home </v>
      </c>
      <c r="E2152" t="str">
        <f ca="1">IFERROR(__xludf.DUMMYFUNCTION("""COMPUTED_VALUE"""),"TV Series 1983–1988)")</f>
        <v>TV Series 1983–1988)</v>
      </c>
    </row>
    <row r="2153" spans="1:5" ht="13" x14ac:dyDescent="0.15">
      <c r="A2153" s="5" t="s">
        <v>2436</v>
      </c>
      <c r="D2153" t="str">
        <f ca="1">IFERROR(__xludf.DUMMYFUNCTION("split(A2153,""("")"),"Noah's Arc ")</f>
        <v xml:space="preserve">Noah's Arc </v>
      </c>
      <c r="E2153" t="str">
        <f ca="1">IFERROR(__xludf.DUMMYFUNCTION("""COMPUTED_VALUE"""),"TV Series 2005–2006)")</f>
        <v>TV Series 2005–2006)</v>
      </c>
    </row>
    <row r="2154" spans="1:5" ht="13" x14ac:dyDescent="0.15">
      <c r="A2154" s="5" t="s">
        <v>2437</v>
      </c>
      <c r="D2154" t="str">
        <f ca="1">IFERROR(__xludf.DUMMYFUNCTION("split(A2154,""("")"),"Noah's Island ")</f>
        <v xml:space="preserve">Noah's Island </v>
      </c>
      <c r="E2154" t="str">
        <f ca="1">IFERROR(__xludf.DUMMYFUNCTION("""COMPUTED_VALUE"""),"TV Series 1997–1999)")</f>
        <v>TV Series 1997–1999)</v>
      </c>
    </row>
    <row r="2155" spans="1:5" ht="13" x14ac:dyDescent="0.15">
      <c r="A2155" s="5" t="s">
        <v>2438</v>
      </c>
      <c r="D2155" t="str">
        <f ca="1">IFERROR(__xludf.DUMMYFUNCTION("split(A2155,""("")"),"Nobody's Looking ")</f>
        <v xml:space="preserve">Nobody's Looking </v>
      </c>
      <c r="E2155" t="str">
        <f ca="1">IFERROR(__xludf.DUMMYFUNCTION("""COMPUTED_VALUE"""),"TV Series 2019– )")</f>
        <v>TV Series 2019– )</v>
      </c>
    </row>
    <row r="2156" spans="1:5" ht="13" x14ac:dyDescent="0.15">
      <c r="A2156" s="5" t="s">
        <v>2439</v>
      </c>
      <c r="D2156" t="str">
        <f ca="1">IFERROR(__xludf.DUMMYFUNCTION("split(A2156,""("")"),"Noir ")</f>
        <v xml:space="preserve">Noir </v>
      </c>
      <c r="E2156" t="str">
        <f ca="1">IFERROR(__xludf.DUMMYFUNCTION("""COMPUTED_VALUE"""),"TV Series 2001– )")</f>
        <v>TV Series 2001– )</v>
      </c>
    </row>
    <row r="2157" spans="1:5" ht="13" x14ac:dyDescent="0.15">
      <c r="A2157" s="5" t="s">
        <v>2440</v>
      </c>
      <c r="D2157" t="str">
        <f ca="1">IFERROR(__xludf.DUMMYFUNCTION("split(A2157,""("")"),"Non Non Biyori ")</f>
        <v xml:space="preserve">Non Non Biyori </v>
      </c>
      <c r="E2157" t="str">
        <f ca="1">IFERROR(__xludf.DUMMYFUNCTION("""COMPUTED_VALUE"""),"TV Series 2013– )")</f>
        <v>TV Series 2013– )</v>
      </c>
    </row>
    <row r="2158" spans="1:5" ht="13" x14ac:dyDescent="0.15">
      <c r="A2158" s="5" t="s">
        <v>2441</v>
      </c>
      <c r="D2158" t="str">
        <f ca="1">IFERROR(__xludf.DUMMYFUNCTION("split(A2158,""("")"),"Northern Exposure ")</f>
        <v xml:space="preserve">Northern Exposure </v>
      </c>
      <c r="E2158" t="str">
        <f ca="1">IFERROR(__xludf.DUMMYFUNCTION("""COMPUTED_VALUE"""),"TV Series 1990–1995)")</f>
        <v>TV Series 1990–1995)</v>
      </c>
    </row>
    <row r="2159" spans="1:5" ht="13" x14ac:dyDescent="0.15">
      <c r="A2159" s="5" t="s">
        <v>2442</v>
      </c>
      <c r="D2159" t="str">
        <f ca="1">IFERROR(__xludf.DUMMYFUNCTION("split(A2159,""("")"),"Notes on a Scene ")</f>
        <v xml:space="preserve">Notes on a Scene </v>
      </c>
      <c r="E2159" t="str">
        <f ca="1">IFERROR(__xludf.DUMMYFUNCTION("""COMPUTED_VALUE"""),"TV Series 2017– )")</f>
        <v>TV Series 2017– )</v>
      </c>
    </row>
    <row r="2160" spans="1:5" ht="13" x14ac:dyDescent="0.15">
      <c r="A2160" s="5" t="s">
        <v>2443</v>
      </c>
      <c r="D2160" t="str">
        <f ca="1">IFERROR(__xludf.DUMMYFUNCTION("split(A2160,""("")"),"Now and Then, Here and There ")</f>
        <v xml:space="preserve">Now and Then, Here and There </v>
      </c>
      <c r="E2160" t="str">
        <f ca="1">IFERROR(__xludf.DUMMYFUNCTION("""COMPUTED_VALUE"""),"TV Series 1999–2000)")</f>
        <v>TV Series 1999–2000)</v>
      </c>
    </row>
    <row r="2161" spans="1:5" ht="13" x14ac:dyDescent="0.15">
      <c r="A2161" s="5" t="s">
        <v>2444</v>
      </c>
      <c r="D2161" t="str">
        <f ca="1">IFERROR(__xludf.DUMMYFUNCTION("split(A2161,""("")"),"Nowhere to Hide ")</f>
        <v xml:space="preserve">Nowhere to Hide </v>
      </c>
      <c r="E2161" t="str">
        <f ca="1">IFERROR(__xludf.DUMMYFUNCTION("""COMPUTED_VALUE"""),"TV Series 2014– )")</f>
        <v>TV Series 2014– )</v>
      </c>
    </row>
    <row r="2162" spans="1:5" ht="13" x14ac:dyDescent="0.15">
      <c r="A2162" s="5" t="s">
        <v>2445</v>
      </c>
      <c r="D2162" t="str">
        <f ca="1">IFERROR(__xludf.DUMMYFUNCTION("split(A2162,""("")"),"NTSF:SD:SUV ")</f>
        <v xml:space="preserve">NTSF:SD:SUV </v>
      </c>
      <c r="E2162" t="str">
        <f ca="1">IFERROR(__xludf.DUMMYFUNCTION("""COMPUTED_VALUE"""),"TV Series 2011–2013)")</f>
        <v>TV Series 2011–2013)</v>
      </c>
    </row>
    <row r="2163" spans="1:5" ht="13" x14ac:dyDescent="0.15">
      <c r="A2163" s="5" t="s">
        <v>2446</v>
      </c>
      <c r="D2163" t="str">
        <f ca="1">IFERROR(__xludf.DUMMYFUNCTION("split(A2163,""("")"),"Nu ")</f>
        <v xml:space="preserve">Nu </v>
      </c>
      <c r="E2163" t="str">
        <f ca="1">IFERROR(__xludf.DUMMYFUNCTION("""COMPUTED_VALUE"""),"TV Series 2018– )")</f>
        <v>TV Series 2018– )</v>
      </c>
    </row>
    <row r="2164" spans="1:5" ht="13" x14ac:dyDescent="0.15">
      <c r="A2164" s="5" t="s">
        <v>2447</v>
      </c>
      <c r="D2164" t="str">
        <f ca="1">IFERROR(__xludf.DUMMYFUNCTION("split(A2164,""("")"),"Numb3rs ")</f>
        <v xml:space="preserve">Numb3rs </v>
      </c>
      <c r="E2164" t="str">
        <f ca="1">IFERROR(__xludf.DUMMYFUNCTION("""COMPUTED_VALUE"""),"TV Series 2005–2010)")</f>
        <v>TV Series 2005–2010)</v>
      </c>
    </row>
    <row r="2165" spans="1:5" ht="13" x14ac:dyDescent="0.15">
      <c r="A2165" s="5" t="s">
        <v>2448</v>
      </c>
      <c r="D2165" t="str">
        <f ca="1">IFERROR(__xludf.DUMMYFUNCTION("split(A2165,""("")"),"Nurse Angel Ririka SOS ")</f>
        <v xml:space="preserve">Nurse Angel Ririka SOS </v>
      </c>
      <c r="E2165" t="str">
        <f ca="1">IFERROR(__xludf.DUMMYFUNCTION("""COMPUTED_VALUE"""),"TV Series 1995– )")</f>
        <v>TV Series 1995– )</v>
      </c>
    </row>
    <row r="2166" spans="1:5" ht="13" x14ac:dyDescent="0.15">
      <c r="A2166" s="5" t="s">
        <v>2449</v>
      </c>
      <c r="D2166" t="str">
        <f ca="1">IFERROR(__xludf.DUMMYFUNCTION("split(A2166,""("")"),"Nurse Jackie ")</f>
        <v xml:space="preserve">Nurse Jackie </v>
      </c>
      <c r="E2166" t="str">
        <f ca="1">IFERROR(__xludf.DUMMYFUNCTION("""COMPUTED_VALUE"""),"TV Series 2009–2015)")</f>
        <v>TV Series 2009–2015)</v>
      </c>
    </row>
    <row r="2167" spans="1:5" ht="13" x14ac:dyDescent="0.15">
      <c r="A2167" s="5" t="s">
        <v>362</v>
      </c>
      <c r="D2167" t="str">
        <f ca="1">IFERROR(__xludf.DUMMYFUNCTION("split(A2167,""("")"),"NYPD Blue ")</f>
        <v xml:space="preserve">NYPD Blue </v>
      </c>
      <c r="E2167" t="str">
        <f ca="1">IFERROR(__xludf.DUMMYFUNCTION("""COMPUTED_VALUE"""),"TV Series 1993–2005)")</f>
        <v>TV Series 1993–2005)</v>
      </c>
    </row>
    <row r="2168" spans="1:5" ht="13" x14ac:dyDescent="0.15">
      <c r="A2168" s="5" t="s">
        <v>2450</v>
      </c>
      <c r="D2168" t="str">
        <f ca="1">IFERROR(__xludf.DUMMYFUNCTION("split(A2168,""("")"),"Occupation: Adventurer ")</f>
        <v xml:space="preserve">Occupation: Adventurer </v>
      </c>
      <c r="E2168" t="str">
        <f ca="1">IFERROR(__xludf.DUMMYFUNCTION("""COMPUTED_VALUE"""),"TV Series 2014– )")</f>
        <v>TV Series 2014– )</v>
      </c>
    </row>
    <row r="2169" spans="1:5" ht="13" x14ac:dyDescent="0.15">
      <c r="A2169" s="5" t="s">
        <v>2451</v>
      </c>
      <c r="D2169" t="str">
        <f ca="1">IFERROR(__xludf.DUMMYFUNCTION("split(A2169,""("")"),"Ocean Ave. ")</f>
        <v xml:space="preserve">Ocean Ave. </v>
      </c>
      <c r="E2169" t="str">
        <f ca="1">IFERROR(__xludf.DUMMYFUNCTION("""COMPUTED_VALUE"""),"TV Series 2002–2003)")</f>
        <v>TV Series 2002–2003)</v>
      </c>
    </row>
    <row r="2170" spans="1:5" ht="13" x14ac:dyDescent="0.15">
      <c r="A2170" s="5" t="s">
        <v>2452</v>
      </c>
      <c r="D2170" t="str">
        <f ca="1">IFERROR(__xludf.DUMMYFUNCTION("split(A2170,""("")"),"October Road ")</f>
        <v xml:space="preserve">October Road </v>
      </c>
      <c r="E2170" t="str">
        <f ca="1">IFERROR(__xludf.DUMMYFUNCTION("""COMPUTED_VALUE"""),"TV Series 2007–2008)")</f>
        <v>TV Series 2007–2008)</v>
      </c>
    </row>
    <row r="2171" spans="1:5" ht="13" x14ac:dyDescent="0.15">
      <c r="A2171" s="5" t="s">
        <v>2453</v>
      </c>
      <c r="D2171" t="str">
        <f ca="1">IFERROR(__xludf.DUMMYFUNCTION("split(A2171,""("")"),"Odd Job Jack ")</f>
        <v xml:space="preserve">Odd Job Jack </v>
      </c>
      <c r="E2171" t="str">
        <f ca="1">IFERROR(__xludf.DUMMYFUNCTION("""COMPUTED_VALUE"""),"TV Series 2003–2007)")</f>
        <v>TV Series 2003–2007)</v>
      </c>
    </row>
    <row r="2172" spans="1:5" ht="13" x14ac:dyDescent="0.15">
      <c r="A2172" s="5" t="s">
        <v>2454</v>
      </c>
      <c r="D2172" t="str">
        <f ca="1">IFERROR(__xludf.DUMMYFUNCTION("split(A2172,""("")"),"Odiens ")</f>
        <v xml:space="preserve">Odiens </v>
      </c>
      <c r="E2172" t="str">
        <f ca="1">IFERROR(__xludf.DUMMYFUNCTION("""COMPUTED_VALUE"""),"TV Series 1988–1989)")</f>
        <v>TV Series 1988–1989)</v>
      </c>
    </row>
    <row r="2173" spans="1:5" ht="13" x14ac:dyDescent="0.15">
      <c r="A2173" s="5" t="s">
        <v>2455</v>
      </c>
      <c r="D2173" t="str">
        <f ca="1">IFERROR(__xludf.DUMMYFUNCTION("split(A2173,""("")"),"Odlazak ratnika, povratak marsala ")</f>
        <v xml:space="preserve">Odlazak ratnika, povratak marsala </v>
      </c>
      <c r="E2173" t="str">
        <f ca="1">IFERROR(__xludf.DUMMYFUNCTION("""COMPUTED_VALUE"""),"TV Series 1986– )")</f>
        <v>TV Series 1986– )</v>
      </c>
    </row>
    <row r="2174" spans="1:5" ht="13" x14ac:dyDescent="0.15">
      <c r="A2174" s="5" t="s">
        <v>2456</v>
      </c>
      <c r="D2174" t="str">
        <f ca="1">IFERROR(__xludf.DUMMYFUNCTION("split(A2174,""("")"),"Odyssey 5 ")</f>
        <v xml:space="preserve">Odyssey 5 </v>
      </c>
      <c r="E2174" t="str">
        <f ca="1">IFERROR(__xludf.DUMMYFUNCTION("""COMPUTED_VALUE"""),"TV Series 2002–2004)")</f>
        <v>TV Series 2002–2004)</v>
      </c>
    </row>
    <row r="2175" spans="1:5" ht="13" x14ac:dyDescent="0.15">
      <c r="A2175" s="5" t="s">
        <v>2457</v>
      </c>
      <c r="D2175" t="str">
        <f ca="1">IFERROR(__xludf.DUMMYFUNCTION("split(A2175,""("")"),"Ohara ")</f>
        <v xml:space="preserve">Ohara </v>
      </c>
      <c r="E2175" t="str">
        <f ca="1">IFERROR(__xludf.DUMMYFUNCTION("""COMPUTED_VALUE"""),"TV Series 1987–1988)")</f>
        <v>TV Series 1987–1988)</v>
      </c>
    </row>
    <row r="2176" spans="1:5" ht="13" x14ac:dyDescent="0.15">
      <c r="A2176" s="5" t="s">
        <v>2458</v>
      </c>
      <c r="D2176" t="str">
        <f ca="1">IFERROR(__xludf.DUMMYFUNCTION("split(A2176,""("")"),"Ohnivý kure ")</f>
        <v xml:space="preserve">Ohnivý kure </v>
      </c>
      <c r="E2176" t="str">
        <f ca="1">IFERROR(__xludf.DUMMYFUNCTION("""COMPUTED_VALUE"""),"TV Series 2016– )")</f>
        <v>TV Series 2016– )</v>
      </c>
    </row>
    <row r="2177" spans="1:5" ht="13" x14ac:dyDescent="0.15">
      <c r="A2177" s="5" t="s">
        <v>2459</v>
      </c>
      <c r="D2177" t="str">
        <f ca="1">IFERROR(__xludf.DUMMYFUNCTION("split(A2177,""("")"),"Oi aparadektoi ")</f>
        <v xml:space="preserve">Oi aparadektoi </v>
      </c>
      <c r="E2177" t="str">
        <f ca="1">IFERROR(__xludf.DUMMYFUNCTION("""COMPUTED_VALUE"""),"TV Series 1991–1993)")</f>
        <v>TV Series 1991–1993)</v>
      </c>
    </row>
    <row r="2178" spans="1:5" ht="13" x14ac:dyDescent="0.15">
      <c r="A2178" s="5" t="s">
        <v>2460</v>
      </c>
      <c r="D2178" t="str">
        <f ca="1">IFERROR(__xludf.DUMMYFUNCTION("split(A2178,""("")"),"OK K.O.! Let's Be Heroes ")</f>
        <v xml:space="preserve">OK K.O.! Let's Be Heroes </v>
      </c>
      <c r="E2178" t="str">
        <f ca="1">IFERROR(__xludf.DUMMYFUNCTION("""COMPUTED_VALUE"""),"TV Series 2017–2019)")</f>
        <v>TV Series 2017–2019)</v>
      </c>
    </row>
    <row r="2179" spans="1:5" ht="13" x14ac:dyDescent="0.15">
      <c r="A2179" s="5" t="s">
        <v>2461</v>
      </c>
      <c r="D2179" t="str">
        <f ca="1">IFERROR(__xludf.DUMMYFUNCTION("split(A2179,""("")"),"Old Paths Baptist Church MN ")</f>
        <v xml:space="preserve">Old Paths Baptist Church MN </v>
      </c>
      <c r="E2179" t="str">
        <f ca="1">IFERROR(__xludf.DUMMYFUNCTION("""COMPUTED_VALUE"""),"TV Series 2012– )")</f>
        <v>TV Series 2012– )</v>
      </c>
    </row>
    <row r="2180" spans="1:5" ht="13" x14ac:dyDescent="0.15">
      <c r="A2180" s="5" t="s">
        <v>2462</v>
      </c>
      <c r="D2180" t="str">
        <f ca="1">IFERROR(__xludf.DUMMYFUNCTION("split(A2180,""("")"),"Olhos nos Olhos ")</f>
        <v xml:space="preserve">Olhos nos Olhos </v>
      </c>
      <c r="E2180" t="str">
        <f ca="1">IFERROR(__xludf.DUMMYFUNCTION("""COMPUTED_VALUE"""),"TV Series 2008–2009)")</f>
        <v>TV Series 2008–2009)</v>
      </c>
    </row>
    <row r="2181" spans="1:5" ht="13" x14ac:dyDescent="0.15">
      <c r="A2181" s="5" t="s">
        <v>2463</v>
      </c>
      <c r="D2181" t="str">
        <f ca="1">IFERROR(__xludf.DUMMYFUNCTION("split(A2181,""("")"),"Oly's Fun ")</f>
        <v xml:space="preserve">Oly's Fun </v>
      </c>
      <c r="E2181" t="str">
        <f ca="1">IFERROR(__xludf.DUMMYFUNCTION("""COMPUTED_VALUE"""),"TV Series 2014– )")</f>
        <v>TV Series 2014– )</v>
      </c>
    </row>
    <row r="2182" spans="1:5" ht="13" x14ac:dyDescent="0.15">
      <c r="A2182" s="5" t="s">
        <v>2464</v>
      </c>
      <c r="D2182" t="str">
        <f ca="1">IFERROR(__xludf.DUMMYFUNCTION("split(A2182,""("")"),"Omer et le fils de l'étoile ")</f>
        <v xml:space="preserve">Omer et le fils de l'étoile </v>
      </c>
      <c r="E2182" t="str">
        <f ca="1">IFERROR(__xludf.DUMMYFUNCTION("""COMPUTED_VALUE"""),"TV Series 1992–1993)")</f>
        <v>TV Series 1992–1993)</v>
      </c>
    </row>
    <row r="2183" spans="1:5" ht="13" x14ac:dyDescent="0.15">
      <c r="A2183" s="5" t="s">
        <v>2465</v>
      </c>
      <c r="D2183" t="str">
        <f ca="1">IFERROR(__xludf.DUMMYFUNCTION("split(A2183,""("")"),"On Becoming a God in Central Florida ")</f>
        <v xml:space="preserve">On Becoming a God in Central Florida </v>
      </c>
      <c r="E2183" t="str">
        <f ca="1">IFERROR(__xludf.DUMMYFUNCTION("""COMPUTED_VALUE"""),"TV Series 2019– )")</f>
        <v>TV Series 2019– )</v>
      </c>
    </row>
    <row r="2184" spans="1:5" ht="13" x14ac:dyDescent="0.15">
      <c r="A2184" s="5" t="s">
        <v>2466</v>
      </c>
      <c r="D2184" t="str">
        <f ca="1">IFERROR(__xludf.DUMMYFUNCTION("split(A2184,""("")"),"On Death Row ")</f>
        <v xml:space="preserve">On Death Row </v>
      </c>
      <c r="E2184" t="str">
        <f ca="1">IFERROR(__xludf.DUMMYFUNCTION("""COMPUTED_VALUE"""),"TV Series 2012– )")</f>
        <v>TV Series 2012– )</v>
      </c>
    </row>
    <row r="2185" spans="1:5" ht="13" x14ac:dyDescent="0.15">
      <c r="A2185" s="5" t="s">
        <v>2467</v>
      </c>
      <c r="D2185" t="str">
        <f ca="1">IFERROR(__xludf.DUMMYFUNCTION("split(A2185,""("")"),"On je zena! ")</f>
        <v xml:space="preserve">On je zena! </v>
      </c>
      <c r="E2185" t="str">
        <f ca="1">IFERROR(__xludf.DUMMYFUNCTION("""COMPUTED_VALUE"""),"TV Series 2005– )")</f>
        <v>TV Series 2005– )</v>
      </c>
    </row>
    <row r="2186" spans="1:5" ht="13" x14ac:dyDescent="0.15">
      <c r="A2186" s="5" t="s">
        <v>2468</v>
      </c>
      <c r="D2186" t="str">
        <f ca="1">IFERROR(__xludf.DUMMYFUNCTION("split(A2186,""("")"),"On Killing ")</f>
        <v xml:space="preserve">On Killing </v>
      </c>
      <c r="E2186" t="str">
        <f ca="1">IFERROR(__xludf.DUMMYFUNCTION("""COMPUTED_VALUE"""),"TV Series 2015–2016)")</f>
        <v>TV Series 2015–2016)</v>
      </c>
    </row>
    <row r="2187" spans="1:5" ht="13" x14ac:dyDescent="0.15">
      <c r="A2187" s="5" t="s">
        <v>2469</v>
      </c>
      <c r="D2187" t="str">
        <f ca="1">IFERROR(__xludf.DUMMYFUNCTION("split(A2187,""("")"),"On My Block ")</f>
        <v xml:space="preserve">On My Block </v>
      </c>
      <c r="E2187" t="str">
        <f ca="1">IFERROR(__xludf.DUMMYFUNCTION("""COMPUTED_VALUE"""),"TV Series 2018– )")</f>
        <v>TV Series 2018– )</v>
      </c>
    </row>
    <row r="2188" spans="1:5" ht="13" x14ac:dyDescent="0.15">
      <c r="A2188" s="5" t="s">
        <v>139</v>
      </c>
      <c r="D2188" t="str">
        <f ca="1">IFERROR(__xludf.DUMMYFUNCTION("split(A2188,""("")"),"Once Upon a Time ")</f>
        <v xml:space="preserve">Once Upon a Time </v>
      </c>
      <c r="E2188" t="str">
        <f ca="1">IFERROR(__xludf.DUMMYFUNCTION("""COMPUTED_VALUE"""),"TV Series 2011–2018)")</f>
        <v>TV Series 2011–2018)</v>
      </c>
    </row>
    <row r="2189" spans="1:5" ht="13" x14ac:dyDescent="0.15">
      <c r="A2189" s="5" t="s">
        <v>2470</v>
      </c>
      <c r="D2189" t="str">
        <f ca="1">IFERROR(__xludf.DUMMYFUNCTION("split(A2189,""("")"),"Once Upon a Time in Cabramatta ")</f>
        <v xml:space="preserve">Once Upon a Time in Cabramatta </v>
      </c>
      <c r="E2189" t="str">
        <f ca="1">IFERROR(__xludf.DUMMYFUNCTION("""COMPUTED_VALUE"""),"TV Series 2012)")</f>
        <v>TV Series 2012)</v>
      </c>
    </row>
    <row r="2190" spans="1:5" ht="13" x14ac:dyDescent="0.15">
      <c r="A2190" s="5" t="s">
        <v>2471</v>
      </c>
      <c r="D2190" t="str">
        <f ca="1">IFERROR(__xludf.DUMMYFUNCTION("split(A2190,""("")"),"Once Upon a Time in Wonderland ")</f>
        <v xml:space="preserve">Once Upon a Time in Wonderland </v>
      </c>
      <c r="E2190" t="str">
        <f ca="1">IFERROR(__xludf.DUMMYFUNCTION("""COMPUTED_VALUE"""),"TV Series 2013–2014)")</f>
        <v>TV Series 2013–2014)</v>
      </c>
    </row>
    <row r="2191" spans="1:5" ht="13" x14ac:dyDescent="0.15">
      <c r="A2191" s="5" t="s">
        <v>176</v>
      </c>
      <c r="D2191" t="str">
        <f ca="1">IFERROR(__xludf.DUMMYFUNCTION("split(A2191,""("")"),"One Day at a Time ")</f>
        <v xml:space="preserve">One Day at a Time </v>
      </c>
      <c r="E2191" t="str">
        <f ca="1">IFERROR(__xludf.DUMMYFUNCTION("""COMPUTED_VALUE"""),"TV Series 2017– )")</f>
        <v>TV Series 2017– )</v>
      </c>
    </row>
    <row r="2192" spans="1:5" ht="13" x14ac:dyDescent="0.15">
      <c r="A2192" s="5" t="s">
        <v>2472</v>
      </c>
      <c r="D2192" t="str">
        <f ca="1">IFERROR(__xludf.DUMMYFUNCTION("split(A2192,""("")"),"One Foot in the Grave ")</f>
        <v xml:space="preserve">One Foot in the Grave </v>
      </c>
      <c r="E2192" t="str">
        <f ca="1">IFERROR(__xludf.DUMMYFUNCTION("""COMPUTED_VALUE"""),"TV Series 1990–2001)")</f>
        <v>TV Series 1990–2001)</v>
      </c>
    </row>
    <row r="2193" spans="1:5" ht="13" x14ac:dyDescent="0.15">
      <c r="A2193" s="5" t="s">
        <v>363</v>
      </c>
      <c r="D2193" t="str">
        <f ca="1">IFERROR(__xludf.DUMMYFUNCTION("split(A2193,""("")"),"One Strange Rock ")</f>
        <v xml:space="preserve">One Strange Rock </v>
      </c>
      <c r="E2193" t="str">
        <f ca="1">IFERROR(__xludf.DUMMYFUNCTION("""COMPUTED_VALUE"""),"TV Series 2018– )")</f>
        <v>TV Series 2018– )</v>
      </c>
    </row>
    <row r="2194" spans="1:5" ht="13" x14ac:dyDescent="0.15">
      <c r="A2194" s="5" t="s">
        <v>2473</v>
      </c>
      <c r="D2194" t="str">
        <f ca="1">IFERROR(__xludf.DUMMYFUNCTION("split(A2194,""("")"),"One Tree Hill ")</f>
        <v xml:space="preserve">One Tree Hill </v>
      </c>
      <c r="E2194" t="str">
        <f ca="1">IFERROR(__xludf.DUMMYFUNCTION("""COMPUTED_VALUE"""),"TV Series 2003–2012)")</f>
        <v>TV Series 2003–2012)</v>
      </c>
    </row>
    <row r="2195" spans="1:5" ht="13" x14ac:dyDescent="0.15">
      <c r="A2195" s="5" t="s">
        <v>2474</v>
      </c>
      <c r="D2195" t="str">
        <f ca="1">IFERROR(__xludf.DUMMYFUNCTION("split(A2195,""("")"),"One Week Friends ")</f>
        <v xml:space="preserve">One Week Friends </v>
      </c>
      <c r="E2195" t="str">
        <f ca="1">IFERROR(__xludf.DUMMYFUNCTION("""COMPUTED_VALUE"""),"TV Series 2014– )")</f>
        <v>TV Series 2014– )</v>
      </c>
    </row>
    <row r="2196" spans="1:5" ht="13" x14ac:dyDescent="0.15">
      <c r="A2196" s="5" t="s">
        <v>2475</v>
      </c>
      <c r="D2196" t="str">
        <f ca="1">IFERROR(__xludf.DUMMYFUNCTION("split(A2196,""("")"),"Only Fools and Horses.... ")</f>
        <v xml:space="preserve">Only Fools and Horses.... </v>
      </c>
      <c r="E2196" t="str">
        <f ca="1">IFERROR(__xludf.DUMMYFUNCTION("""COMPUTED_VALUE"""),"TV Series 1981–2003)")</f>
        <v>TV Series 1981–2003)</v>
      </c>
    </row>
    <row r="2197" spans="1:5" ht="13" x14ac:dyDescent="0.15">
      <c r="A2197" s="5" t="s">
        <v>2476</v>
      </c>
      <c r="D2197" t="str">
        <f ca="1">IFERROR(__xludf.DUMMYFUNCTION("split(A2197,""("")"),"Opal Fever ")</f>
        <v xml:space="preserve">Opal Fever </v>
      </c>
      <c r="E2197" t="str">
        <f ca="1">IFERROR(__xludf.DUMMYFUNCTION("""COMPUTED_VALUE"""),"TV Series 2005)")</f>
        <v>TV Series 2005)</v>
      </c>
    </row>
    <row r="2198" spans="1:5" ht="13" x14ac:dyDescent="0.15">
      <c r="A2198" s="5" t="s">
        <v>2477</v>
      </c>
      <c r="D2198" t="str">
        <f ca="1">IFERROR(__xludf.DUMMYFUNCTION("split(A2198,""("")"),"Open Air Outreach ")</f>
        <v xml:space="preserve">Open Air Outreach </v>
      </c>
      <c r="E2198" t="str">
        <f ca="1">IFERROR(__xludf.DUMMYFUNCTION("""COMPUTED_VALUE"""),"TV Series 2009– )")</f>
        <v>TV Series 2009– )</v>
      </c>
    </row>
    <row r="2199" spans="1:5" ht="13" x14ac:dyDescent="0.15">
      <c r="A2199" s="5" t="s">
        <v>2478</v>
      </c>
      <c r="D2199" t="str">
        <f ca="1">IFERROR(__xludf.DUMMYFUNCTION("split(A2199,""("")"),"Optimus Gang ")</f>
        <v xml:space="preserve">Optimus Gang </v>
      </c>
      <c r="E2199" t="str">
        <f ca="1">IFERROR(__xludf.DUMMYFUNCTION("""COMPUTED_VALUE"""),"TV Series 2013– )")</f>
        <v>TV Series 2013– )</v>
      </c>
    </row>
    <row r="2200" spans="1:5" ht="13" x14ac:dyDescent="0.15">
      <c r="A2200" s="5" t="s">
        <v>24</v>
      </c>
      <c r="D2200" t="str">
        <f ca="1">IFERROR(__xludf.DUMMYFUNCTION("split(A2200,""("")"),"Orange Is the New Black ")</f>
        <v xml:space="preserve">Orange Is the New Black </v>
      </c>
      <c r="E2200" t="str">
        <f ca="1">IFERROR(__xludf.DUMMYFUNCTION("""COMPUTED_VALUE"""),"TV Series 2013–2019)")</f>
        <v>TV Series 2013–2019)</v>
      </c>
    </row>
    <row r="2201" spans="1:5" ht="13" x14ac:dyDescent="0.15">
      <c r="A2201" s="5" t="s">
        <v>2479</v>
      </c>
      <c r="D2201" t="str">
        <f ca="1">IFERROR(__xludf.DUMMYFUNCTION("split(A2201,""("")"),"Origin ")</f>
        <v xml:space="preserve">Origin </v>
      </c>
      <c r="E2201" t="str">
        <f ca="1">IFERROR(__xludf.DUMMYFUNCTION("""COMPUTED_VALUE"""),"TV Series 2018)")</f>
        <v>TV Series 2018)</v>
      </c>
    </row>
    <row r="2202" spans="1:5" ht="13" x14ac:dyDescent="0.15">
      <c r="A2202" s="5" t="s">
        <v>2480</v>
      </c>
      <c r="D2202" t="str">
        <f ca="1">IFERROR(__xludf.DUMMYFUNCTION("split(A2202,""("")"),"Orphan Black ")</f>
        <v xml:space="preserve">Orphan Black </v>
      </c>
      <c r="E2202" t="str">
        <f ca="1">IFERROR(__xludf.DUMMYFUNCTION("""COMPUTED_VALUE"""),"TV Series 2013–2017)")</f>
        <v>TV Series 2013–2017)</v>
      </c>
    </row>
    <row r="2203" spans="1:5" ht="13" x14ac:dyDescent="0.15">
      <c r="A2203" s="5" t="s">
        <v>2481</v>
      </c>
      <c r="D2203" t="str">
        <f ca="1">IFERROR(__xludf.DUMMYFUNCTION("split(A2203,""("")"),"Orson &amp; Olivia ")</f>
        <v xml:space="preserve">Orson &amp; Olivia </v>
      </c>
      <c r="E2203" t="str">
        <f ca="1">IFERROR(__xludf.DUMMYFUNCTION("""COMPUTED_VALUE"""),"TV Series 1995– )")</f>
        <v>TV Series 1995– )</v>
      </c>
    </row>
    <row r="2204" spans="1:5" ht="13" x14ac:dyDescent="0.15">
      <c r="A2204" s="5" t="s">
        <v>2482</v>
      </c>
      <c r="D2204" t="str">
        <f ca="1">IFERROR(__xludf.DUMMYFUNCTION("split(A2204,""("")"),"Oscar's Orchestra ")</f>
        <v xml:space="preserve">Oscar's Orchestra </v>
      </c>
      <c r="E2204" t="str">
        <f ca="1">IFERROR(__xludf.DUMMYFUNCTION("""COMPUTED_VALUE"""),"TV Series 1995–1996)")</f>
        <v>TV Series 1995–1996)</v>
      </c>
    </row>
    <row r="2205" spans="1:5" ht="13" x14ac:dyDescent="0.15">
      <c r="A2205" s="5" t="s">
        <v>2483</v>
      </c>
      <c r="D2205" t="str">
        <f ca="1">IFERROR(__xludf.DUMMYFUNCTION("split(A2205,""("")"),"Other art ")</f>
        <v xml:space="preserve">Other art </v>
      </c>
      <c r="E2205" t="str">
        <f ca="1">IFERROR(__xludf.DUMMYFUNCTION("""COMPUTED_VALUE"""),"TV Series 2019– )")</f>
        <v>TV Series 2019– )</v>
      </c>
    </row>
    <row r="2206" spans="1:5" ht="13" x14ac:dyDescent="0.15">
      <c r="A2206" s="5" t="s">
        <v>2484</v>
      </c>
      <c r="D2206" t="str">
        <f ca="1">IFERROR(__xludf.DUMMYFUNCTION("split(A2206,""("")"),"Otkroveniya ")</f>
        <v xml:space="preserve">Otkroveniya </v>
      </c>
      <c r="E2206" t="str">
        <f ca="1">IFERROR(__xludf.DUMMYFUNCTION("""COMPUTED_VALUE"""),"TV Series 2012)")</f>
        <v>TV Series 2012)</v>
      </c>
    </row>
    <row r="2207" spans="1:5" ht="13" x14ac:dyDescent="0.15">
      <c r="A2207" s="5" t="s">
        <v>2485</v>
      </c>
      <c r="D2207" t="str">
        <f ca="1">IFERROR(__xludf.DUMMYFUNCTION("split(A2207,""("")"),"Our House ")</f>
        <v xml:space="preserve">Our House </v>
      </c>
      <c r="E2207" t="str">
        <f ca="1">IFERROR(__xludf.DUMMYFUNCTION("""COMPUTED_VALUE"""),"TV Series 1986–1988)")</f>
        <v>TV Series 1986–1988)</v>
      </c>
    </row>
    <row r="2208" spans="1:5" ht="13" x14ac:dyDescent="0.15">
      <c r="A2208" s="5" t="s">
        <v>2486</v>
      </c>
      <c r="D2208" t="str">
        <f ca="1">IFERROR(__xludf.DUMMYFUNCTION("split(A2208,""("")"),"Ouran High School Host Club ")</f>
        <v xml:space="preserve">Ouran High School Host Club </v>
      </c>
      <c r="E2208" t="str">
        <f ca="1">IFERROR(__xludf.DUMMYFUNCTION("""COMPUTED_VALUE"""),"TV Series 2006)")</f>
        <v>TV Series 2006)</v>
      </c>
    </row>
    <row r="2209" spans="1:5" ht="13" x14ac:dyDescent="0.15">
      <c r="A2209" s="5" t="s">
        <v>2487</v>
      </c>
      <c r="D2209" t="str">
        <f ca="1">IFERROR(__xludf.DUMMYFUNCTION("split(A2209,""("")"),"Out of This World ")</f>
        <v xml:space="preserve">Out of This World </v>
      </c>
      <c r="E2209" t="str">
        <f ca="1">IFERROR(__xludf.DUMMYFUNCTION("""COMPUTED_VALUE"""),"TV Series 1987–1991)")</f>
        <v>TV Series 1987–1991)</v>
      </c>
    </row>
    <row r="2210" spans="1:5" ht="13" x14ac:dyDescent="0.15">
      <c r="A2210" s="5" t="s">
        <v>2488</v>
      </c>
      <c r="D2210" t="str">
        <f ca="1">IFERROR(__xludf.DUMMYFUNCTION("split(A2210,""("")"),"Outdaughtered ")</f>
        <v xml:space="preserve">Outdaughtered </v>
      </c>
      <c r="E2210" t="str">
        <f ca="1">IFERROR(__xludf.DUMMYFUNCTION("""COMPUTED_VALUE"""),"TV Series 2016– )")</f>
        <v>TV Series 2016– )</v>
      </c>
    </row>
    <row r="2211" spans="1:5" ht="13" x14ac:dyDescent="0.15">
      <c r="A2211" s="5" t="s">
        <v>25</v>
      </c>
      <c r="D2211" t="str">
        <f ca="1">IFERROR(__xludf.DUMMYFUNCTION("split(A2211,""("")"),"Outlander ")</f>
        <v xml:space="preserve">Outlander </v>
      </c>
      <c r="E2211" t="str">
        <f ca="1">IFERROR(__xludf.DUMMYFUNCTION("""COMPUTED_VALUE"""),"TV Series 2014– )")</f>
        <v>TV Series 2014– )</v>
      </c>
    </row>
    <row r="2212" spans="1:5" ht="13" x14ac:dyDescent="0.15">
      <c r="A2212" s="5" t="s">
        <v>2489</v>
      </c>
      <c r="D2212" t="str">
        <f ca="1">IFERROR(__xludf.DUMMYFUNCTION("split(A2212,""("")"),"Outlaw Star ")</f>
        <v xml:space="preserve">Outlaw Star </v>
      </c>
      <c r="E2212" t="str">
        <f ca="1">IFERROR(__xludf.DUMMYFUNCTION("""COMPUTED_VALUE"""),"TV Series 1998– )")</f>
        <v>TV Series 1998– )</v>
      </c>
    </row>
    <row r="2213" spans="1:5" ht="13" x14ac:dyDescent="0.15">
      <c r="A2213" s="5" t="s">
        <v>2490</v>
      </c>
      <c r="D2213" t="str">
        <f ca="1">IFERROR(__xludf.DUMMYFUNCTION("split(A2213,""("")"),"Outnumbered ")</f>
        <v xml:space="preserve">Outnumbered </v>
      </c>
      <c r="E2213" t="str">
        <f ca="1">IFERROR(__xludf.DUMMYFUNCTION("""COMPUTED_VALUE"""),"TV Series 2007–2014)")</f>
        <v>TV Series 2007–2014)</v>
      </c>
    </row>
    <row r="2214" spans="1:5" ht="13" x14ac:dyDescent="0.15">
      <c r="A2214" s="5" t="s">
        <v>2491</v>
      </c>
      <c r="D2214" t="str">
        <f ca="1">IFERROR(__xludf.DUMMYFUNCTION("split(A2214,""("")"),"Outrageous Fortune ")</f>
        <v xml:space="preserve">Outrageous Fortune </v>
      </c>
      <c r="E2214" t="str">
        <f ca="1">IFERROR(__xludf.DUMMYFUNCTION("""COMPUTED_VALUE"""),"TV Series 2005– )")</f>
        <v>TV Series 2005– )</v>
      </c>
    </row>
    <row r="2215" spans="1:5" ht="13" x14ac:dyDescent="0.15">
      <c r="A2215" s="5" t="s">
        <v>2492</v>
      </c>
      <c r="D2215" t="str">
        <f ca="1">IFERROR(__xludf.DUMMYFUNCTION("split(A2215,""("")"),"Oz ")</f>
        <v xml:space="preserve">Oz </v>
      </c>
      <c r="E2215" t="str">
        <f ca="1">IFERROR(__xludf.DUMMYFUNCTION("""COMPUTED_VALUE"""),"TV Series 1997–2003)")</f>
        <v>TV Series 1997–2003)</v>
      </c>
    </row>
    <row r="2216" spans="1:5" ht="13" x14ac:dyDescent="0.15">
      <c r="A2216" s="5" t="s">
        <v>286</v>
      </c>
      <c r="D2216" t="str">
        <f ca="1">IFERROR(__xludf.DUMMYFUNCTION("split(A2216,""("")"),"Ozark ")</f>
        <v xml:space="preserve">Ozark </v>
      </c>
      <c r="E2216" t="str">
        <f ca="1">IFERROR(__xludf.DUMMYFUNCTION("""COMPUTED_VALUE"""),"TV Series 2017– )")</f>
        <v>TV Series 2017– )</v>
      </c>
    </row>
    <row r="2217" spans="1:5" ht="13" x14ac:dyDescent="0.15">
      <c r="A2217" s="5" t="s">
        <v>2493</v>
      </c>
      <c r="D2217" t="str">
        <f ca="1">IFERROR(__xludf.DUMMYFUNCTION("split(A2217,""("")"),"Pablo Escobar: El Patrón del Mal ")</f>
        <v xml:space="preserve">Pablo Escobar: El Patrón del Mal </v>
      </c>
      <c r="E2217" t="str">
        <f ca="1">IFERROR(__xludf.DUMMYFUNCTION("""COMPUTED_VALUE"""),"TV Series 2012)")</f>
        <v>TV Series 2012)</v>
      </c>
    </row>
    <row r="2218" spans="1:5" ht="13" x14ac:dyDescent="0.15">
      <c r="A2218" s="5" t="s">
        <v>2494</v>
      </c>
      <c r="D2218" t="str">
        <f ca="1">IFERROR(__xludf.DUMMYFUNCTION("split(A2218,""("")"),"Pacific Palisades ")</f>
        <v xml:space="preserve">Pacific Palisades </v>
      </c>
      <c r="E2218" t="str">
        <f ca="1">IFERROR(__xludf.DUMMYFUNCTION("""COMPUTED_VALUE"""),"TV Series 1997)")</f>
        <v>TV Series 1997)</v>
      </c>
    </row>
    <row r="2219" spans="1:5" ht="13" x14ac:dyDescent="0.15">
      <c r="A2219" s="5" t="s">
        <v>2495</v>
      </c>
      <c r="D2219" t="str">
        <f ca="1">IFERROR(__xludf.DUMMYFUNCTION("split(A2219,""("")"),"Packed to the Rafters ")</f>
        <v xml:space="preserve">Packed to the Rafters </v>
      </c>
      <c r="E2219" t="str">
        <f ca="1">IFERROR(__xludf.DUMMYFUNCTION("""COMPUTED_VALUE"""),"TV Series 2008–2013)")</f>
        <v>TV Series 2008–2013)</v>
      </c>
    </row>
    <row r="2220" spans="1:5" ht="13" x14ac:dyDescent="0.15">
      <c r="A2220" s="5" t="s">
        <v>2496</v>
      </c>
      <c r="D2220" t="str">
        <f ca="1">IFERROR(__xludf.DUMMYFUNCTION("split(A2220,""("")"),"Pan Am ")</f>
        <v xml:space="preserve">Pan Am </v>
      </c>
      <c r="E2220" t="str">
        <f ca="1">IFERROR(__xludf.DUMMYFUNCTION("""COMPUTED_VALUE"""),"TV Series 2011–2012)")</f>
        <v>TV Series 2011–2012)</v>
      </c>
    </row>
    <row r="2221" spans="1:5" ht="13" x14ac:dyDescent="0.15">
      <c r="A2221" s="5" t="s">
        <v>2497</v>
      </c>
      <c r="D2221" t="str">
        <f ca="1">IFERROR(__xludf.DUMMYFUNCTION("split(A2221,""("")"),"Pandemic ")</f>
        <v xml:space="preserve">Pandemic </v>
      </c>
      <c r="E2221" t="str">
        <f ca="1">IFERROR(__xludf.DUMMYFUNCTION("""COMPUTED_VALUE"""),"TV Movie 2007)")</f>
        <v>TV Movie 2007)</v>
      </c>
    </row>
    <row r="2222" spans="1:5" ht="13" x14ac:dyDescent="0.15">
      <c r="A2222" s="5" t="s">
        <v>2498</v>
      </c>
      <c r="D2222" t="str">
        <f ca="1">IFERROR(__xludf.DUMMYFUNCTION("split(A2222,""("")"),"Pandora ")</f>
        <v xml:space="preserve">Pandora </v>
      </c>
      <c r="E2222" t="str">
        <f ca="1">IFERROR(__xludf.DUMMYFUNCTION("""COMPUTED_VALUE"""),"TV Series 2019– )")</f>
        <v>TV Series 2019– )</v>
      </c>
    </row>
    <row r="2223" spans="1:5" ht="13" x14ac:dyDescent="0.15">
      <c r="A2223" s="5" t="s">
        <v>2499</v>
      </c>
      <c r="D2223" t="str">
        <f ca="1">IFERROR(__xludf.DUMMYFUNCTION("split(A2223,""("")"),"Panty &amp; Stocking with Garterbelt ")</f>
        <v xml:space="preserve">Panty &amp; Stocking with Garterbelt </v>
      </c>
      <c r="E2223" t="str">
        <f ca="1">IFERROR(__xludf.DUMMYFUNCTION("""COMPUTED_VALUE"""),"TV Series 2010)")</f>
        <v>TV Series 2010)</v>
      </c>
    </row>
    <row r="2224" spans="1:5" ht="13" x14ac:dyDescent="0.15">
      <c r="A2224" s="5" t="s">
        <v>2500</v>
      </c>
      <c r="D2224" t="str">
        <f ca="1">IFERROR(__xludf.DUMMYFUNCTION("split(A2224,""("")"),"Paradise ")</f>
        <v xml:space="preserve">Paradise </v>
      </c>
      <c r="E2224" t="str">
        <f ca="1">IFERROR(__xludf.DUMMYFUNCTION("""COMPUTED_VALUE"""),"TV Series 1988–1990)")</f>
        <v>TV Series 1988–1990)</v>
      </c>
    </row>
    <row r="2225" spans="1:5" ht="13" x14ac:dyDescent="0.15">
      <c r="A2225" s="5" t="s">
        <v>2501</v>
      </c>
      <c r="D2225" t="str">
        <f ca="1">IFERROR(__xludf.DUMMYFUNCTION("split(A2225,""("")"),"Paradise Falls ")</f>
        <v xml:space="preserve">Paradise Falls </v>
      </c>
      <c r="E2225" t="str">
        <f ca="1">IFERROR(__xludf.DUMMYFUNCTION("""COMPUTED_VALUE"""),"TV Series 2001– )")</f>
        <v>TV Series 2001– )</v>
      </c>
    </row>
    <row r="2226" spans="1:5" ht="13" x14ac:dyDescent="0.15">
      <c r="A2226" s="5" t="s">
        <v>2502</v>
      </c>
      <c r="D2226" t="str">
        <f ca="1">IFERROR(__xludf.DUMMYFUNCTION("split(A2226,""("")"),"Paranormal Witness ")</f>
        <v xml:space="preserve">Paranormal Witness </v>
      </c>
      <c r="E2226" t="str">
        <f ca="1">IFERROR(__xludf.DUMMYFUNCTION("""COMPUTED_VALUE"""),"TV Series 2011– )")</f>
        <v>TV Series 2011– )</v>
      </c>
    </row>
    <row r="2227" spans="1:5" ht="13" x14ac:dyDescent="0.15">
      <c r="A2227" s="5" t="s">
        <v>2503</v>
      </c>
      <c r="D2227" t="str">
        <f ca="1">IFERROR(__xludf.DUMMYFUNCTION("split(A2227,""("")"),"Parásitos ")</f>
        <v xml:space="preserve">Parásitos </v>
      </c>
      <c r="E2227" t="str">
        <f ca="1">IFERROR(__xludf.DUMMYFUNCTION("""COMPUTED_VALUE"""),"TV Series 2011–2012)")</f>
        <v>TV Series 2011–2012)</v>
      </c>
    </row>
    <row r="2228" spans="1:5" ht="13" x14ac:dyDescent="0.15">
      <c r="A2228" s="5" t="s">
        <v>364</v>
      </c>
      <c r="D2228" t="str">
        <f ca="1">IFERROR(__xludf.DUMMYFUNCTION("split(A2228,""("")"),"Parks and Recreation ")</f>
        <v xml:space="preserve">Parks and Recreation </v>
      </c>
      <c r="E2228" t="str">
        <f ca="1">IFERROR(__xludf.DUMMYFUNCTION("""COMPUTED_VALUE"""),"TV Series 2009–2015)")</f>
        <v>TV Series 2009–2015)</v>
      </c>
    </row>
    <row r="2229" spans="1:5" ht="13" x14ac:dyDescent="0.15">
      <c r="A2229" s="5" t="s">
        <v>2504</v>
      </c>
      <c r="D2229" t="str">
        <f ca="1">IFERROR(__xludf.DUMMYFUNCTION("split(A2229,""("")"),"Partners ")</f>
        <v xml:space="preserve">Partners </v>
      </c>
      <c r="E2229" t="str">
        <f ca="1">IFERROR(__xludf.DUMMYFUNCTION("""COMPUTED_VALUE"""),"TV Series 2012–2013)")</f>
        <v>TV Series 2012–2013)</v>
      </c>
    </row>
    <row r="2230" spans="1:5" ht="13" x14ac:dyDescent="0.15">
      <c r="A2230" s="5" t="s">
        <v>2505</v>
      </c>
      <c r="D2230" t="str">
        <f ca="1">IFERROR(__xludf.DUMMYFUNCTION("split(A2230,""("")"),"Party of Five ")</f>
        <v xml:space="preserve">Party of Five </v>
      </c>
      <c r="E2230" t="str">
        <f ca="1">IFERROR(__xludf.DUMMYFUNCTION("""COMPUTED_VALUE"""),"TV Series 1994–2000)")</f>
        <v>TV Series 1994–2000)</v>
      </c>
    </row>
    <row r="2231" spans="1:5" ht="13" x14ac:dyDescent="0.15">
      <c r="A2231" s="5" t="s">
        <v>2506</v>
      </c>
      <c r="D2231" t="str">
        <f ca="1">IFERROR(__xludf.DUMMYFUNCTION("split(A2231,""("")"),"Passione ")</f>
        <v xml:space="preserve">Passione </v>
      </c>
      <c r="E2231" t="str">
        <f ca="1">IFERROR(__xludf.DUMMYFUNCTION("""COMPUTED_VALUE"""),"TV Series 2010– )")</f>
        <v>TV Series 2010– )</v>
      </c>
    </row>
    <row r="2232" spans="1:5" ht="13" x14ac:dyDescent="0.15">
      <c r="A2232" s="5" t="s">
        <v>2507</v>
      </c>
      <c r="D2232" t="str">
        <f ca="1">IFERROR(__xludf.DUMMYFUNCTION("split(A2232,""("")"),"Past Life ")</f>
        <v xml:space="preserve">Past Life </v>
      </c>
      <c r="E2232" t="str">
        <f ca="1">IFERROR(__xludf.DUMMYFUNCTION("""COMPUTED_VALUE"""),"TV Series 2010)")</f>
        <v>TV Series 2010)</v>
      </c>
    </row>
    <row r="2233" spans="1:5" ht="13" x14ac:dyDescent="0.15">
      <c r="A2233" s="5" t="s">
        <v>2508</v>
      </c>
      <c r="D2233" t="str">
        <f ca="1">IFERROR(__xludf.DUMMYFUNCTION("split(A2233,""("")"),"Pé Na Porta ")</f>
        <v xml:space="preserve">Pé Na Porta </v>
      </c>
      <c r="E2233" t="str">
        <f ca="1">IFERROR(__xludf.DUMMYFUNCTION("""COMPUTED_VALUE"""),"TV Series 2007– )")</f>
        <v>TV Series 2007– )</v>
      </c>
    </row>
    <row r="2234" spans="1:5" ht="13" x14ac:dyDescent="0.15">
      <c r="A2234" s="5" t="s">
        <v>2509</v>
      </c>
      <c r="D2234" t="str">
        <f ca="1">IFERROR(__xludf.DUMMYFUNCTION("split(A2234,""("")"),"Peaky Blinders ")</f>
        <v xml:space="preserve">Peaky Blinders </v>
      </c>
      <c r="E2234" t="str">
        <f ca="1">IFERROR(__xludf.DUMMYFUNCTION("""COMPUTED_VALUE"""),"TV Series 2013– )")</f>
        <v>TV Series 2013– )</v>
      </c>
    </row>
    <row r="2235" spans="1:5" ht="13" x14ac:dyDescent="0.15">
      <c r="A2235" s="5" t="s">
        <v>2510</v>
      </c>
      <c r="D2235" t="str">
        <f ca="1">IFERROR(__xludf.DUMMYFUNCTION("split(A2235,""("")"),"Pee-wee's Playhouse ")</f>
        <v xml:space="preserve">Pee-wee's Playhouse </v>
      </c>
      <c r="E2235" t="str">
        <f ca="1">IFERROR(__xludf.DUMMYFUNCTION("""COMPUTED_VALUE"""),"TV Series 1986–1991)")</f>
        <v>TV Series 1986–1991)</v>
      </c>
    </row>
    <row r="2236" spans="1:5" ht="13" x14ac:dyDescent="0.15">
      <c r="A2236" s="5" t="s">
        <v>2511</v>
      </c>
      <c r="D2236" t="str">
        <f ca="1">IFERROR(__xludf.DUMMYFUNCTION("split(A2236,""("")"),"Pelagea ASMR ")</f>
        <v xml:space="preserve">Pelagea ASMR </v>
      </c>
      <c r="E2236" t="str">
        <f ca="1">IFERROR(__xludf.DUMMYFUNCTION("""COMPUTED_VALUE"""),"TV Series 2015– )")</f>
        <v>TV Series 2015– )</v>
      </c>
    </row>
    <row r="2237" spans="1:5" ht="13" x14ac:dyDescent="0.15">
      <c r="A2237" s="5" t="s">
        <v>2512</v>
      </c>
      <c r="D2237" t="str">
        <f ca="1">IFERROR(__xludf.DUMMYFUNCTION("split(A2237,""("")"),"Pelswick ")</f>
        <v xml:space="preserve">Pelswick </v>
      </c>
      <c r="E2237" t="str">
        <f ca="1">IFERROR(__xludf.DUMMYFUNCTION("""COMPUTED_VALUE"""),"TV Series 2000–2002)")</f>
        <v>TV Series 2000–2002)</v>
      </c>
    </row>
    <row r="2238" spans="1:5" ht="13" x14ac:dyDescent="0.15">
      <c r="A2238" s="5" t="s">
        <v>2513</v>
      </c>
      <c r="D2238" t="str">
        <f ca="1">IFERROR(__xludf.DUMMYFUNCTION("split(A2238,""("")"),"PEN15 ")</f>
        <v xml:space="preserve">PEN15 </v>
      </c>
      <c r="E2238" t="str">
        <f ca="1">IFERROR(__xludf.DUMMYFUNCTION("""COMPUTED_VALUE"""),"TV Series 2019– )")</f>
        <v>TV Series 2019– )</v>
      </c>
    </row>
    <row r="2239" spans="1:5" ht="13" x14ac:dyDescent="0.15">
      <c r="A2239" s="5" t="s">
        <v>2514</v>
      </c>
      <c r="D2239" t="str">
        <f ca="1">IFERROR(__xludf.DUMMYFUNCTION("split(A2239,""("")"),"Penn &amp; Teller: Bullshit! ")</f>
        <v xml:space="preserve">Penn &amp; Teller: Bullshit! </v>
      </c>
      <c r="E2239" t="str">
        <f ca="1">IFERROR(__xludf.DUMMYFUNCTION("""COMPUTED_VALUE"""),"TV Series 2003–2010)")</f>
        <v>TV Series 2003–2010)</v>
      </c>
    </row>
    <row r="2240" spans="1:5" ht="13" x14ac:dyDescent="0.15">
      <c r="A2240" s="5" t="s">
        <v>2515</v>
      </c>
      <c r="D2240" t="str">
        <f ca="1">IFERROR(__xludf.DUMMYFUNCTION("split(A2240,""("")"),"Penny Dreadful ")</f>
        <v xml:space="preserve">Penny Dreadful </v>
      </c>
      <c r="E2240" t="str">
        <f ca="1">IFERROR(__xludf.DUMMYFUNCTION("""COMPUTED_VALUE"""),"TV Series 2014–2016)")</f>
        <v>TV Series 2014–2016)</v>
      </c>
    </row>
    <row r="2241" spans="1:5" ht="13" x14ac:dyDescent="0.15">
      <c r="A2241" s="5" t="s">
        <v>2516</v>
      </c>
      <c r="D2241" t="str">
        <f ca="1">IFERROR(__xludf.DUMMYFUNCTION("split(A2241,""("")"),"People Just Do Nothing ")</f>
        <v xml:space="preserve">People Just Do Nothing </v>
      </c>
      <c r="E2241" t="str">
        <f ca="1">IFERROR(__xludf.DUMMYFUNCTION("""COMPUTED_VALUE"""),"TV Series 2014– )")</f>
        <v>TV Series 2014– )</v>
      </c>
    </row>
    <row r="2242" spans="1:5" ht="13" x14ac:dyDescent="0.15">
      <c r="A2242" s="5" t="s">
        <v>2517</v>
      </c>
      <c r="D2242" t="str">
        <f ca="1">IFERROR(__xludf.DUMMYFUNCTION("split(A2242,""("")"),"People Magazine Investigates ")</f>
        <v xml:space="preserve">People Magazine Investigates </v>
      </c>
      <c r="E2242" t="str">
        <f ca="1">IFERROR(__xludf.DUMMYFUNCTION("""COMPUTED_VALUE"""),"TV Series 2016– )")</f>
        <v>TV Series 2016– )</v>
      </c>
    </row>
    <row r="2243" spans="1:5" ht="13" x14ac:dyDescent="0.15">
      <c r="A2243" s="5" t="s">
        <v>2518</v>
      </c>
      <c r="D2243" t="str">
        <f ca="1">IFERROR(__xludf.DUMMYFUNCTION("split(A2243,""("")"),"People of Earth ")</f>
        <v xml:space="preserve">People of Earth </v>
      </c>
      <c r="E2243" t="str">
        <f ca="1">IFERROR(__xludf.DUMMYFUNCTION("""COMPUTED_VALUE"""),"TV Series 2016–2017)")</f>
        <v>TV Series 2016–2017)</v>
      </c>
    </row>
    <row r="2244" spans="1:5" ht="13" x14ac:dyDescent="0.15">
      <c r="A2244" s="5" t="s">
        <v>2519</v>
      </c>
      <c r="D2244" t="str">
        <f ca="1">IFERROR(__xludf.DUMMYFUNCTION("split(A2244,""("")"),"Peppa Pig ")</f>
        <v xml:space="preserve">Peppa Pig </v>
      </c>
      <c r="E2244" t="str">
        <f ca="1">IFERROR(__xludf.DUMMYFUNCTION("""COMPUTED_VALUE"""),"TV Series 2004– )")</f>
        <v>TV Series 2004– )</v>
      </c>
    </row>
    <row r="2245" spans="1:5" ht="13" x14ac:dyDescent="0.15">
      <c r="A2245" s="5" t="s">
        <v>2520</v>
      </c>
      <c r="D2245" t="str">
        <f ca="1">IFERROR(__xludf.DUMMYFUNCTION("split(A2245,""("")"),"Pepper Chocolate ")</f>
        <v xml:space="preserve">Pepper Chocolate </v>
      </c>
      <c r="E2245" t="str">
        <f ca="1">IFERROR(__xludf.DUMMYFUNCTION("""COMPUTED_VALUE"""),"TV Series 2003–2004)")</f>
        <v>TV Series 2003–2004)</v>
      </c>
    </row>
    <row r="2246" spans="1:5" ht="13" x14ac:dyDescent="0.15">
      <c r="A2246" s="5" t="s">
        <v>2521</v>
      </c>
      <c r="D2246" t="str">
        <f ca="1">IFERROR(__xludf.DUMMYFUNCTION("split(A2246,""("")"),"Perfect World ")</f>
        <v xml:space="preserve">Perfect World </v>
      </c>
      <c r="E2246" t="str">
        <f ca="1">IFERROR(__xludf.DUMMYFUNCTION("""COMPUTED_VALUE"""),"TV Series 2019– )")</f>
        <v>TV Series 2019– )</v>
      </c>
    </row>
    <row r="2247" spans="1:5" ht="13" x14ac:dyDescent="0.15">
      <c r="A2247" s="5" t="s">
        <v>365</v>
      </c>
      <c r="D2247" t="str">
        <f ca="1">IFERROR(__xludf.DUMMYFUNCTION("split(A2247,""("")"),"Person of Interest ")</f>
        <v xml:space="preserve">Person of Interest </v>
      </c>
      <c r="E2247" t="str">
        <f ca="1">IFERROR(__xludf.DUMMYFUNCTION("""COMPUTED_VALUE"""),"TV Series 2011–2016)")</f>
        <v>TV Series 2011–2016)</v>
      </c>
    </row>
    <row r="2248" spans="1:5" ht="13" x14ac:dyDescent="0.15">
      <c r="A2248" s="5" t="s">
        <v>2522</v>
      </c>
      <c r="D2248" t="str">
        <f ca="1">IFERROR(__xludf.DUMMYFUNCTION("split(A2248,""("")"),"Petscop ")</f>
        <v xml:space="preserve">Petscop </v>
      </c>
      <c r="E2248" t="str">
        <f ca="1">IFERROR(__xludf.DUMMYFUNCTION("""COMPUTED_VALUE"""),"TV Series 2017–2019)")</f>
        <v>TV Series 2017–2019)</v>
      </c>
    </row>
    <row r="2249" spans="1:5" ht="13" x14ac:dyDescent="0.15">
      <c r="A2249" s="5" t="s">
        <v>2523</v>
      </c>
      <c r="D2249" t="str">
        <f ca="1">IFERROR(__xludf.DUMMYFUNCTION("split(A2249,""("")"),"Phantom: Requiem for the Phantom ")</f>
        <v xml:space="preserve">Phantom: Requiem for the Phantom </v>
      </c>
      <c r="E2249" t="str">
        <f ca="1">IFERROR(__xludf.DUMMYFUNCTION("""COMPUTED_VALUE"""),"TV Series 2009– )")</f>
        <v>TV Series 2009– )</v>
      </c>
    </row>
    <row r="2250" spans="1:5" ht="13" x14ac:dyDescent="0.15">
      <c r="A2250" s="5" t="s">
        <v>2524</v>
      </c>
      <c r="D2250" t="str">
        <f ca="1">IFERROR(__xludf.DUMMYFUNCTION("split(A2250,""("")"),"Phil of the Future ")</f>
        <v xml:space="preserve">Phil of the Future </v>
      </c>
      <c r="E2250" t="str">
        <f ca="1">IFERROR(__xludf.DUMMYFUNCTION("""COMPUTED_VALUE"""),"TV Series 2004–2006)")</f>
        <v>TV Series 2004–2006)</v>
      </c>
    </row>
    <row r="2251" spans="1:5" ht="13" x14ac:dyDescent="0.15">
      <c r="A2251" s="5" t="s">
        <v>2525</v>
      </c>
      <c r="D2251" t="str">
        <f ca="1">IFERROR(__xludf.DUMMYFUNCTION("split(A2251,""("")"),"Philip Marlowe, Private Eye ")</f>
        <v xml:space="preserve">Philip Marlowe, Private Eye </v>
      </c>
      <c r="E2251" t="str">
        <f ca="1">IFERROR(__xludf.DUMMYFUNCTION("""COMPUTED_VALUE"""),"TV Series 1983–1986)")</f>
        <v>TV Series 1983–1986)</v>
      </c>
    </row>
    <row r="2252" spans="1:5" ht="13" x14ac:dyDescent="0.15">
      <c r="A2252" s="5" t="s">
        <v>2526</v>
      </c>
      <c r="D2252" t="str">
        <f ca="1">IFERROR(__xludf.DUMMYFUNCTION("split(A2252,""("")"),"Phineas and Ferb ")</f>
        <v xml:space="preserve">Phineas and Ferb </v>
      </c>
      <c r="E2252" t="str">
        <f ca="1">IFERROR(__xludf.DUMMYFUNCTION("""COMPUTED_VALUE"""),"TV Series 2007–2015)")</f>
        <v>TV Series 2007–2015)</v>
      </c>
    </row>
    <row r="2253" spans="1:5" ht="13" x14ac:dyDescent="0.15">
      <c r="A2253" s="5" t="s">
        <v>2527</v>
      </c>
      <c r="D2253" t="str">
        <f ca="1">IFERROR(__xludf.DUMMYFUNCTION("split(A2253,""("")"),"Pick Me! ")</f>
        <v xml:space="preserve">Pick Me! </v>
      </c>
      <c r="E2253" t="str">
        <f ca="1">IFERROR(__xludf.DUMMYFUNCTION("""COMPUTED_VALUE"""),"TV Series 2015– )")</f>
        <v>TV Series 2015– )</v>
      </c>
    </row>
    <row r="2254" spans="1:5" ht="13" x14ac:dyDescent="0.15">
      <c r="A2254" s="5" t="s">
        <v>366</v>
      </c>
      <c r="D2254" t="str">
        <f ca="1">IFERROR(__xludf.DUMMYFUNCTION("split(A2254,""("")"),"Picket Fences ")</f>
        <v xml:space="preserve">Picket Fences </v>
      </c>
      <c r="E2254" t="str">
        <f ca="1">IFERROR(__xludf.DUMMYFUNCTION("""COMPUTED_VALUE"""),"TV Series 1992–1996)")</f>
        <v>TV Series 1992–1996)</v>
      </c>
    </row>
    <row r="2255" spans="1:5" ht="13" x14ac:dyDescent="0.15">
      <c r="A2255" s="5" t="s">
        <v>2528</v>
      </c>
      <c r="D2255" t="str">
        <f ca="1">IFERROR(__xludf.DUMMYFUNCTION("split(A2255,""("")"),"Pierre and Isa ")</f>
        <v xml:space="preserve">Pierre and Isa </v>
      </c>
      <c r="E2255" t="str">
        <f ca="1">IFERROR(__xludf.DUMMYFUNCTION("""COMPUTED_VALUE"""),"TV Series 1991–1992)")</f>
        <v>TV Series 1991–1992)</v>
      </c>
    </row>
    <row r="2256" spans="1:5" ht="13" x14ac:dyDescent="0.15">
      <c r="A2256" s="5" t="s">
        <v>2529</v>
      </c>
      <c r="D2256" t="str">
        <f ca="1">IFERROR(__xludf.DUMMYFUNCTION("split(A2256,""("")"),"Pinheads ")</f>
        <v xml:space="preserve">Pinheads </v>
      </c>
      <c r="E2256" t="str">
        <f ca="1">IFERROR(__xludf.DUMMYFUNCTION("""COMPUTED_VALUE"""),"TV Series 2014– )")</f>
        <v>TV Series 2014– )</v>
      </c>
    </row>
    <row r="2257" spans="1:5" ht="13" x14ac:dyDescent="0.15">
      <c r="A2257" s="5" t="s">
        <v>2530</v>
      </c>
      <c r="D2257" t="str">
        <f ca="1">IFERROR(__xludf.DUMMYFUNCTION("split(A2257,""("")"),"Pinky and the Brain ")</f>
        <v xml:space="preserve">Pinky and the Brain </v>
      </c>
      <c r="E2257" t="str">
        <f ca="1">IFERROR(__xludf.DUMMYFUNCTION("""COMPUTED_VALUE"""),"TV Series 1995–1998)")</f>
        <v>TV Series 1995–1998)</v>
      </c>
    </row>
    <row r="2258" spans="1:5" ht="13" x14ac:dyDescent="0.15">
      <c r="A2258" s="5" t="s">
        <v>2531</v>
      </c>
      <c r="D2258" t="str">
        <f ca="1">IFERROR(__xludf.DUMMYFUNCTION("split(A2258,""("")"),"Pinulot ka lang sa lupa ")</f>
        <v xml:space="preserve">Pinulot ka lang sa lupa </v>
      </c>
      <c r="E2258" t="str">
        <f ca="1">IFERROR(__xludf.DUMMYFUNCTION("""COMPUTED_VALUE"""),"TV Series 2017– )")</f>
        <v>TV Series 2017– )</v>
      </c>
    </row>
    <row r="2259" spans="1:5" ht="13" x14ac:dyDescent="0.15">
      <c r="A2259" s="5" t="s">
        <v>2532</v>
      </c>
      <c r="D2259" t="str">
        <f ca="1">IFERROR(__xludf.DUMMYFUNCTION("split(A2259,""("")"),"Pirlimpimpim ")</f>
        <v xml:space="preserve">Pirlimpimpim </v>
      </c>
      <c r="E2259" t="str">
        <f ca="1">IFERROR(__xludf.DUMMYFUNCTION("""COMPUTED_VALUE"""),"TV Series 2001–2007)")</f>
        <v>TV Series 2001–2007)</v>
      </c>
    </row>
    <row r="2260" spans="1:5" ht="13" x14ac:dyDescent="0.15">
      <c r="A2260" s="5" t="s">
        <v>2533</v>
      </c>
      <c r="D2260" t="str">
        <f ca="1">IFERROR(__xludf.DUMMYFUNCTION("split(A2260,""("")"),"Planetes ")</f>
        <v xml:space="preserve">Planetes </v>
      </c>
      <c r="E2260" t="str">
        <f ca="1">IFERROR(__xludf.DUMMYFUNCTION("""COMPUTED_VALUE"""),"TV Series 2003–2004)")</f>
        <v>TV Series 2003–2004)</v>
      </c>
    </row>
    <row r="2261" spans="1:5" ht="13" x14ac:dyDescent="0.15">
      <c r="A2261" s="5" t="s">
        <v>2534</v>
      </c>
      <c r="D2261" t="str">
        <f ca="1">IFERROR(__xludf.DUMMYFUNCTION("split(A2261,""("")"),"Play by Play ")</f>
        <v xml:space="preserve">Play by Play </v>
      </c>
      <c r="E2261" t="str">
        <f ca="1">IFERROR(__xludf.DUMMYFUNCTION("""COMPUTED_VALUE"""),"TV Series 2017– )")</f>
        <v>TV Series 2017– )</v>
      </c>
    </row>
    <row r="2262" spans="1:5" ht="13" x14ac:dyDescent="0.15">
      <c r="A2262" s="5" t="s">
        <v>2535</v>
      </c>
      <c r="D2262" t="str">
        <f ca="1">IFERROR(__xludf.DUMMYFUNCTION("split(A2262,""("")"),"Playboy Cyber Girls ")</f>
        <v xml:space="preserve">Playboy Cyber Girls </v>
      </c>
      <c r="E2262" t="str">
        <f ca="1">IFERROR(__xludf.DUMMYFUNCTION("""COMPUTED_VALUE"""),"TV Series 2001– )")</f>
        <v>TV Series 2001– )</v>
      </c>
    </row>
    <row r="2263" spans="1:5" ht="13" x14ac:dyDescent="0.15">
      <c r="A2263" s="5" t="s">
        <v>2536</v>
      </c>
      <c r="D2263" t="str">
        <f ca="1">IFERROR(__xludf.DUMMYFUNCTION("split(A2263,""("")"),"Playing the Field ")</f>
        <v xml:space="preserve">Playing the Field </v>
      </c>
      <c r="E2263" t="str">
        <f ca="1">IFERROR(__xludf.DUMMYFUNCTION("""COMPUTED_VALUE"""),"TV Series 1998–2002)")</f>
        <v>TV Series 1998–2002)</v>
      </c>
    </row>
    <row r="2264" spans="1:5" ht="13" x14ac:dyDescent="0.15">
      <c r="A2264" s="7" t="s">
        <v>2537</v>
      </c>
      <c r="D2264" t="str">
        <f ca="1">IFERROR(__xludf.DUMMYFUNCTION("split(A2264,""("")"),"Pleasant Green Baptist Church of Omaha Nebraska ")</f>
        <v xml:space="preserve">Pleasant Green Baptist Church of Omaha Nebraska </v>
      </c>
      <c r="E2264" t="str">
        <f ca="1">IFERROR(__xludf.DUMMYFUNCTION("""COMPUTED_VALUE"""),"TV Series 1999– )")</f>
        <v>TV Series 1999– )</v>
      </c>
    </row>
    <row r="2265" spans="1:5" ht="13" x14ac:dyDescent="0.15">
      <c r="A2265" s="5" t="s">
        <v>2538</v>
      </c>
      <c r="D2265" t="str">
        <f ca="1">IFERROR(__xludf.DUMMYFUNCTION("split(A2265,""("")"),"Please Like Me ")</f>
        <v xml:space="preserve">Please Like Me </v>
      </c>
      <c r="E2265" t="str">
        <f ca="1">IFERROR(__xludf.DUMMYFUNCTION("""COMPUTED_VALUE"""),"TV Series 2013–2016)")</f>
        <v>TV Series 2013–2016)</v>
      </c>
    </row>
    <row r="2266" spans="1:5" ht="13" x14ac:dyDescent="0.15">
      <c r="A2266" s="5" t="s">
        <v>2539</v>
      </c>
      <c r="D2266" t="str">
        <f ca="1">IFERROR(__xludf.DUMMYFUNCTION("split(A2266,""("")"),"Please Save My Earth ")</f>
        <v xml:space="preserve">Please Save My Earth </v>
      </c>
      <c r="E2266" t="str">
        <f ca="1">IFERROR(__xludf.DUMMYFUNCTION("""COMPUTED_VALUE"""),"TV Series 1993–1994)")</f>
        <v>TV Series 1993–1994)</v>
      </c>
    </row>
    <row r="2267" spans="1:5" ht="13" x14ac:dyDescent="0.15">
      <c r="A2267" s="5" t="s">
        <v>2540</v>
      </c>
      <c r="D2267" t="str">
        <f ca="1">IFERROR(__xludf.DUMMYFUNCTION("split(A2267,""("")"),"Please Teacher! ")</f>
        <v xml:space="preserve">Please Teacher! </v>
      </c>
      <c r="E2267" t="str">
        <f ca="1">IFERROR(__xludf.DUMMYFUNCTION("""COMPUTED_VALUE"""),"TV Series 2002– )")</f>
        <v>TV Series 2002– )</v>
      </c>
    </row>
    <row r="2268" spans="1:5" ht="13" x14ac:dyDescent="0.15">
      <c r="A2268" s="5" t="s">
        <v>2541</v>
      </c>
      <c r="D2268" t="str">
        <f ca="1">IFERROR(__xludf.DUMMYFUNCTION("split(A2268,""("")"),"Please Twins! ")</f>
        <v xml:space="preserve">Please Twins! </v>
      </c>
      <c r="E2268" t="str">
        <f ca="1">IFERROR(__xludf.DUMMYFUNCTION("""COMPUTED_VALUE"""),"TV Series 2003– )")</f>
        <v>TV Series 2003– )</v>
      </c>
    </row>
    <row r="2269" spans="1:5" ht="13" x14ac:dyDescent="0.15">
      <c r="A2269" s="5" t="s">
        <v>2542</v>
      </c>
      <c r="D2269" t="str">
        <f ca="1">IFERROR(__xludf.DUMMYFUNCTION("split(A2269,""("")"),"Plebania ")</f>
        <v xml:space="preserve">Plebania </v>
      </c>
      <c r="E2269" t="str">
        <f ca="1">IFERROR(__xludf.DUMMYFUNCTION("""COMPUTED_VALUE"""),"TV Series 2000– )")</f>
        <v>TV Series 2000– )</v>
      </c>
    </row>
    <row r="2270" spans="1:5" ht="13" x14ac:dyDescent="0.15">
      <c r="A2270" s="5" t="s">
        <v>2543</v>
      </c>
      <c r="D2270" t="str">
        <f ca="1">IFERROR(__xludf.DUMMYFUNCTION("split(A2270,""("")"),"Plebs ")</f>
        <v xml:space="preserve">Plebs </v>
      </c>
      <c r="E2270" t="str">
        <f ca="1">IFERROR(__xludf.DUMMYFUNCTION("""COMPUTED_VALUE"""),"TV Series 2013– )")</f>
        <v>TV Series 2013– )</v>
      </c>
    </row>
    <row r="2271" spans="1:5" ht="13" x14ac:dyDescent="0.15">
      <c r="A2271" s="5" t="s">
        <v>2544</v>
      </c>
      <c r="D2271" t="str">
        <f ca="1">IFERROR(__xludf.DUMMYFUNCTION("split(A2271,""("")"),"Plus belle la vie ")</f>
        <v xml:space="preserve">Plus belle la vie </v>
      </c>
      <c r="E2271" t="str">
        <f ca="1">IFERROR(__xludf.DUMMYFUNCTION("""COMPUTED_VALUE"""),"TV Series 2004– )")</f>
        <v>TV Series 2004– )</v>
      </c>
    </row>
    <row r="2272" spans="1:5" ht="13" x14ac:dyDescent="0.15">
      <c r="A2272" s="5" t="s">
        <v>2545</v>
      </c>
      <c r="D2272" t="str">
        <f ca="1">IFERROR(__xludf.DUMMYFUNCTION("split(A2272,""("")"),"Pochtoviy chetverg ")</f>
        <v xml:space="preserve">Pochtoviy chetverg </v>
      </c>
      <c r="E2272" t="str">
        <f ca="1">IFERROR(__xludf.DUMMYFUNCTION("""COMPUTED_VALUE"""),"TV Series 2015– )")</f>
        <v>TV Series 2015– )</v>
      </c>
    </row>
    <row r="2273" spans="1:5" ht="13" x14ac:dyDescent="0.15">
      <c r="A2273" s="5" t="s">
        <v>2546</v>
      </c>
      <c r="D2273" t="str">
        <f ca="1">IFERROR(__xludf.DUMMYFUNCTION("split(A2273,""("")"),"Point Blank ")</f>
        <v xml:space="preserve">Point Blank </v>
      </c>
      <c r="E2273" t="str">
        <f ca="1">IFERROR(__xludf.DUMMYFUNCTION("""COMPUTED_VALUE"""),"TV Series 2002– )")</f>
        <v>TV Series 2002– )</v>
      </c>
    </row>
    <row r="2274" spans="1:5" ht="13" x14ac:dyDescent="0.15">
      <c r="A2274" s="5" t="s">
        <v>2547</v>
      </c>
      <c r="D2274" t="str">
        <f ca="1">IFERROR(__xludf.DUMMYFUNCTION("split(A2274,""("")"),"Point Pleasant ")</f>
        <v xml:space="preserve">Point Pleasant </v>
      </c>
      <c r="E2274" t="str">
        <f ca="1">IFERROR(__xludf.DUMMYFUNCTION("""COMPUTED_VALUE"""),"TV Series 2005– )")</f>
        <v>TV Series 2005– )</v>
      </c>
    </row>
    <row r="2275" spans="1:5" ht="13" x14ac:dyDescent="0.15">
      <c r="A2275" s="5" t="s">
        <v>73</v>
      </c>
      <c r="D2275" t="str">
        <f ca="1">IFERROR(__xludf.DUMMYFUNCTION("split(A2275,""("")"),"Pokémon ")</f>
        <v xml:space="preserve">Pokémon </v>
      </c>
      <c r="E2275" t="str">
        <f ca="1">IFERROR(__xludf.DUMMYFUNCTION("""COMPUTED_VALUE"""),"TV Series 1997– )")</f>
        <v>TV Series 1997– )</v>
      </c>
    </row>
    <row r="2276" spans="1:5" ht="13" x14ac:dyDescent="0.15">
      <c r="A2276" s="5" t="s">
        <v>2548</v>
      </c>
      <c r="D2276" t="str">
        <f ca="1">IFERROR(__xludf.DUMMYFUNCTION("split(A2276,""("")"),"Poldark ")</f>
        <v xml:space="preserve">Poldark </v>
      </c>
      <c r="E2276" t="str">
        <f ca="1">IFERROR(__xludf.DUMMYFUNCTION("""COMPUTED_VALUE"""),"TV Series 2015– )")</f>
        <v>TV Series 2015– )</v>
      </c>
    </row>
    <row r="2277" spans="1:5" ht="13" x14ac:dyDescent="0.15">
      <c r="A2277" s="5" t="s">
        <v>444</v>
      </c>
      <c r="D2277" t="str">
        <f ca="1">IFERROR(__xludf.DUMMYFUNCTION("split(A2277,""("")"),"Police Academy: The Series ")</f>
        <v xml:space="preserve">Police Academy: The Series </v>
      </c>
      <c r="E2277" t="str">
        <f ca="1">IFERROR(__xludf.DUMMYFUNCTION("""COMPUTED_VALUE"""),"TV Series 1988–1989)")</f>
        <v>TV Series 1988–1989)</v>
      </c>
    </row>
    <row r="2278" spans="1:5" ht="13" x14ac:dyDescent="0.15">
      <c r="A2278" s="5" t="s">
        <v>2549</v>
      </c>
      <c r="D2278" t="str">
        <f ca="1">IFERROR(__xludf.DUMMYFUNCTION("split(A2278,""("")"),"Police Rescue ")</f>
        <v xml:space="preserve">Police Rescue </v>
      </c>
      <c r="E2278" t="str">
        <f ca="1">IFERROR(__xludf.DUMMYFUNCTION("""COMPUTED_VALUE"""),"TV Series 1989–1996)")</f>
        <v>TV Series 1989–1996)</v>
      </c>
    </row>
    <row r="2279" spans="1:5" ht="13" x14ac:dyDescent="0.15">
      <c r="A2279" s="5" t="s">
        <v>2550</v>
      </c>
      <c r="D2279" t="str">
        <f ca="1">IFERROR(__xludf.DUMMYFUNCTION("split(A2279,""("")"),"Police Squad! ")</f>
        <v xml:space="preserve">Police Squad! </v>
      </c>
      <c r="E2279" t="str">
        <f ca="1">IFERROR(__xludf.DUMMYFUNCTION("""COMPUTED_VALUE"""),"TV Series 1982)")</f>
        <v>TV Series 1982)</v>
      </c>
    </row>
    <row r="2280" spans="1:5" ht="13" x14ac:dyDescent="0.15">
      <c r="A2280" s="5" t="s">
        <v>2551</v>
      </c>
      <c r="D2280" t="str">
        <f ca="1">IFERROR(__xludf.DUMMYFUNCTION("split(A2280,""("")"),"Police Videos ")</f>
        <v xml:space="preserve">Police Videos </v>
      </c>
      <c r="E2280" t="str">
        <f ca="1">IFERROR(__xludf.DUMMYFUNCTION("""COMPUTED_VALUE"""),"TV Series 1998–2012)")</f>
        <v>TV Series 1998–2012)</v>
      </c>
    </row>
    <row r="2281" spans="1:5" ht="13" x14ac:dyDescent="0.15">
      <c r="A2281" s="5" t="s">
        <v>2552</v>
      </c>
      <c r="D2281" t="str">
        <f ca="1">IFERROR(__xludf.DUMMYFUNCTION("split(A2281,""("")"),"Popcultured ")</f>
        <v xml:space="preserve">Popcultured </v>
      </c>
      <c r="E2281" t="str">
        <f ca="1">IFERROR(__xludf.DUMMYFUNCTION("""COMPUTED_VALUE"""),"TV Series 2005– )")</f>
        <v>TV Series 2005– )</v>
      </c>
    </row>
    <row r="2282" spans="1:5" ht="13" x14ac:dyDescent="0.15">
      <c r="A2282" s="5" t="s">
        <v>2553</v>
      </c>
      <c r="D2282" t="str">
        <f ca="1">IFERROR(__xludf.DUMMYFUNCTION("split(A2282,""("")"),"Popples ")</f>
        <v xml:space="preserve">Popples </v>
      </c>
      <c r="E2282" t="str">
        <f ca="1">IFERROR(__xludf.DUMMYFUNCTION("""COMPUTED_VALUE"""),"TV Series 2015–2016)")</f>
        <v>TV Series 2015–2016)</v>
      </c>
    </row>
    <row r="2283" spans="1:5" ht="13" x14ac:dyDescent="0.15">
      <c r="A2283" s="5" t="s">
        <v>2554</v>
      </c>
      <c r="D2283" t="str">
        <f ca="1">IFERROR(__xludf.DUMMYFUNCTION("split(A2283,""("")"),"Popular ")</f>
        <v xml:space="preserve">Popular </v>
      </c>
      <c r="E2283" t="str">
        <f ca="1">IFERROR(__xludf.DUMMYFUNCTION("""COMPUTED_VALUE"""),"TV Series 1999–2001)")</f>
        <v>TV Series 1999–2001)</v>
      </c>
    </row>
    <row r="2284" spans="1:5" ht="13" x14ac:dyDescent="0.15">
      <c r="A2284" s="5" t="s">
        <v>626</v>
      </c>
      <c r="D2284" t="str">
        <f ca="1">IFERROR(__xludf.DUMMYFUNCTION("split(A2284,""("")"),"Port Charles ")</f>
        <v xml:space="preserve">Port Charles </v>
      </c>
      <c r="E2284" t="str">
        <f ca="1">IFERROR(__xludf.DUMMYFUNCTION("""COMPUTED_VALUE"""),"TV Series 1997–2003)")</f>
        <v>TV Series 1997–2003)</v>
      </c>
    </row>
    <row r="2285" spans="1:5" ht="13" x14ac:dyDescent="0.15">
      <c r="A2285" s="5" t="s">
        <v>2555</v>
      </c>
      <c r="D2285" t="str">
        <f ca="1">IFERROR(__xludf.DUMMYFUNCTION("split(A2285,""("")"),"Portlandia ")</f>
        <v xml:space="preserve">Portlandia </v>
      </c>
      <c r="E2285" t="str">
        <f ca="1">IFERROR(__xludf.DUMMYFUNCTION("""COMPUTED_VALUE"""),"TV Series 2011–2018)")</f>
        <v>TV Series 2011–2018)</v>
      </c>
    </row>
    <row r="2286" spans="1:5" ht="13" x14ac:dyDescent="0.15">
      <c r="A2286" s="5" t="s">
        <v>183</v>
      </c>
      <c r="D2286" t="str">
        <f ca="1">IFERROR(__xludf.DUMMYFUNCTION("split(A2286,""("")"),"Pose ")</f>
        <v xml:space="preserve">Pose </v>
      </c>
      <c r="E2286" t="str">
        <f ca="1">IFERROR(__xludf.DUMMYFUNCTION("""COMPUTED_VALUE"""),"TV Series 2018– )")</f>
        <v>TV Series 2018– )</v>
      </c>
    </row>
    <row r="2287" spans="1:5" ht="13" x14ac:dyDescent="0.15">
      <c r="A2287" s="5" t="s">
        <v>2556</v>
      </c>
      <c r="D2287" t="str">
        <f ca="1">IFERROR(__xludf.DUMMYFUNCTION("split(A2287,""("")"),"Poslednji cin ")</f>
        <v xml:space="preserve">Poslednji cin </v>
      </c>
      <c r="E2287" t="str">
        <f ca="1">IFERROR(__xludf.DUMMYFUNCTION("""COMPUTED_VALUE"""),"TV Series 1981– )")</f>
        <v>TV Series 1981– )</v>
      </c>
    </row>
    <row r="2288" spans="1:5" ht="13" x14ac:dyDescent="0.15">
      <c r="A2288" s="5" t="s">
        <v>2557</v>
      </c>
      <c r="D2288" t="str">
        <f ca="1">IFERROR(__xludf.DUMMYFUNCTION("split(A2288,""("")"),"Post-Trib Moments ")</f>
        <v xml:space="preserve">Post-Trib Moments </v>
      </c>
      <c r="E2288" t="str">
        <f ca="1">IFERROR(__xludf.DUMMYFUNCTION("""COMPUTED_VALUE"""),"TV Series 2012– )")</f>
        <v>TV Series 2012– )</v>
      </c>
    </row>
    <row r="2289" spans="1:5" ht="13" x14ac:dyDescent="0.15">
      <c r="A2289" s="5" t="s">
        <v>226</v>
      </c>
      <c r="D2289" t="str">
        <f ca="1">IFERROR(__xludf.DUMMYFUNCTION("split(A2289,""("")"),"Power ")</f>
        <v xml:space="preserve">Power </v>
      </c>
      <c r="E2289" t="str">
        <f ca="1">IFERROR(__xludf.DUMMYFUNCTION("""COMPUTED_VALUE"""),"TV Series 2014– )")</f>
        <v>TV Series 2014– )</v>
      </c>
    </row>
    <row r="2290" spans="1:5" ht="13" x14ac:dyDescent="0.15">
      <c r="A2290" s="5" t="s">
        <v>2558</v>
      </c>
      <c r="D2290" t="str">
        <f ca="1">IFERROR(__xludf.DUMMYFUNCTION("split(A2290,""("")"),"Power Lunch ")</f>
        <v xml:space="preserve">Power Lunch </v>
      </c>
      <c r="E2290" t="str">
        <f ca="1">IFERROR(__xludf.DUMMYFUNCTION("""COMPUTED_VALUE"""),"TV Series 2017– )")</f>
        <v>TV Series 2017– )</v>
      </c>
    </row>
    <row r="2291" spans="1:5" ht="13" x14ac:dyDescent="0.15">
      <c r="A2291" s="5" t="s">
        <v>508</v>
      </c>
      <c r="D2291" t="str">
        <f ca="1">IFERROR(__xludf.DUMMYFUNCTION("split(A2291,""("")"),"Power Rangers DinoThunder ")</f>
        <v xml:space="preserve">Power Rangers DinoThunder </v>
      </c>
      <c r="E2291" t="str">
        <f ca="1">IFERROR(__xludf.DUMMYFUNCTION("""COMPUTED_VALUE"""),"TV Series 2004)")</f>
        <v>TV Series 2004)</v>
      </c>
    </row>
    <row r="2292" spans="1:5" ht="13" x14ac:dyDescent="0.15">
      <c r="A2292" s="5" t="s">
        <v>509</v>
      </c>
      <c r="D2292" t="str">
        <f ca="1">IFERROR(__xludf.DUMMYFUNCTION("split(A2292,""("")"),"Power Rangers in Space ")</f>
        <v xml:space="preserve">Power Rangers in Space </v>
      </c>
      <c r="E2292" t="str">
        <f ca="1">IFERROR(__xludf.DUMMYFUNCTION("""COMPUTED_VALUE"""),"TV Series 1998–1999)")</f>
        <v>TV Series 1998–1999)</v>
      </c>
    </row>
    <row r="2293" spans="1:5" ht="13" x14ac:dyDescent="0.15">
      <c r="A2293" s="5" t="s">
        <v>510</v>
      </c>
      <c r="D2293" t="str">
        <f ca="1">IFERROR(__xludf.DUMMYFUNCTION("split(A2293,""("")"),"Power Rangers Jungle Fury ")</f>
        <v xml:space="preserve">Power Rangers Jungle Fury </v>
      </c>
      <c r="E2293" t="str">
        <f ca="1">IFERROR(__xludf.DUMMYFUNCTION("""COMPUTED_VALUE"""),"TV Series 2008)")</f>
        <v>TV Series 2008)</v>
      </c>
    </row>
    <row r="2294" spans="1:5" ht="13" x14ac:dyDescent="0.15">
      <c r="A2294" s="5" t="s">
        <v>511</v>
      </c>
      <c r="D2294" t="str">
        <f ca="1">IFERROR(__xludf.DUMMYFUNCTION("split(A2294,""("")"),"Power Rangers Ninja Steel ")</f>
        <v xml:space="preserve">Power Rangers Ninja Steel </v>
      </c>
      <c r="E2294" t="str">
        <f ca="1">IFERROR(__xludf.DUMMYFUNCTION("""COMPUTED_VALUE"""),"TV Series 2017–2018)")</f>
        <v>TV Series 2017–2018)</v>
      </c>
    </row>
    <row r="2295" spans="1:5" ht="13" x14ac:dyDescent="0.15">
      <c r="A2295" s="5" t="s">
        <v>512</v>
      </c>
      <c r="D2295" t="str">
        <f ca="1">IFERROR(__xludf.DUMMYFUNCTION("split(A2295,""("")"),"Power Rangers Ninja Storm ")</f>
        <v xml:space="preserve">Power Rangers Ninja Storm </v>
      </c>
      <c r="E2295" t="str">
        <f ca="1">IFERROR(__xludf.DUMMYFUNCTION("""COMPUTED_VALUE"""),"TV Series 2003–2004)")</f>
        <v>TV Series 2003–2004)</v>
      </c>
    </row>
    <row r="2296" spans="1:5" ht="13" x14ac:dyDescent="0.15">
      <c r="A2296" s="5" t="s">
        <v>513</v>
      </c>
      <c r="D2296" t="str">
        <f ca="1">IFERROR(__xludf.DUMMYFUNCTION("split(A2296,""("")"),"Power Rangers Samurai ")</f>
        <v xml:space="preserve">Power Rangers Samurai </v>
      </c>
      <c r="E2296" t="str">
        <f ca="1">IFERROR(__xludf.DUMMYFUNCTION("""COMPUTED_VALUE"""),"TV Series 2011–2012)")</f>
        <v>TV Series 2011–2012)</v>
      </c>
    </row>
    <row r="2297" spans="1:5" ht="13" x14ac:dyDescent="0.15">
      <c r="A2297" s="5" t="s">
        <v>514</v>
      </c>
      <c r="D2297" t="str">
        <f ca="1">IFERROR(__xludf.DUMMYFUNCTION("split(A2297,""("")"),"Power Rangers Wild Force ")</f>
        <v xml:space="preserve">Power Rangers Wild Force </v>
      </c>
      <c r="E2297" t="str">
        <f ca="1">IFERROR(__xludf.DUMMYFUNCTION("""COMPUTED_VALUE"""),"TV Series 2002–2003)")</f>
        <v>TV Series 2002–2003)</v>
      </c>
    </row>
    <row r="2298" spans="1:5" ht="13" x14ac:dyDescent="0.15">
      <c r="A2298" s="5" t="s">
        <v>515</v>
      </c>
      <c r="D2298" t="str">
        <f ca="1">IFERROR(__xludf.DUMMYFUNCTION("split(A2298,""("")"),"Power Rangers Zeo ")</f>
        <v xml:space="preserve">Power Rangers Zeo </v>
      </c>
      <c r="E2298" t="str">
        <f ca="1">IFERROR(__xludf.DUMMYFUNCTION("""COMPUTED_VALUE"""),"TV Series 1996–1997)")</f>
        <v>TV Series 1996–1997)</v>
      </c>
    </row>
    <row r="2299" spans="1:5" ht="13" x14ac:dyDescent="0.15">
      <c r="A2299" s="5" t="s">
        <v>2559</v>
      </c>
      <c r="D2299" t="str">
        <f ca="1">IFERROR(__xludf.DUMMYFUNCTION("split(A2299,""("")"),"Powerless ")</f>
        <v xml:space="preserve">Powerless </v>
      </c>
      <c r="E2299" t="str">
        <f ca="1">IFERROR(__xludf.DUMMYFUNCTION("""COMPUTED_VALUE"""),"TV Series 2017)")</f>
        <v>TV Series 2017)</v>
      </c>
    </row>
    <row r="2300" spans="1:5" ht="13" x14ac:dyDescent="0.15">
      <c r="A2300" s="5" t="s">
        <v>2560</v>
      </c>
      <c r="D2300" t="str">
        <f ca="1">IFERROR(__xludf.DUMMYFUNCTION("split(A2300,""("")"),"PP Studio's Communal Universes ")</f>
        <v xml:space="preserve">PP Studio's Communal Universes </v>
      </c>
      <c r="E2300" t="str">
        <f ca="1">IFERROR(__xludf.DUMMYFUNCTION("""COMPUTED_VALUE"""),"TV Series 2017– )")</f>
        <v>TV Series 2017– )</v>
      </c>
    </row>
    <row r="2301" spans="1:5" ht="13" x14ac:dyDescent="0.15">
      <c r="A2301" s="5" t="s">
        <v>2561</v>
      </c>
      <c r="D2301" t="str">
        <f ca="1">IFERROR(__xludf.DUMMYFUNCTION("split(A2301,""("")"),"PragueMan ")</f>
        <v xml:space="preserve">PragueMan </v>
      </c>
      <c r="E2301" t="str">
        <f ca="1">IFERROR(__xludf.DUMMYFUNCTION("""COMPUTED_VALUE"""),"TV Series 2016– )")</f>
        <v>TV Series 2016– )</v>
      </c>
    </row>
    <row r="2302" spans="1:5" ht="13" x14ac:dyDescent="0.15">
      <c r="A2302" s="5" t="s">
        <v>2562</v>
      </c>
      <c r="D2302" t="str">
        <f ca="1">IFERROR(__xludf.DUMMYFUNCTION("split(A2302,""("")"),"Pravidlo sesti ")</f>
        <v xml:space="preserve">Pravidlo sesti </v>
      </c>
      <c r="E2302" t="str">
        <f ca="1">IFERROR(__xludf.DUMMYFUNCTION("""COMPUTED_VALUE"""),"TV Series 2016– )")</f>
        <v>TV Series 2016– )</v>
      </c>
    </row>
    <row r="2303" spans="1:5" ht="13" x14ac:dyDescent="0.15">
      <c r="A2303" s="5" t="s">
        <v>2563</v>
      </c>
      <c r="D2303" t="str">
        <f ca="1">IFERROR(__xludf.DUMMYFUNCTION("split(A2303,""("")"),"Pretend Time ")</f>
        <v xml:space="preserve">Pretend Time </v>
      </c>
      <c r="E2303" t="str">
        <f ca="1">IFERROR(__xludf.DUMMYFUNCTION("""COMPUTED_VALUE"""),"TV Series 2010– )")</f>
        <v>TV Series 2010– )</v>
      </c>
    </row>
    <row r="2304" spans="1:5" ht="13" x14ac:dyDescent="0.15">
      <c r="A2304" s="5" t="s">
        <v>140</v>
      </c>
      <c r="D2304" t="str">
        <f ca="1">IFERROR(__xludf.DUMMYFUNCTION("split(A2304,""("")"),"Pretty Little Liars ")</f>
        <v xml:space="preserve">Pretty Little Liars </v>
      </c>
      <c r="E2304" t="str">
        <f ca="1">IFERROR(__xludf.DUMMYFUNCTION("""COMPUTED_VALUE"""),"TV Series 2010–2017)")</f>
        <v>TV Series 2010–2017)</v>
      </c>
    </row>
    <row r="2305" spans="1:5" ht="13" x14ac:dyDescent="0.15">
      <c r="A2305" s="5" t="s">
        <v>2564</v>
      </c>
      <c r="D2305" t="str">
        <f ca="1">IFERROR(__xludf.DUMMYFUNCTION("split(A2305,""("")"),"Pretty the Series ")</f>
        <v xml:space="preserve">Pretty the Series </v>
      </c>
      <c r="E2305" t="str">
        <f ca="1">IFERROR(__xludf.DUMMYFUNCTION("""COMPUTED_VALUE"""),"TV Series 2010– )")</f>
        <v>TV Series 2010– )</v>
      </c>
    </row>
    <row r="2306" spans="1:5" ht="13" x14ac:dyDescent="0.15">
      <c r="A2306" s="5" t="s">
        <v>2565</v>
      </c>
      <c r="D2306" t="str">
        <f ca="1">IFERROR(__xludf.DUMMYFUNCTION("split(A2306,""("")"),"Prettykittymiaos ")</f>
        <v xml:space="preserve">Prettykittymiaos </v>
      </c>
      <c r="E2306" t="str">
        <f ca="1">IFERROR(__xludf.DUMMYFUNCTION("""COMPUTED_VALUE"""),"TV Series 2015– )")</f>
        <v>TV Series 2015– )</v>
      </c>
    </row>
    <row r="2307" spans="1:5" ht="13" x14ac:dyDescent="0.15">
      <c r="A2307" s="5" t="s">
        <v>2566</v>
      </c>
      <c r="D2307" t="str">
        <f ca="1">IFERROR(__xludf.DUMMYFUNCTION("split(A2307,""("")"),"Prey ")</f>
        <v xml:space="preserve">Prey </v>
      </c>
      <c r="E2307" t="str">
        <f ca="1">IFERROR(__xludf.DUMMYFUNCTION("""COMPUTED_VALUE"""),"TV Series 1998)")</f>
        <v>TV Series 1998)</v>
      </c>
    </row>
    <row r="2308" spans="1:5" ht="13" x14ac:dyDescent="0.15">
      <c r="A2308" s="5" t="s">
        <v>2567</v>
      </c>
      <c r="D2308" t="str">
        <f ca="1">IFERROR(__xludf.DUMMYFUNCTION("split(A2308,""("")"),"Prickly Heat ")</f>
        <v xml:space="preserve">Prickly Heat </v>
      </c>
      <c r="E2308" t="str">
        <f ca="1">IFERROR(__xludf.DUMMYFUNCTION("""COMPUTED_VALUE"""),"TV Series 1998–2001)")</f>
        <v>TV Series 1998–2001)</v>
      </c>
    </row>
    <row r="2309" spans="1:5" ht="13" x14ac:dyDescent="0.15">
      <c r="A2309" s="5" t="s">
        <v>2568</v>
      </c>
      <c r="D2309" t="str">
        <f ca="1">IFERROR(__xludf.DUMMYFUNCTION("split(A2309,""("")"),"Primetime Glick ")</f>
        <v xml:space="preserve">Primetime Glick </v>
      </c>
      <c r="E2309" t="str">
        <f ca="1">IFERROR(__xludf.DUMMYFUNCTION("""COMPUTED_VALUE"""),"TV Series 2001–2003)")</f>
        <v>TV Series 2001–2003)</v>
      </c>
    </row>
    <row r="2310" spans="1:5" ht="13" x14ac:dyDescent="0.15">
      <c r="A2310" s="5" t="s">
        <v>2569</v>
      </c>
      <c r="D2310" t="str">
        <f ca="1">IFERROR(__xludf.DUMMYFUNCTION("split(A2310,""("")"),"Princess Tutu ")</f>
        <v xml:space="preserve">Princess Tutu </v>
      </c>
      <c r="E2310" t="str">
        <f ca="1">IFERROR(__xludf.DUMMYFUNCTION("""COMPUTED_VALUE"""),"TV Series 2002–2003)")</f>
        <v>TV Series 2002–2003)</v>
      </c>
    </row>
    <row r="2311" spans="1:5" ht="13" x14ac:dyDescent="0.15">
      <c r="A2311" s="5" t="s">
        <v>2570</v>
      </c>
      <c r="D2311" t="str">
        <f ca="1">IFERROR(__xludf.DUMMYFUNCTION("split(A2311,""("")"),"Prison Break ")</f>
        <v xml:space="preserve">Prison Break </v>
      </c>
      <c r="E2311" t="str">
        <f ca="1">IFERROR(__xludf.DUMMYFUNCTION("""COMPUTED_VALUE"""),"TV Series 2005–2017)")</f>
        <v>TV Series 2005–2017)</v>
      </c>
    </row>
    <row r="2312" spans="1:5" ht="13" x14ac:dyDescent="0.15">
      <c r="A2312" s="5" t="s">
        <v>316</v>
      </c>
      <c r="D2312" t="str">
        <f ca="1">IFERROR(__xludf.DUMMYFUNCTION("split(A2312,""("")"),"Private Practice ")</f>
        <v xml:space="preserve">Private Practice </v>
      </c>
      <c r="E2312" t="str">
        <f ca="1">IFERROR(__xludf.DUMMYFUNCTION("""COMPUTED_VALUE"""),"TV Series 2007–2013)")</f>
        <v>TV Series 2007–2013)</v>
      </c>
    </row>
    <row r="2313" spans="1:5" ht="13" x14ac:dyDescent="0.15">
      <c r="A2313" s="5" t="s">
        <v>2571</v>
      </c>
      <c r="D2313" t="str">
        <f ca="1">IFERROR(__xludf.DUMMYFUNCTION("split(A2313,""("")"),"Private Schulz ")</f>
        <v xml:space="preserve">Private Schulz </v>
      </c>
      <c r="E2313" t="str">
        <f ca="1">IFERROR(__xludf.DUMMYFUNCTION("""COMPUTED_VALUE"""),"TV Series 1981– )")</f>
        <v>TV Series 1981– )</v>
      </c>
    </row>
    <row r="2314" spans="1:5" ht="13" x14ac:dyDescent="0.15">
      <c r="A2314" s="5" t="s">
        <v>2572</v>
      </c>
      <c r="D2314" t="str">
        <f ca="1">IFERROR(__xludf.DUMMYFUNCTION("split(A2314,""("")"),"Prodigal Son ")</f>
        <v xml:space="preserve">Prodigal Son </v>
      </c>
      <c r="E2314" t="str">
        <f ca="1">IFERROR(__xludf.DUMMYFUNCTION("""COMPUTED_VALUE"""),"TV Series 2019– )")</f>
        <v>TV Series 2019– )</v>
      </c>
    </row>
    <row r="2315" spans="1:5" ht="13" x14ac:dyDescent="0.15">
      <c r="A2315" s="5" t="s">
        <v>2573</v>
      </c>
      <c r="D2315" t="str">
        <f ca="1">IFERROR(__xludf.DUMMYFUNCTION("split(A2315,""("")"),"Profiler ")</f>
        <v xml:space="preserve">Profiler </v>
      </c>
      <c r="E2315" t="str">
        <f ca="1">IFERROR(__xludf.DUMMYFUNCTION("""COMPUTED_VALUE"""),"TV Series 1996–2000)")</f>
        <v>TV Series 1996–2000)</v>
      </c>
    </row>
    <row r="2316" spans="1:5" ht="13" x14ac:dyDescent="0.15">
      <c r="A2316" s="5" t="s">
        <v>2574</v>
      </c>
      <c r="D2316" t="str">
        <f ca="1">IFERROR(__xludf.DUMMYFUNCTION("split(A2316,""("")"),"Project Runway ")</f>
        <v xml:space="preserve">Project Runway </v>
      </c>
      <c r="E2316" t="str">
        <f ca="1">IFERROR(__xludf.DUMMYFUNCTION("""COMPUTED_VALUE"""),"TV Series 2004– )")</f>
        <v>TV Series 2004– )</v>
      </c>
    </row>
    <row r="2317" spans="1:5" ht="13" x14ac:dyDescent="0.15">
      <c r="A2317" s="5" t="s">
        <v>2575</v>
      </c>
      <c r="D2317" t="str">
        <f ca="1">IFERROR(__xludf.DUMMYFUNCTION("split(A2317,""("")"),"Project Runway Canada ")</f>
        <v xml:space="preserve">Project Runway Canada </v>
      </c>
      <c r="E2317" t="str">
        <f ca="1">IFERROR(__xludf.DUMMYFUNCTION("""COMPUTED_VALUE"""),"TV Series 2007– )")</f>
        <v>TV Series 2007– )</v>
      </c>
    </row>
    <row r="2318" spans="1:5" ht="13" x14ac:dyDescent="0.15">
      <c r="A2318" s="5" t="s">
        <v>2576</v>
      </c>
      <c r="D2318" t="str">
        <f ca="1">IFERROR(__xludf.DUMMYFUNCTION("split(A2318,""("")"),"Proven Innocent ")</f>
        <v xml:space="preserve">Proven Innocent </v>
      </c>
      <c r="E2318" t="str">
        <f ca="1">IFERROR(__xludf.DUMMYFUNCTION("""COMPUTED_VALUE"""),"TV Series 2019)")</f>
        <v>TV Series 2019)</v>
      </c>
    </row>
    <row r="2319" spans="1:5" ht="13" x14ac:dyDescent="0.15">
      <c r="A2319" s="5" t="s">
        <v>2577</v>
      </c>
      <c r="D2319" t="str">
        <f ca="1">IFERROR(__xludf.DUMMYFUNCTION("split(A2319,""("")"),"Providence ")</f>
        <v xml:space="preserve">Providence </v>
      </c>
      <c r="E2319" t="str">
        <f ca="1">IFERROR(__xludf.DUMMYFUNCTION("""COMPUTED_VALUE"""),"TV Series 1999–2002)")</f>
        <v>TV Series 1999–2002)</v>
      </c>
    </row>
    <row r="2320" spans="1:5" ht="13" x14ac:dyDescent="0.15">
      <c r="A2320" s="5" t="s">
        <v>2578</v>
      </c>
      <c r="D2320" t="str">
        <f ca="1">IFERROR(__xludf.DUMMYFUNCTION("split(A2320,""("")"),"Psych ")</f>
        <v xml:space="preserve">Psych </v>
      </c>
      <c r="E2320" t="str">
        <f ca="1">IFERROR(__xludf.DUMMYFUNCTION("""COMPUTED_VALUE"""),"TV Series 2006–2014)")</f>
        <v>TV Series 2006–2014)</v>
      </c>
    </row>
    <row r="2321" spans="1:5" ht="13" x14ac:dyDescent="0.15">
      <c r="A2321" s="5" t="s">
        <v>2579</v>
      </c>
      <c r="D2321" t="str">
        <f ca="1">IFERROR(__xludf.DUMMYFUNCTION("split(A2321,""("")"),"Psychic Detective Yakumo ")</f>
        <v xml:space="preserve">Psychic Detective Yakumo </v>
      </c>
      <c r="E2321" t="str">
        <f ca="1">IFERROR(__xludf.DUMMYFUNCTION("""COMPUTED_VALUE"""),"TV Series 2010– )")</f>
        <v>TV Series 2010– )</v>
      </c>
    </row>
    <row r="2322" spans="1:5" ht="13" x14ac:dyDescent="0.15">
      <c r="A2322" s="5" t="s">
        <v>2580</v>
      </c>
      <c r="D2322" t="str">
        <f ca="1">IFERROR(__xludf.DUMMYFUNCTION("split(A2322,""("")"),"Psychic Kids: Children of the Paranormal ")</f>
        <v xml:space="preserve">Psychic Kids: Children of the Paranormal </v>
      </c>
      <c r="E2322" t="str">
        <f ca="1">IFERROR(__xludf.DUMMYFUNCTION("""COMPUTED_VALUE"""),"TV Series 2008– )")</f>
        <v>TV Series 2008– )</v>
      </c>
    </row>
    <row r="2323" spans="1:5" ht="13" x14ac:dyDescent="0.15">
      <c r="A2323" s="5" t="s">
        <v>2581</v>
      </c>
      <c r="D2323" t="str">
        <f ca="1">IFERROR(__xludf.DUMMYFUNCTION("split(A2323,""("")"),"Psycho-Pass ")</f>
        <v xml:space="preserve">Psycho-Pass </v>
      </c>
      <c r="E2323" t="str">
        <f ca="1">IFERROR(__xludf.DUMMYFUNCTION("""COMPUTED_VALUE"""),"TV Series 2012– )")</f>
        <v>TV Series 2012– )</v>
      </c>
    </row>
    <row r="2324" spans="1:5" ht="13" x14ac:dyDescent="0.15">
      <c r="A2324" s="5" t="s">
        <v>2582</v>
      </c>
      <c r="D2324" t="str">
        <f ca="1">IFERROR(__xludf.DUMMYFUNCTION("split(A2324,""("")"),"Psychopat Bejr ")</f>
        <v xml:space="preserve">Psychopat Bejr </v>
      </c>
      <c r="E2324" t="str">
        <f ca="1">IFERROR(__xludf.DUMMYFUNCTION("""COMPUTED_VALUE"""),"TV Series 2016– )")</f>
        <v>TV Series 2016– )</v>
      </c>
    </row>
    <row r="2325" spans="1:5" ht="13" x14ac:dyDescent="0.15">
      <c r="A2325" s="5" t="s">
        <v>2583</v>
      </c>
      <c r="D2325" t="str">
        <f ca="1">IFERROR(__xludf.DUMMYFUNCTION("split(A2325,""("")"),"Pugwall ")</f>
        <v xml:space="preserve">Pugwall </v>
      </c>
      <c r="E2325" t="str">
        <f ca="1">IFERROR(__xludf.DUMMYFUNCTION("""COMPUTED_VALUE"""),"TV Series 1989–1991)")</f>
        <v>TV Series 1989–1991)</v>
      </c>
    </row>
    <row r="2326" spans="1:5" ht="13" x14ac:dyDescent="0.15">
      <c r="A2326" s="5" t="s">
        <v>2584</v>
      </c>
      <c r="D2326" t="str">
        <f ca="1">IFERROR(__xludf.DUMMYFUNCTION("split(A2326,""("")"),"Pulp Horror ")</f>
        <v xml:space="preserve">Pulp Horror </v>
      </c>
      <c r="E2326" t="str">
        <f ca="1">IFERROR(__xludf.DUMMYFUNCTION("""COMPUTED_VALUE"""),"TV Series 2017– )")</f>
        <v>TV Series 2017– )</v>
      </c>
    </row>
    <row r="2327" spans="1:5" ht="13" x14ac:dyDescent="0.15">
      <c r="A2327" s="5" t="s">
        <v>2585</v>
      </c>
      <c r="D2327" t="str">
        <f ca="1">IFERROR(__xludf.DUMMYFUNCTION("split(A2327,""("")"),"Punched Up ")</f>
        <v xml:space="preserve">Punched Up </v>
      </c>
      <c r="E2327" t="str">
        <f ca="1">IFERROR(__xludf.DUMMYFUNCTION("""COMPUTED_VALUE"""),"TV Series 2006– )")</f>
        <v>TV Series 2006– )</v>
      </c>
    </row>
    <row r="2328" spans="1:5" ht="13" x14ac:dyDescent="0.15">
      <c r="A2328" s="5" t="s">
        <v>2586</v>
      </c>
      <c r="D2328" t="str">
        <f ca="1">IFERROR(__xludf.DUMMYFUNCTION("split(A2328,""("")"),"Punky Brewster ")</f>
        <v xml:space="preserve">Punky Brewster </v>
      </c>
      <c r="E2328" t="str">
        <f ca="1">IFERROR(__xludf.DUMMYFUNCTION("""COMPUTED_VALUE"""),"TV Series 1984–1988)")</f>
        <v>TV Series 1984–1988)</v>
      </c>
    </row>
    <row r="2329" spans="1:5" ht="13" x14ac:dyDescent="0.15">
      <c r="A2329" s="5" t="s">
        <v>2587</v>
      </c>
      <c r="D2329" t="str">
        <f ca="1">IFERROR(__xludf.DUMMYFUNCTION("split(A2329,""("")"),"Pupa ")</f>
        <v xml:space="preserve">Pupa </v>
      </c>
      <c r="E2329" t="str">
        <f ca="1">IFERROR(__xludf.DUMMYFUNCTION("""COMPUTED_VALUE"""),"TV Series 2014– )")</f>
        <v>TV Series 2014– )</v>
      </c>
    </row>
    <row r="2330" spans="1:5" ht="13" x14ac:dyDescent="0.15">
      <c r="A2330" s="5" t="s">
        <v>2588</v>
      </c>
      <c r="D2330" t="str">
        <f ca="1">IFERROR(__xludf.DUMMYFUNCTION("split(A2330,""("")"),"Pushing Daisies ")</f>
        <v xml:space="preserve">Pushing Daisies </v>
      </c>
      <c r="E2330" t="str">
        <f ca="1">IFERROR(__xludf.DUMMYFUNCTION("""COMPUTED_VALUE"""),"TV Series 2007–2009)")</f>
        <v>TV Series 2007–2009)</v>
      </c>
    </row>
    <row r="2331" spans="1:5" ht="13" x14ac:dyDescent="0.15">
      <c r="A2331" s="5" t="s">
        <v>2589</v>
      </c>
      <c r="D2331" t="str">
        <f ca="1">IFERROR(__xludf.DUMMYFUNCTION("split(A2331,""("")"),"Put on Francella ")</f>
        <v xml:space="preserve">Put on Francella </v>
      </c>
      <c r="E2331" t="str">
        <f ca="1">IFERROR(__xludf.DUMMYFUNCTION("""COMPUTED_VALUE"""),"TV Series 2001–2002)")</f>
        <v>TV Series 2001–2002)</v>
      </c>
    </row>
    <row r="2332" spans="1:5" ht="13" x14ac:dyDescent="0.15">
      <c r="A2332" s="5" t="s">
        <v>2590</v>
      </c>
      <c r="D2332" t="str">
        <f ca="1">IFERROR(__xludf.DUMMYFUNCTION("split(A2332,""("")"),"Qeios ")</f>
        <v xml:space="preserve">Qeios </v>
      </c>
      <c r="E2332" t="str">
        <f ca="1">IFERROR(__xludf.DUMMYFUNCTION("""COMPUTED_VALUE"""),"TV Series 2014– )")</f>
        <v>TV Series 2014– )</v>
      </c>
    </row>
    <row r="2333" spans="1:5" ht="13" x14ac:dyDescent="0.15">
      <c r="A2333" s="5" t="s">
        <v>2591</v>
      </c>
      <c r="D2333" t="str">
        <f ca="1">IFERROR(__xludf.DUMMYFUNCTION("split(A2333,""("")"),"QSN with Helene Ellford ")</f>
        <v xml:space="preserve">QSN with Helene Ellford </v>
      </c>
      <c r="E2333" t="str">
        <f ca="1">IFERROR(__xludf.DUMMYFUNCTION("""COMPUTED_VALUE"""),"TV Series 2015– )")</f>
        <v>TV Series 2015– )</v>
      </c>
    </row>
    <row r="2334" spans="1:5" ht="13" x14ac:dyDescent="0.15">
      <c r="A2334" s="5" t="s">
        <v>2592</v>
      </c>
      <c r="D2334" t="str">
        <f ca="1">IFERROR(__xludf.DUMMYFUNCTION("split(A2334,""("")"),"Quack Pack ")</f>
        <v xml:space="preserve">Quack Pack </v>
      </c>
      <c r="E2334" t="str">
        <f ca="1">IFERROR(__xludf.DUMMYFUNCTION("""COMPUTED_VALUE"""),"TV Series 1996–1997)")</f>
        <v>TV Series 1996–1997)</v>
      </c>
    </row>
    <row r="2335" spans="1:5" ht="13" x14ac:dyDescent="0.15">
      <c r="A2335" s="5" t="s">
        <v>2593</v>
      </c>
      <c r="D2335" t="str">
        <f ca="1">IFERROR(__xludf.DUMMYFUNCTION("split(A2335,""("")"),"Quantico ")</f>
        <v xml:space="preserve">Quantico </v>
      </c>
      <c r="E2335" t="str">
        <f ca="1">IFERROR(__xludf.DUMMYFUNCTION("""COMPUTED_VALUE"""),"TV Series 2015–2018)")</f>
        <v>TV Series 2015–2018)</v>
      </c>
    </row>
    <row r="2336" spans="1:5" ht="13" x14ac:dyDescent="0.15">
      <c r="A2336" s="5" t="s">
        <v>2594</v>
      </c>
      <c r="D2336" t="str">
        <f ca="1">IFERROR(__xludf.DUMMYFUNCTION("split(A2336,""("")"),"Quantum Leap ")</f>
        <v xml:space="preserve">Quantum Leap </v>
      </c>
      <c r="E2336" t="str">
        <f ca="1">IFERROR(__xludf.DUMMYFUNCTION("""COMPUTED_VALUE"""),"TV Series 1989–1993)")</f>
        <v>TV Series 1989–1993)</v>
      </c>
    </row>
    <row r="2337" spans="1:5" ht="13" x14ac:dyDescent="0.15">
      <c r="A2337" s="5" t="s">
        <v>2595</v>
      </c>
      <c r="D2337" t="str">
        <f ca="1">IFERROR(__xludf.DUMMYFUNCTION("split(A2337,""("")"),"Quarry ")</f>
        <v xml:space="preserve">Quarry </v>
      </c>
      <c r="E2337" t="str">
        <f ca="1">IFERROR(__xludf.DUMMYFUNCTION("""COMPUTED_VALUE"""),"TV Series 2016– )")</f>
        <v>TV Series 2016– )</v>
      </c>
    </row>
    <row r="2338" spans="1:5" ht="13" x14ac:dyDescent="0.15">
      <c r="A2338" s="5" t="s">
        <v>2596</v>
      </c>
      <c r="D2338" t="str">
        <f ca="1">IFERROR(__xludf.DUMMYFUNCTION("split(A2338,""("")"),"Queen of Swords ")</f>
        <v xml:space="preserve">Queen of Swords </v>
      </c>
      <c r="E2338" t="str">
        <f ca="1">IFERROR(__xludf.DUMMYFUNCTION("""COMPUTED_VALUE"""),"TV Series 2000–2001)")</f>
        <v>TV Series 2000–2001)</v>
      </c>
    </row>
    <row r="2339" spans="1:5" ht="13" x14ac:dyDescent="0.15">
      <c r="A2339" s="5" t="s">
        <v>5</v>
      </c>
      <c r="D2339" t="str">
        <f ca="1">IFERROR(__xludf.DUMMYFUNCTION("split(A2339,""("")"),"Queen of the South ")</f>
        <v xml:space="preserve">Queen of the South </v>
      </c>
      <c r="E2339" t="str">
        <f ca="1">IFERROR(__xludf.DUMMYFUNCTION("""COMPUTED_VALUE"""),"TV Series 2016– )")</f>
        <v>TV Series 2016– )</v>
      </c>
    </row>
    <row r="2340" spans="1:5" ht="13" x14ac:dyDescent="0.15">
      <c r="A2340" s="5" t="s">
        <v>227</v>
      </c>
      <c r="D2340" t="str">
        <f ca="1">IFERROR(__xludf.DUMMYFUNCTION("split(A2340,""("")"),"Queen Sugar ")</f>
        <v xml:space="preserve">Queen Sugar </v>
      </c>
      <c r="E2340" t="str">
        <f ca="1">IFERROR(__xludf.DUMMYFUNCTION("""COMPUTED_VALUE"""),"TV Series 2016– )")</f>
        <v>TV Series 2016– )</v>
      </c>
    </row>
    <row r="2341" spans="1:5" ht="13" x14ac:dyDescent="0.15">
      <c r="A2341" s="5" t="s">
        <v>668</v>
      </c>
      <c r="D2341" t="str">
        <f ca="1">IFERROR(__xludf.DUMMYFUNCTION("split(A2341,""("")"),"Queen's Blade: Wandering Warrior ")</f>
        <v xml:space="preserve">Queen's Blade: Wandering Warrior </v>
      </c>
      <c r="E2341" t="str">
        <f ca="1">IFERROR(__xludf.DUMMYFUNCTION("""COMPUTED_VALUE"""),"TV Series 2009– )")</f>
        <v>TV Series 2009– )</v>
      </c>
    </row>
    <row r="2342" spans="1:5" ht="13" x14ac:dyDescent="0.15">
      <c r="A2342" s="5" t="s">
        <v>2597</v>
      </c>
      <c r="D2342" t="str">
        <f ca="1">IFERROR(__xludf.DUMMYFUNCTION("split(A2342,""("")"),"Queen's English ")</f>
        <v xml:space="preserve">Queen's English </v>
      </c>
      <c r="E2342" t="str">
        <f ca="1">IFERROR(__xludf.DUMMYFUNCTION("""COMPUTED_VALUE"""),"TV Series 2018– )")</f>
        <v>TV Series 2018– )</v>
      </c>
    </row>
    <row r="2343" spans="1:5" ht="13" x14ac:dyDescent="0.15">
      <c r="A2343" s="5" t="s">
        <v>2598</v>
      </c>
      <c r="D2343" t="str">
        <f ca="1">IFERROR(__xludf.DUMMYFUNCTION("split(A2343,""("")"),"Queer as Folk ")</f>
        <v xml:space="preserve">Queer as Folk </v>
      </c>
      <c r="E2343" t="str">
        <f ca="1">IFERROR(__xludf.DUMMYFUNCTION("""COMPUTED_VALUE"""),"TV Series 2000–2005)")</f>
        <v>TV Series 2000–2005)</v>
      </c>
    </row>
    <row r="2344" spans="1:5" ht="13" x14ac:dyDescent="0.15">
      <c r="A2344" s="5" t="s">
        <v>2599</v>
      </c>
      <c r="D2344" t="str">
        <f ca="1">IFERROR(__xludf.DUMMYFUNCTION("split(A2344,""("")"),"Queer Eye ")</f>
        <v xml:space="preserve">Queer Eye </v>
      </c>
      <c r="E2344" t="str">
        <f ca="1">IFERROR(__xludf.DUMMYFUNCTION("""COMPUTED_VALUE"""),"TV Series 2003–2007)")</f>
        <v>TV Series 2003–2007)</v>
      </c>
    </row>
    <row r="2345" spans="1:5" ht="13" x14ac:dyDescent="0.15">
      <c r="A2345" s="5" t="s">
        <v>627</v>
      </c>
      <c r="D2345" t="str">
        <f ca="1">IFERROR(__xludf.DUMMYFUNCTION("split(A2345,""("")"),"Queer Eye ")</f>
        <v xml:space="preserve">Queer Eye </v>
      </c>
      <c r="E2345" t="str">
        <f ca="1">IFERROR(__xludf.DUMMYFUNCTION("""COMPUTED_VALUE"""),"TV Series 2018– )")</f>
        <v>TV Series 2018– )</v>
      </c>
    </row>
    <row r="2346" spans="1:5" ht="13" x14ac:dyDescent="0.15">
      <c r="A2346" s="5" t="s">
        <v>2600</v>
      </c>
      <c r="D2346" t="str">
        <f ca="1">IFERROR(__xludf.DUMMYFUNCTION("split(A2346,""("")"),"Quicksand ")</f>
        <v xml:space="preserve">Quicksand </v>
      </c>
      <c r="E2346" t="str">
        <f ca="1">IFERROR(__xludf.DUMMYFUNCTION("""COMPUTED_VALUE"""),"TV Mini-Series 2019– )")</f>
        <v>TV Mini-Series 2019– )</v>
      </c>
    </row>
    <row r="2347" spans="1:5" ht="13" x14ac:dyDescent="0.15">
      <c r="A2347" s="5" t="s">
        <v>2601</v>
      </c>
      <c r="D2347" t="str">
        <f ca="1">IFERROR(__xludf.DUMMYFUNCTION("split(A2347,""("")"),"Rab C. Nesbitt ")</f>
        <v xml:space="preserve">Rab C. Nesbitt </v>
      </c>
      <c r="E2347" t="str">
        <f ca="1">IFERROR(__xludf.DUMMYFUNCTION("""COMPUTED_VALUE"""),"TV Series 1988–2014)")</f>
        <v>TV Series 1988–2014)</v>
      </c>
    </row>
    <row r="2348" spans="1:5" ht="13" x14ac:dyDescent="0.15">
      <c r="A2348" s="5" t="s">
        <v>2602</v>
      </c>
      <c r="D2348" t="str">
        <f ca="1">IFERROR(__xludf.DUMMYFUNCTION("split(A2348,""("")"),"Race: The Power of an Illusion ")</f>
        <v xml:space="preserve">Race: The Power of an Illusion </v>
      </c>
      <c r="E2348" t="str">
        <f ca="1">IFERROR(__xludf.DUMMYFUNCTION("""COMPUTED_VALUE"""),"TV Series 2003– )")</f>
        <v>TV Series 2003– )</v>
      </c>
    </row>
    <row r="2349" spans="1:5" ht="13" x14ac:dyDescent="0.15">
      <c r="A2349" s="5" t="s">
        <v>2603</v>
      </c>
      <c r="D2349" t="str">
        <f ca="1">IFERROR(__xludf.DUMMYFUNCTION("split(A2349,""("")"),"Racing Wives ")</f>
        <v xml:space="preserve">Racing Wives </v>
      </c>
      <c r="E2349" t="str">
        <f ca="1">IFERROR(__xludf.DUMMYFUNCTION("""COMPUTED_VALUE"""),"TV Series 2019– )")</f>
        <v>TV Series 2019– )</v>
      </c>
    </row>
    <row r="2350" spans="1:5" ht="13" x14ac:dyDescent="0.15">
      <c r="A2350" s="5" t="s">
        <v>2604</v>
      </c>
      <c r="D2350" t="str">
        <f ca="1">IFERROR(__xludf.DUMMYFUNCTION("split(A2350,""("")"),"Raging Planet ")</f>
        <v xml:space="preserve">Raging Planet </v>
      </c>
      <c r="E2350" t="str">
        <f ca="1">IFERROR(__xludf.DUMMYFUNCTION("""COMPUTED_VALUE"""),"TV Series 1997– )")</f>
        <v>TV Series 1997– )</v>
      </c>
    </row>
    <row r="2351" spans="1:5" ht="13" x14ac:dyDescent="0.15">
      <c r="A2351" s="5" t="s">
        <v>2605</v>
      </c>
      <c r="D2351" t="str">
        <f ca="1">IFERROR(__xludf.DUMMYFUNCTION("split(A2351,""("")"),"Rainbow Brite ")</f>
        <v xml:space="preserve">Rainbow Brite </v>
      </c>
      <c r="E2351" t="str">
        <f ca="1">IFERROR(__xludf.DUMMYFUNCTION("""COMPUTED_VALUE"""),"TV Series 1984–1986)")</f>
        <v>TV Series 1984–1986)</v>
      </c>
    </row>
    <row r="2352" spans="1:5" ht="13" x14ac:dyDescent="0.15">
      <c r="A2352" s="5" t="s">
        <v>2606</v>
      </c>
      <c r="D2352" t="str">
        <f ca="1">IFERROR(__xludf.DUMMYFUNCTION("split(A2352,""("")"),"Rake ")</f>
        <v xml:space="preserve">Rake </v>
      </c>
      <c r="E2352" t="str">
        <f ca="1">IFERROR(__xludf.DUMMYFUNCTION("""COMPUTED_VALUE"""),"TV Series 2010–2018)")</f>
        <v>TV Series 2010–2018)</v>
      </c>
    </row>
    <row r="2353" spans="1:5" ht="13" x14ac:dyDescent="0.15">
      <c r="A2353" s="5" t="s">
        <v>628</v>
      </c>
      <c r="D2353" t="str">
        <f ca="1">IFERROR(__xludf.DUMMYFUNCTION("split(A2353,""("")"),"Rake ")</f>
        <v xml:space="preserve">Rake </v>
      </c>
      <c r="E2353" t="str">
        <f ca="1">IFERROR(__xludf.DUMMYFUNCTION("""COMPUTED_VALUE"""),"TV Series 2014)")</f>
        <v>TV Series 2014)</v>
      </c>
    </row>
    <row r="2354" spans="1:5" ht="13" x14ac:dyDescent="0.15">
      <c r="A2354" s="5" t="s">
        <v>445</v>
      </c>
      <c r="D2354" t="str">
        <f ca="1">IFERROR(__xludf.DUMMYFUNCTION("split(A2354,""("")"),"Rambo ")</f>
        <v xml:space="preserve">Rambo </v>
      </c>
      <c r="E2354" t="str">
        <f ca="1">IFERROR(__xludf.DUMMYFUNCTION("""COMPUTED_VALUE"""),"TV Series 1986)")</f>
        <v>TV Series 1986)</v>
      </c>
    </row>
    <row r="2355" spans="1:5" ht="13" x14ac:dyDescent="0.15">
      <c r="A2355" s="5" t="s">
        <v>2607</v>
      </c>
      <c r="D2355" t="str">
        <f ca="1">IFERROR(__xludf.DUMMYFUNCTION("split(A2355,""("")"),"Random Acts of Flyness ")</f>
        <v xml:space="preserve">Random Acts of Flyness </v>
      </c>
      <c r="E2355" t="str">
        <f ca="1">IFERROR(__xludf.DUMMYFUNCTION("""COMPUTED_VALUE"""),"TV Series 2018– )")</f>
        <v>TV Series 2018– )</v>
      </c>
    </row>
    <row r="2356" spans="1:5" ht="13" x14ac:dyDescent="0.15">
      <c r="A2356" s="5" t="s">
        <v>2608</v>
      </c>
      <c r="D2356" t="str">
        <f ca="1">IFERROR(__xludf.DUMMYFUNCTION("split(A2356,""("")"),"Randy ASMR ")</f>
        <v xml:space="preserve">Randy ASMR </v>
      </c>
      <c r="E2356" t="str">
        <f ca="1">IFERROR(__xludf.DUMMYFUNCTION("""COMPUTED_VALUE"""),"TV Series 2017– )")</f>
        <v>TV Series 2017– )</v>
      </c>
    </row>
    <row r="2357" spans="1:5" ht="13" x14ac:dyDescent="0.15">
      <c r="A2357" s="5" t="s">
        <v>2609</v>
      </c>
      <c r="D2357" t="str">
        <f ca="1">IFERROR(__xludf.DUMMYFUNCTION("split(A2357,""("")"),"Ranjenik ")</f>
        <v xml:space="preserve">Ranjenik </v>
      </c>
      <c r="E2357" t="str">
        <f ca="1">IFERROR(__xludf.DUMMYFUNCTION("""COMPUTED_VALUE"""),"TV Series 1988– )")</f>
        <v>TV Series 1988– )</v>
      </c>
    </row>
    <row r="2358" spans="1:5" ht="13" x14ac:dyDescent="0.15">
      <c r="A2358" s="5" t="s">
        <v>2610</v>
      </c>
      <c r="D2358" t="str">
        <f ca="1">IFERROR(__xludf.DUMMYFUNCTION("split(A2358,""("")"),"Ranma 1⁄2 ")</f>
        <v xml:space="preserve">Ranma 1⁄2 </v>
      </c>
      <c r="E2358" t="str">
        <f ca="1">IFERROR(__xludf.DUMMYFUNCTION("""COMPUTED_VALUE"""),"TV Series 1989)")</f>
        <v>TV Series 1989)</v>
      </c>
    </row>
    <row r="2359" spans="1:5" ht="13" x14ac:dyDescent="0.15">
      <c r="A2359" s="5" t="s">
        <v>2611</v>
      </c>
      <c r="D2359" t="str">
        <f ca="1">IFERROR(__xludf.DUMMYFUNCTION("split(A2359,""("")"),"Ranma 1⁄2: Nettô-hen ")</f>
        <v xml:space="preserve">Ranma 1⁄2: Nettô-hen </v>
      </c>
      <c r="E2359" t="str">
        <f ca="1">IFERROR(__xludf.DUMMYFUNCTION("""COMPUTED_VALUE"""),"TV Series 1989–1992)")</f>
        <v>TV Series 1989–1992)</v>
      </c>
    </row>
    <row r="2360" spans="1:5" ht="13" x14ac:dyDescent="0.15">
      <c r="A2360" s="5" t="s">
        <v>2612</v>
      </c>
      <c r="D2360" t="str">
        <f ca="1">IFERROR(__xludf.DUMMYFUNCTION("split(A2360,""("")"),"Ransom ")</f>
        <v xml:space="preserve">Ransom </v>
      </c>
      <c r="E2360" t="str">
        <f ca="1">IFERROR(__xludf.DUMMYFUNCTION("""COMPUTED_VALUE"""),"TV Series 2017–2019)")</f>
        <v>TV Series 2017–2019)</v>
      </c>
    </row>
    <row r="2361" spans="1:5" ht="13" x14ac:dyDescent="0.15">
      <c r="A2361" s="5" t="s">
        <v>2613</v>
      </c>
      <c r="D2361" t="str">
        <f ca="1">IFERROR(__xludf.DUMMYFUNCTION("split(A2361,""("")"),"Rapunzel ASMR ")</f>
        <v xml:space="preserve">Rapunzel ASMR </v>
      </c>
      <c r="E2361" t="str">
        <f ca="1">IFERROR(__xludf.DUMMYFUNCTION("""COMPUTED_VALUE"""),"TV Series 2015– )")</f>
        <v>TV Series 2015– )</v>
      </c>
    </row>
    <row r="2362" spans="1:5" ht="13" x14ac:dyDescent="0.15">
      <c r="A2362" s="5" t="s">
        <v>2614</v>
      </c>
      <c r="D2362" t="str">
        <f ca="1">IFERROR(__xludf.DUMMYFUNCTION("split(A2362,""("")"),"Raven's Home ")</f>
        <v xml:space="preserve">Raven's Home </v>
      </c>
      <c r="E2362" t="str">
        <f ca="1">IFERROR(__xludf.DUMMYFUNCTION("""COMPUTED_VALUE"""),"TV Series 2017– )")</f>
        <v>TV Series 2017– )</v>
      </c>
    </row>
    <row r="2363" spans="1:5" ht="13" x14ac:dyDescent="0.15">
      <c r="A2363" s="5" t="s">
        <v>2615</v>
      </c>
      <c r="D2363" t="str">
        <f ca="1">IFERROR(__xludf.DUMMYFUNCTION("split(A2363,""("")"),"Ravenwolf Towers ")</f>
        <v xml:space="preserve">Ravenwolf Towers </v>
      </c>
      <c r="E2363" t="str">
        <f ca="1">IFERROR(__xludf.DUMMYFUNCTION("""COMPUTED_VALUE"""),"TV Series 2016– )")</f>
        <v>TV Series 2016– )</v>
      </c>
    </row>
    <row r="2364" spans="1:5" ht="13" x14ac:dyDescent="0.15">
      <c r="A2364" s="5" t="s">
        <v>287</v>
      </c>
      <c r="D2364" t="str">
        <f ca="1">IFERROR(__xludf.DUMMYFUNCTION("split(A2364,""("")"),"Ray Donovan ")</f>
        <v xml:space="preserve">Ray Donovan </v>
      </c>
      <c r="E2364" t="str">
        <f ca="1">IFERROR(__xludf.DUMMYFUNCTION("""COMPUTED_VALUE"""),"TV Series 2013– )")</f>
        <v>TV Series 2013– )</v>
      </c>
    </row>
    <row r="2365" spans="1:5" ht="13" x14ac:dyDescent="0.15">
      <c r="A2365" s="5" t="s">
        <v>2616</v>
      </c>
      <c r="D2365" t="str">
        <f ca="1">IFERROR(__xludf.DUMMYFUNCTION("split(A2365,""("")"),"Rayes Korso ")</f>
        <v xml:space="preserve">Rayes Korso </v>
      </c>
      <c r="E2365" t="str">
        <f ca="1">IFERROR(__xludf.DUMMYFUNCTION("""COMPUTED_VALUE"""),"TV Series 2019– )")</f>
        <v>TV Series 2019– )</v>
      </c>
    </row>
    <row r="2366" spans="1:5" ht="13" x14ac:dyDescent="0.15">
      <c r="A2366" s="5" t="s">
        <v>2617</v>
      </c>
      <c r="D2366" t="str">
        <f ca="1">IFERROR(__xludf.DUMMYFUNCTION("split(A2366,""("")"),"Re\Visioned: Tomb Raider Animated Series ")</f>
        <v xml:space="preserve">Re\Visioned: Tomb Raider Animated Series </v>
      </c>
      <c r="E2366" t="str">
        <f ca="1">IFERROR(__xludf.DUMMYFUNCTION("""COMPUTED_VALUE"""),"TV Series 2007)")</f>
        <v>TV Series 2007)</v>
      </c>
    </row>
    <row r="2367" spans="1:5" ht="13" x14ac:dyDescent="0.15">
      <c r="A2367" s="5" t="s">
        <v>2618</v>
      </c>
      <c r="D2367" t="str">
        <f ca="1">IFERROR(__xludf.DUMMYFUNCTION("split(A2367,""("")"),"Ready for Love ")</f>
        <v xml:space="preserve">Ready for Love </v>
      </c>
      <c r="E2367" t="str">
        <f ca="1">IFERROR(__xludf.DUMMYFUNCTION("""COMPUTED_VALUE"""),"TV Series 2013– )")</f>
        <v>TV Series 2013– )</v>
      </c>
    </row>
    <row r="2368" spans="1:5" ht="13" x14ac:dyDescent="0.15">
      <c r="A2368" s="5" t="s">
        <v>2619</v>
      </c>
      <c r="D2368" t="str">
        <f ca="1">IFERROR(__xludf.DUMMYFUNCTION("split(A2368,""("")"),"Real Detective ")</f>
        <v xml:space="preserve">Real Detective </v>
      </c>
      <c r="E2368" t="str">
        <f ca="1">IFERROR(__xludf.DUMMYFUNCTION("""COMPUTED_VALUE"""),"TV Series 2016– )")</f>
        <v>TV Series 2016– )</v>
      </c>
    </row>
    <row r="2369" spans="1:5" ht="13" x14ac:dyDescent="0.15">
      <c r="A2369" s="5" t="s">
        <v>2620</v>
      </c>
      <c r="D2369" t="str">
        <f ca="1">IFERROR(__xludf.DUMMYFUNCTION("split(A2369,""("")"),"Real Love ")</f>
        <v xml:space="preserve">Real Love </v>
      </c>
      <c r="E2369" t="str">
        <f ca="1">IFERROR(__xludf.DUMMYFUNCTION("""COMPUTED_VALUE"""),"TV Series 2003– )")</f>
        <v>TV Series 2003– )</v>
      </c>
    </row>
    <row r="2370" spans="1:5" ht="13" x14ac:dyDescent="0.15">
      <c r="A2370" s="5" t="s">
        <v>2621</v>
      </c>
      <c r="D2370" t="str">
        <f ca="1">IFERROR(__xludf.DUMMYFUNCTION("split(A2370,""("")"),"Real Sex ")</f>
        <v xml:space="preserve">Real Sex </v>
      </c>
      <c r="E2370" t="str">
        <f ca="1">IFERROR(__xludf.DUMMYFUNCTION("""COMPUTED_VALUE"""),"TV Series 1990– )")</f>
        <v>TV Series 1990– )</v>
      </c>
    </row>
    <row r="2371" spans="1:5" ht="13" x14ac:dyDescent="0.15">
      <c r="A2371" s="5" t="s">
        <v>2622</v>
      </c>
      <c r="D2371" t="str">
        <f ca="1">IFERROR(__xludf.DUMMYFUNCTION("split(A2371,""("")"),"Really Random Rants ")</f>
        <v xml:space="preserve">Really Random Rants </v>
      </c>
      <c r="E2371" t="str">
        <f ca="1">IFERROR(__xludf.DUMMYFUNCTION("""COMPUTED_VALUE"""),"TV Series 2015– )")</f>
        <v>TV Series 2015– )</v>
      </c>
    </row>
    <row r="2372" spans="1:5" ht="13" x14ac:dyDescent="0.15">
      <c r="A2372" s="5" t="s">
        <v>2623</v>
      </c>
      <c r="D2372" t="str">
        <f ca="1">IFERROR(__xludf.DUMMYFUNCTION("split(A2372,""("")"),"Reaper ")</f>
        <v xml:space="preserve">Reaper </v>
      </c>
      <c r="E2372" t="str">
        <f ca="1">IFERROR(__xludf.DUMMYFUNCTION("""COMPUTED_VALUE"""),"TV Series 2007–2009)")</f>
        <v>TV Series 2007–2009)</v>
      </c>
    </row>
    <row r="2373" spans="1:5" ht="13" x14ac:dyDescent="0.15">
      <c r="A2373" s="5" t="s">
        <v>2624</v>
      </c>
      <c r="D2373" t="str">
        <f ca="1">IFERROR(__xludf.DUMMYFUNCTION("split(A2373,""("")"),"Reba ")</f>
        <v xml:space="preserve">Reba </v>
      </c>
      <c r="E2373" t="str">
        <f ca="1">IFERROR(__xludf.DUMMYFUNCTION("""COMPUTED_VALUE"""),"TV Series 2001–2007)")</f>
        <v>TV Series 2001–2007)</v>
      </c>
    </row>
    <row r="2374" spans="1:5" ht="13" x14ac:dyDescent="0.15">
      <c r="A2374" s="5" t="s">
        <v>2625</v>
      </c>
      <c r="D2374" t="str">
        <f ca="1">IFERROR(__xludf.DUMMYFUNCTION("split(A2374,""("")"),"Rebelde ")</f>
        <v xml:space="preserve">Rebelde </v>
      </c>
      <c r="E2374" t="str">
        <f ca="1">IFERROR(__xludf.DUMMYFUNCTION("""COMPUTED_VALUE"""),"TV Series 2004–2006)")</f>
        <v>TV Series 2004–2006)</v>
      </c>
    </row>
    <row r="2375" spans="1:5" ht="13" x14ac:dyDescent="0.15">
      <c r="A2375" s="5" t="s">
        <v>2626</v>
      </c>
      <c r="D2375" t="str">
        <f ca="1">IFERROR(__xludf.DUMMYFUNCTION("split(A2375,""("")"),"ReBoot ")</f>
        <v xml:space="preserve">ReBoot </v>
      </c>
      <c r="E2375" t="str">
        <f ca="1">IFERROR(__xludf.DUMMYFUNCTION("""COMPUTED_VALUE"""),"TV Series 1994–2001)")</f>
        <v>TV Series 1994–2001)</v>
      </c>
    </row>
    <row r="2376" spans="1:5" ht="13" x14ac:dyDescent="0.15">
      <c r="A2376" s="5" t="s">
        <v>2627</v>
      </c>
      <c r="D2376" t="str">
        <f ca="1">IFERROR(__xludf.DUMMYFUNCTION("split(A2376,""("")"),"Recess ")</f>
        <v xml:space="preserve">Recess </v>
      </c>
      <c r="E2376" t="str">
        <f ca="1">IFERROR(__xludf.DUMMYFUNCTION("""COMPUTED_VALUE"""),"TV Series 1997–2001)")</f>
        <v>TV Series 1997–2001)</v>
      </c>
    </row>
    <row r="2377" spans="1:5" ht="13" x14ac:dyDescent="0.15">
      <c r="A2377" s="5" t="s">
        <v>2628</v>
      </c>
      <c r="D2377" t="str">
        <f ca="1">IFERROR(__xludf.DUMMYFUNCTION("split(A2377,""("")"),"Reckless ")</f>
        <v xml:space="preserve">Reckless </v>
      </c>
      <c r="E2377" t="str">
        <f ca="1">IFERROR(__xludf.DUMMYFUNCTION("""COMPUTED_VALUE"""),"TV Series 2014)")</f>
        <v>TV Series 2014)</v>
      </c>
    </row>
    <row r="2378" spans="1:5" ht="13" x14ac:dyDescent="0.15">
      <c r="A2378" s="5" t="s">
        <v>2629</v>
      </c>
      <c r="D2378" t="str">
        <f ca="1">IFERROR(__xludf.DUMMYFUNCTION("split(A2378,""("")"),"Rectify ")</f>
        <v xml:space="preserve">Rectify </v>
      </c>
      <c r="E2378" t="str">
        <f ca="1">IFERROR(__xludf.DUMMYFUNCTION("""COMPUTED_VALUE"""),"TV Series 2013–2016)")</f>
        <v>TV Series 2013–2016)</v>
      </c>
    </row>
    <row r="2379" spans="1:5" ht="13" x14ac:dyDescent="0.15">
      <c r="A2379" s="5" t="s">
        <v>2630</v>
      </c>
      <c r="D2379" t="str">
        <f ca="1">IFERROR(__xludf.DUMMYFUNCTION("split(A2379,""("")"),"Red Dwarf ")</f>
        <v xml:space="preserve">Red Dwarf </v>
      </c>
      <c r="E2379" t="str">
        <f ca="1">IFERROR(__xludf.DUMMYFUNCTION("""COMPUTED_VALUE"""),"TV Series 1988– )")</f>
        <v>TV Series 1988– )</v>
      </c>
    </row>
    <row r="2380" spans="1:5" ht="13" x14ac:dyDescent="0.15">
      <c r="A2380" s="5" t="s">
        <v>2631</v>
      </c>
      <c r="D2380" t="str">
        <f ca="1">IFERROR(__xludf.DUMMYFUNCTION("split(A2380,""("")"),"Rederiet ")</f>
        <v xml:space="preserve">Rederiet </v>
      </c>
      <c r="E2380" t="str">
        <f ca="1">IFERROR(__xludf.DUMMYFUNCTION("""COMPUTED_VALUE"""),"TV Series 1992–2002)")</f>
        <v>TV Series 1992–2002)</v>
      </c>
    </row>
    <row r="2381" spans="1:5" ht="13" x14ac:dyDescent="0.15">
      <c r="A2381" s="5" t="s">
        <v>2632</v>
      </c>
      <c r="D2381" t="str">
        <f ca="1">IFERROR(__xludf.DUMMYFUNCTION("split(A2381,""("")"),"Redwall ")</f>
        <v xml:space="preserve">Redwall </v>
      </c>
      <c r="E2381" t="str">
        <f ca="1">IFERROR(__xludf.DUMMYFUNCTION("""COMPUTED_VALUE"""),"TV Series 1999– )")</f>
        <v>TV Series 1999– )</v>
      </c>
    </row>
    <row r="2382" spans="1:5" ht="13" x14ac:dyDescent="0.15">
      <c r="A2382" s="5" t="s">
        <v>2633</v>
      </c>
      <c r="D2382" t="str">
        <f ca="1">IFERROR(__xludf.DUMMYFUNCTION("split(A2382,""("")"),"Reef Break ")</f>
        <v xml:space="preserve">Reef Break </v>
      </c>
      <c r="E2382" t="str">
        <f ca="1">IFERROR(__xludf.DUMMYFUNCTION("""COMPUTED_VALUE"""),"TV Series 2019– )")</f>
        <v>TV Series 2019– )</v>
      </c>
    </row>
    <row r="2383" spans="1:5" ht="13" x14ac:dyDescent="0.15">
      <c r="A2383" s="5" t="s">
        <v>2634</v>
      </c>
      <c r="D2383" t="str">
        <f ca="1">IFERROR(__xludf.DUMMYFUNCTION("split(A2383,""("")"),"Regal Academy ")</f>
        <v xml:space="preserve">Regal Academy </v>
      </c>
      <c r="E2383" t="str">
        <f ca="1">IFERROR(__xludf.DUMMYFUNCTION("""COMPUTED_VALUE"""),"TV Series 2016– )")</f>
        <v>TV Series 2016– )</v>
      </c>
    </row>
    <row r="2384" spans="1:5" ht="13" x14ac:dyDescent="0.15">
      <c r="A2384" s="5" t="s">
        <v>2635</v>
      </c>
      <c r="D2384" t="str">
        <f ca="1">IFERROR(__xludf.DUMMYFUNCTION("split(A2384,""("")"),"ReGenesis ")</f>
        <v xml:space="preserve">ReGenesis </v>
      </c>
      <c r="E2384" t="str">
        <f ca="1">IFERROR(__xludf.DUMMYFUNCTION("""COMPUTED_VALUE"""),"TV Series 2004–2008)")</f>
        <v>TV Series 2004–2008)</v>
      </c>
    </row>
    <row r="2385" spans="1:5" ht="13" x14ac:dyDescent="0.15">
      <c r="A2385" s="5" t="s">
        <v>2636</v>
      </c>
      <c r="D2385" t="str">
        <f ca="1">IFERROR(__xludf.DUMMYFUNCTION("split(A2385,""("")"),"Regular Show ")</f>
        <v xml:space="preserve">Regular Show </v>
      </c>
      <c r="E2385" t="str">
        <f ca="1">IFERROR(__xludf.DUMMYFUNCTION("""COMPUTED_VALUE"""),"TV Series 2009–2017)")</f>
        <v>TV Series 2009–2017)</v>
      </c>
    </row>
    <row r="2386" spans="1:5" ht="13" x14ac:dyDescent="0.15">
      <c r="A2386" s="5" t="s">
        <v>2637</v>
      </c>
      <c r="D2386" t="str">
        <f ca="1">IFERROR(__xludf.DUMMYFUNCTION("split(A2386,""("")"),"Reign ")</f>
        <v xml:space="preserve">Reign </v>
      </c>
      <c r="E2386" t="str">
        <f ca="1">IFERROR(__xludf.DUMMYFUNCTION("""COMPUTED_VALUE"""),"TV Series 2013–2017)")</f>
        <v>TV Series 2013–2017)</v>
      </c>
    </row>
    <row r="2387" spans="1:5" ht="13" x14ac:dyDescent="0.15">
      <c r="A2387" s="5" t="s">
        <v>2638</v>
      </c>
      <c r="D2387" t="str">
        <f ca="1">IFERROR(__xludf.DUMMYFUNCTION("split(A2387,""("")"),"Reign: The Conqueror ")</f>
        <v xml:space="preserve">Reign: The Conqueror </v>
      </c>
      <c r="E2387" t="str">
        <f ca="1">IFERROR(__xludf.DUMMYFUNCTION("""COMPUTED_VALUE"""),"TV Series 1997– )")</f>
        <v>TV Series 1997– )</v>
      </c>
    </row>
    <row r="2388" spans="1:5" ht="13" x14ac:dyDescent="0.15">
      <c r="A2388" s="5" t="s">
        <v>2639</v>
      </c>
      <c r="D2388" t="str">
        <f ca="1">IFERROR(__xludf.DUMMYFUNCTION("split(A2388,""("")"),"Rel ")</f>
        <v xml:space="preserve">Rel </v>
      </c>
      <c r="E2388" t="str">
        <f ca="1">IFERROR(__xludf.DUMMYFUNCTION("""COMPUTED_VALUE"""),"TV Series 2018– )")</f>
        <v>TV Series 2018– )</v>
      </c>
    </row>
    <row r="2389" spans="1:5" ht="13" x14ac:dyDescent="0.15">
      <c r="A2389" s="5" t="s">
        <v>2640</v>
      </c>
      <c r="D2389" t="str">
        <f ca="1">IFERROR(__xludf.DUMMYFUNCTION("split(A2389,""("")"),"Related ")</f>
        <v xml:space="preserve">Related </v>
      </c>
      <c r="E2389" t="str">
        <f ca="1">IFERROR(__xludf.DUMMYFUNCTION("""COMPUTED_VALUE"""),"TV Series 2005–2006)")</f>
        <v>TV Series 2005–2006)</v>
      </c>
    </row>
    <row r="2390" spans="1:5" ht="13" x14ac:dyDescent="0.15">
      <c r="A2390" s="5" t="s">
        <v>2641</v>
      </c>
      <c r="D2390" t="str">
        <f ca="1">IFERROR(__xludf.DUMMYFUNCTION("split(A2390,""("")"),"Remember: War of the Son ")</f>
        <v xml:space="preserve">Remember: War of the Son </v>
      </c>
      <c r="E2390" t="str">
        <f ca="1">IFERROR(__xludf.DUMMYFUNCTION("""COMPUTED_VALUE"""),"TV Series 2015– )")</f>
        <v>TV Series 2015– )</v>
      </c>
    </row>
    <row r="2391" spans="1:5" ht="13" x14ac:dyDescent="0.15">
      <c r="A2391" s="5" t="s">
        <v>2642</v>
      </c>
      <c r="D2391" t="str">
        <f ca="1">IFERROR(__xludf.DUMMYFUNCTION("split(A2391,""("")"),"Remodeled ")</f>
        <v xml:space="preserve">Remodeled </v>
      </c>
      <c r="E2391" t="str">
        <f ca="1">IFERROR(__xludf.DUMMYFUNCTION("""COMPUTED_VALUE"""),"TV Series 2012– )")</f>
        <v>TV Series 2012– )</v>
      </c>
    </row>
    <row r="2392" spans="1:5" ht="13" x14ac:dyDescent="0.15">
      <c r="A2392" s="5" t="s">
        <v>2643</v>
      </c>
      <c r="D2392" t="str">
        <f ca="1">IFERROR(__xludf.DUMMYFUNCTION("split(A2392,""("")"),"Remontti ")</f>
        <v xml:space="preserve">Remontti </v>
      </c>
      <c r="E2392" t="str">
        <f ca="1">IFERROR(__xludf.DUMMYFUNCTION("""COMPUTED_VALUE"""),"TV Series 2003– )")</f>
        <v>TV Series 2003– )</v>
      </c>
    </row>
    <row r="2393" spans="1:5" ht="13" x14ac:dyDescent="0.15">
      <c r="A2393" s="5" t="s">
        <v>669</v>
      </c>
      <c r="D2393" t="str">
        <f ca="1">IFERROR(__xludf.DUMMYFUNCTION("split(A2393,""("")"),"Ren &amp; Stimpy 'Adult Party Cartoon' ")</f>
        <v xml:space="preserve">Ren &amp; Stimpy 'Adult Party Cartoon' </v>
      </c>
      <c r="E2393" t="str">
        <f ca="1">IFERROR(__xludf.DUMMYFUNCTION("""COMPUTED_VALUE"""),"TV Series 2003)")</f>
        <v>TV Series 2003)</v>
      </c>
    </row>
    <row r="2394" spans="1:5" ht="13" x14ac:dyDescent="0.15">
      <c r="A2394" s="5" t="s">
        <v>2644</v>
      </c>
      <c r="D2394" t="str">
        <f ca="1">IFERROR(__xludf.DUMMYFUNCTION("split(A2394,""("")"),"Renegade ")</f>
        <v xml:space="preserve">Renegade </v>
      </c>
      <c r="E2394" t="str">
        <f ca="1">IFERROR(__xludf.DUMMYFUNCTION("""COMPUTED_VALUE"""),"TV Series 1992–1997)")</f>
        <v>TV Series 1992–1997)</v>
      </c>
    </row>
    <row r="2395" spans="1:5" ht="13" x14ac:dyDescent="0.15">
      <c r="A2395" s="5" t="s">
        <v>2645</v>
      </c>
      <c r="D2395" t="str">
        <f ca="1">IFERROR(__xludf.DUMMYFUNCTION("split(A2395,""("")"),"Renford Rejects ")</f>
        <v xml:space="preserve">Renford Rejects </v>
      </c>
      <c r="E2395" t="str">
        <f ca="1">IFERROR(__xludf.DUMMYFUNCTION("""COMPUTED_VALUE"""),"TV Series 1998–2001)")</f>
        <v>TV Series 1998–2001)</v>
      </c>
    </row>
    <row r="2396" spans="1:5" ht="13" x14ac:dyDescent="0.15">
      <c r="A2396" s="5" t="s">
        <v>2646</v>
      </c>
      <c r="D2396" t="str">
        <f ca="1">IFERROR(__xludf.DUMMYFUNCTION("split(A2396,""("")"),"Reno 911! ")</f>
        <v xml:space="preserve">Reno 911! </v>
      </c>
      <c r="E2396" t="str">
        <f ca="1">IFERROR(__xludf.DUMMYFUNCTION("""COMPUTED_VALUE"""),"TV Series 2003–2009)")</f>
        <v>TV Series 2003–2009)</v>
      </c>
    </row>
    <row r="2397" spans="1:5" ht="13" x14ac:dyDescent="0.15">
      <c r="A2397" s="5" t="s">
        <v>2647</v>
      </c>
      <c r="D2397" t="str">
        <f ca="1">IFERROR(__xludf.DUMMYFUNCTION("split(A2397,""("")"),"Rent-a-Goalie ")</f>
        <v xml:space="preserve">Rent-a-Goalie </v>
      </c>
      <c r="E2397" t="str">
        <f ca="1">IFERROR(__xludf.DUMMYFUNCTION("""COMPUTED_VALUE"""),"TV Series 2006–2008)")</f>
        <v>TV Series 2006–2008)</v>
      </c>
    </row>
    <row r="2398" spans="1:5" ht="13" x14ac:dyDescent="0.15">
      <c r="A2398" s="5" t="s">
        <v>2648</v>
      </c>
      <c r="D2398" t="str">
        <f ca="1">IFERROR(__xludf.DUMMYFUNCTION("split(A2398,""("")"),"Reputasyon ")</f>
        <v xml:space="preserve">Reputasyon </v>
      </c>
      <c r="E2398" t="str">
        <f ca="1">IFERROR(__xludf.DUMMYFUNCTION("""COMPUTED_VALUE"""),"TV Series 2011–2012)")</f>
        <v>TV Series 2011–2012)</v>
      </c>
    </row>
    <row r="2399" spans="1:5" ht="13" x14ac:dyDescent="0.15">
      <c r="A2399" s="5" t="s">
        <v>2649</v>
      </c>
      <c r="D2399" t="str">
        <f ca="1">IFERROR(__xludf.DUMMYFUNCTION("split(A2399,""("")"),"Rescue 911 ")</f>
        <v xml:space="preserve">Rescue 911 </v>
      </c>
      <c r="E2399" t="str">
        <f ca="1">IFERROR(__xludf.DUMMYFUNCTION("""COMPUTED_VALUE"""),"TV Series 1989–1996)")</f>
        <v>TV Series 1989–1996)</v>
      </c>
    </row>
    <row r="2400" spans="1:5" ht="13" x14ac:dyDescent="0.15">
      <c r="A2400" s="5" t="s">
        <v>2650</v>
      </c>
      <c r="D2400" t="str">
        <f ca="1">IFERROR(__xludf.DUMMYFUNCTION("split(A2400,""("")"),"Rescue Me ")</f>
        <v xml:space="preserve">Rescue Me </v>
      </c>
      <c r="E2400" t="str">
        <f ca="1">IFERROR(__xludf.DUMMYFUNCTION("""COMPUTED_VALUE"""),"TV Series 2004–2011)")</f>
        <v>TV Series 2004–2011)</v>
      </c>
    </row>
    <row r="2401" spans="1:5" ht="13" x14ac:dyDescent="0.15">
      <c r="A2401" s="5" t="s">
        <v>2651</v>
      </c>
      <c r="D2401" t="str">
        <f ca="1">IFERROR(__xludf.DUMMYFUNCTION("split(A2401,""("")"),"Restoration Australia ")</f>
        <v xml:space="preserve">Restoration Australia </v>
      </c>
      <c r="E2401" t="str">
        <f ca="1">IFERROR(__xludf.DUMMYFUNCTION("""COMPUTED_VALUE"""),"TV Series 2015–2018)")</f>
        <v>TV Series 2015–2018)</v>
      </c>
    </row>
    <row r="2402" spans="1:5" ht="13" x14ac:dyDescent="0.15">
      <c r="A2402" s="5" t="s">
        <v>2652</v>
      </c>
      <c r="D2402" t="str">
        <f ca="1">IFERROR(__xludf.DUMMYFUNCTION("split(A2402,""("")"),"Retrato de familia ")</f>
        <v xml:space="preserve">Retrato de familia </v>
      </c>
      <c r="E2402" t="str">
        <f ca="1">IFERROR(__xludf.DUMMYFUNCTION("""COMPUTED_VALUE"""),"TV Series 1995–1996)")</f>
        <v>TV Series 1995–1996)</v>
      </c>
    </row>
    <row r="2403" spans="1:5" ht="13" x14ac:dyDescent="0.15">
      <c r="A2403" s="5" t="s">
        <v>2653</v>
      </c>
      <c r="D2403" t="str">
        <f ca="1">IFERROR(__xludf.DUMMYFUNCTION("split(A2403,""("")"),"Revelation Decoded ")</f>
        <v xml:space="preserve">Revelation Decoded </v>
      </c>
      <c r="E2403" t="str">
        <f ca="1">IFERROR(__xludf.DUMMYFUNCTION("""COMPUTED_VALUE"""),"TV Series 2007– )")</f>
        <v>TV Series 2007– )</v>
      </c>
    </row>
    <row r="2404" spans="1:5" ht="13" x14ac:dyDescent="0.15">
      <c r="A2404" s="5" t="s">
        <v>2654</v>
      </c>
      <c r="D2404" t="str">
        <f ca="1">IFERROR(__xludf.DUMMYFUNCTION("split(A2404,""("")"),"Revenge ")</f>
        <v xml:space="preserve">Revenge </v>
      </c>
      <c r="E2404" t="str">
        <f ca="1">IFERROR(__xludf.DUMMYFUNCTION("""COMPUTED_VALUE"""),"TV Series 2011–2015)")</f>
        <v>TV Series 2011–2015)</v>
      </c>
    </row>
    <row r="2405" spans="1:5" ht="13" x14ac:dyDescent="0.15">
      <c r="A2405" s="5" t="s">
        <v>196</v>
      </c>
      <c r="D2405" t="str">
        <f ca="1">IFERROR(__xludf.DUMMYFUNCTION("split(A2405,""("")"),"Revenge Body with Khloé Kardashian ")</f>
        <v xml:space="preserve">Revenge Body with Khloé Kardashian </v>
      </c>
      <c r="E2405" t="str">
        <f ca="1">IFERROR(__xludf.DUMMYFUNCTION("""COMPUTED_VALUE"""),"TV Series 2017– )")</f>
        <v>TV Series 2017– )</v>
      </c>
    </row>
    <row r="2406" spans="1:5" ht="13" x14ac:dyDescent="0.15">
      <c r="A2406" s="5" t="s">
        <v>2655</v>
      </c>
      <c r="D2406" t="str">
        <f ca="1">IFERROR(__xludf.DUMMYFUNCTION("split(A2406,""("")"),"Revenge of the Sock ")</f>
        <v xml:space="preserve">Revenge of the Sock </v>
      </c>
      <c r="E2406" t="str">
        <f ca="1">IFERROR(__xludf.DUMMYFUNCTION("""COMPUTED_VALUE"""),"TV Series 2011– )")</f>
        <v>TV Series 2011– )</v>
      </c>
    </row>
    <row r="2407" spans="1:5" ht="13" x14ac:dyDescent="0.15">
      <c r="A2407" s="5" t="s">
        <v>2656</v>
      </c>
      <c r="D2407" t="str">
        <f ca="1">IFERROR(__xludf.DUMMYFUNCTION("split(A2407,""("")"),"Reverie ")</f>
        <v xml:space="preserve">Reverie </v>
      </c>
      <c r="E2407" t="str">
        <f ca="1">IFERROR(__xludf.DUMMYFUNCTION("""COMPUTED_VALUE"""),"TV Series 2018– )")</f>
        <v>TV Series 2018– )</v>
      </c>
    </row>
    <row r="2408" spans="1:5" ht="13" x14ac:dyDescent="0.15">
      <c r="A2408" s="5" t="s">
        <v>2657</v>
      </c>
      <c r="D2408" t="str">
        <f ca="1">IFERROR(__xludf.DUMMYFUNCTION("split(A2408,""("")"),"Revolution ")</f>
        <v xml:space="preserve">Revolution </v>
      </c>
      <c r="E2408" t="str">
        <f ca="1">IFERROR(__xludf.DUMMYFUNCTION("""COMPUTED_VALUE"""),"TV Mini-Series 2019)")</f>
        <v>TV Mini-Series 2019)</v>
      </c>
    </row>
    <row r="2409" spans="1:5" ht="13" x14ac:dyDescent="0.15">
      <c r="A2409" s="5" t="s">
        <v>367</v>
      </c>
      <c r="D2409" t="str">
        <f ca="1">IFERROR(__xludf.DUMMYFUNCTION("split(A2409,""("")"),"Revolution ")</f>
        <v xml:space="preserve">Revolution </v>
      </c>
      <c r="E2409" t="str">
        <f ca="1">IFERROR(__xludf.DUMMYFUNCTION("""COMPUTED_VALUE"""),"TV Series 2012–2014)")</f>
        <v>TV Series 2012–2014)</v>
      </c>
    </row>
    <row r="2410" spans="1:5" ht="13" x14ac:dyDescent="0.15">
      <c r="A2410" s="5" t="s">
        <v>2658</v>
      </c>
      <c r="D2410" t="str">
        <f ca="1">IFERROR(__xludf.DUMMYFUNCTION("split(A2410,""("")"),"Revolutionary Girl Utena ")</f>
        <v xml:space="preserve">Revolutionary Girl Utena </v>
      </c>
      <c r="E2410" t="str">
        <f ca="1">IFERROR(__xludf.DUMMYFUNCTION("""COMPUTED_VALUE"""),"TV Series 1997)")</f>
        <v>TV Series 1997)</v>
      </c>
    </row>
    <row r="2411" spans="1:5" ht="13" x14ac:dyDescent="0.15">
      <c r="A2411" s="5" t="s">
        <v>2659</v>
      </c>
      <c r="D2411" t="str">
        <f ca="1">IFERROR(__xludf.DUMMYFUNCTION("split(A2411,""("")"),"Richie Rich ")</f>
        <v xml:space="preserve">Richie Rich </v>
      </c>
      <c r="E2411" t="str">
        <f ca="1">IFERROR(__xludf.DUMMYFUNCTION("""COMPUTED_VALUE"""),"TV Series 2015)")</f>
        <v>TV Series 2015)</v>
      </c>
    </row>
    <row r="2412" spans="1:5" ht="13" x14ac:dyDescent="0.15">
      <c r="A2412" s="5" t="s">
        <v>319</v>
      </c>
      <c r="D2412" t="str">
        <f ca="1">IFERROR(__xludf.DUMMYFUNCTION("split(A2412,""("")"),"Rick and Morty ")</f>
        <v xml:space="preserve">Rick and Morty </v>
      </c>
      <c r="E2412" t="str">
        <f ca="1">IFERROR(__xludf.DUMMYFUNCTION("""COMPUTED_VALUE"""),"TV Series 2013– )")</f>
        <v>TV Series 2013– )</v>
      </c>
    </row>
    <row r="2413" spans="1:5" ht="13" x14ac:dyDescent="0.15">
      <c r="A2413" s="5" t="s">
        <v>2660</v>
      </c>
      <c r="D2413" t="str">
        <f ca="1">IFERROR(__xludf.DUMMYFUNCTION("split(A2413,""("")"),"Ridiculousness ")</f>
        <v xml:space="preserve">Ridiculousness </v>
      </c>
      <c r="E2413" t="str">
        <f ca="1">IFERROR(__xludf.DUMMYFUNCTION("""COMPUTED_VALUE"""),"TV Series 2011– )")</f>
        <v>TV Series 2011– )</v>
      </c>
    </row>
    <row r="2414" spans="1:5" ht="13" x14ac:dyDescent="0.15">
      <c r="A2414" s="5" t="s">
        <v>2661</v>
      </c>
      <c r="D2414" t="str">
        <f ca="1">IFERROR(__xludf.DUMMYFUNCTION("split(A2414,""("")"),"Ringer ")</f>
        <v xml:space="preserve">Ringer </v>
      </c>
      <c r="E2414" t="str">
        <f ca="1">IFERROR(__xludf.DUMMYFUNCTION("""COMPUTED_VALUE"""),"TV Series 2011–2012)")</f>
        <v>TV Series 2011–2012)</v>
      </c>
    </row>
    <row r="2415" spans="1:5" ht="13" x14ac:dyDescent="0.15">
      <c r="A2415" s="5" t="s">
        <v>2662</v>
      </c>
      <c r="D2415" t="str">
        <f ca="1">IFERROR(__xludf.DUMMYFUNCTION("split(A2415,""("")"),"Rising Star ")</f>
        <v xml:space="preserve">Rising Star </v>
      </c>
      <c r="E2415" t="str">
        <f ca="1">IFERROR(__xludf.DUMMYFUNCTION("""COMPUTED_VALUE"""),"TV Series 2014)")</f>
        <v>TV Series 2014)</v>
      </c>
    </row>
    <row r="2416" spans="1:5" ht="13" x14ac:dyDescent="0.15">
      <c r="A2416" s="5" t="s">
        <v>2663</v>
      </c>
      <c r="D2416" t="str">
        <f ca="1">IFERROR(__xludf.DUMMYFUNCTION("split(A2416,""("")"),"Rita Rocks ")</f>
        <v xml:space="preserve">Rita Rocks </v>
      </c>
      <c r="E2416" t="str">
        <f ca="1">IFERROR(__xludf.DUMMYFUNCTION("""COMPUTED_VALUE"""),"TV Series 2008–2009)")</f>
        <v>TV Series 2008–2009)</v>
      </c>
    </row>
    <row r="2417" spans="1:5" ht="13" x14ac:dyDescent="0.15">
      <c r="A2417" s="5" t="s">
        <v>2664</v>
      </c>
      <c r="D2417" t="str">
        <f ca="1">IFERROR(__xludf.DUMMYFUNCTION("split(A2417,""("")"),"River Monsters ")</f>
        <v xml:space="preserve">River Monsters </v>
      </c>
      <c r="E2417" t="str">
        <f ca="1">IFERROR(__xludf.DUMMYFUNCTION("""COMPUTED_VALUE"""),"TV Series 2009–2017)")</f>
        <v>TV Series 2009–2017)</v>
      </c>
    </row>
    <row r="2418" spans="1:5" ht="13" x14ac:dyDescent="0.15">
      <c r="A2418" s="5" t="s">
        <v>141</v>
      </c>
      <c r="D2418" t="str">
        <f ca="1">IFERROR(__xludf.DUMMYFUNCTION("split(A2418,""("")"),"Riverdale ")</f>
        <v xml:space="preserve">Riverdale </v>
      </c>
      <c r="E2418" t="str">
        <f ca="1">IFERROR(__xludf.DUMMYFUNCTION("""COMPUTED_VALUE"""),"TV Series 2017– )")</f>
        <v>TV Series 2017– )</v>
      </c>
    </row>
    <row r="2419" spans="1:5" ht="13" x14ac:dyDescent="0.15">
      <c r="A2419" s="5" t="s">
        <v>2665</v>
      </c>
      <c r="D2419" t="str">
        <f ca="1">IFERROR(__xludf.DUMMYFUNCTION("split(A2419,""("")"),"Riviera ")</f>
        <v xml:space="preserve">Riviera </v>
      </c>
      <c r="E2419" t="str">
        <f ca="1">IFERROR(__xludf.DUMMYFUNCTION("""COMPUTED_VALUE"""),"TV Series 2017– )")</f>
        <v>TV Series 2017– )</v>
      </c>
    </row>
    <row r="2420" spans="1:5" ht="13" x14ac:dyDescent="0.15">
      <c r="A2420" s="5" t="s">
        <v>142</v>
      </c>
      <c r="D2420" t="str">
        <f ca="1">IFERROR(__xludf.DUMMYFUNCTION("split(A2420,""("")"),"Rizzoli &amp; Isles ")</f>
        <v xml:space="preserve">Rizzoli &amp; Isles </v>
      </c>
      <c r="E2420" t="str">
        <f ca="1">IFERROR(__xludf.DUMMYFUNCTION("""COMPUTED_VALUE"""),"TV Series 2010–2016)")</f>
        <v>TV Series 2010–2016)</v>
      </c>
    </row>
    <row r="2421" spans="1:5" ht="13" x14ac:dyDescent="0.15">
      <c r="A2421" s="5" t="s">
        <v>74</v>
      </c>
      <c r="D2421" t="str">
        <f ca="1">IFERROR(__xludf.DUMMYFUNCTION("split(A2421,""("")"),"Robin Hood: Mischief in Sherwood ")</f>
        <v xml:space="preserve">Robin Hood: Mischief in Sherwood </v>
      </c>
      <c r="E2421" t="str">
        <f ca="1">IFERROR(__xludf.DUMMYFUNCTION("""COMPUTED_VALUE"""),"TV Series 2014– )")</f>
        <v>TV Series 2014– )</v>
      </c>
    </row>
    <row r="2422" spans="1:5" ht="13" x14ac:dyDescent="0.15">
      <c r="A2422" s="5" t="s">
        <v>2666</v>
      </c>
      <c r="D2422" t="str">
        <f ca="1">IFERROR(__xludf.DUMMYFUNCTION("split(A2422,""("")"),"Robo Story ")</f>
        <v xml:space="preserve">Robo Story </v>
      </c>
      <c r="E2422" t="str">
        <f ca="1">IFERROR(__xludf.DUMMYFUNCTION("""COMPUTED_VALUE"""),"TV Series 1985– )")</f>
        <v>TV Series 1985– )</v>
      </c>
    </row>
    <row r="2423" spans="1:5" ht="13" x14ac:dyDescent="0.15">
      <c r="A2423" s="5" t="s">
        <v>446</v>
      </c>
      <c r="D2423" t="str">
        <f ca="1">IFERROR(__xludf.DUMMYFUNCTION("split(A2423,""("")"),"RoboCop: Prime Directives ")</f>
        <v xml:space="preserve">RoboCop: Prime Directives </v>
      </c>
      <c r="E2423" t="str">
        <f ca="1">IFERROR(__xludf.DUMMYFUNCTION("""COMPUTED_VALUE"""),"TV Series 2001)")</f>
        <v>TV Series 2001)</v>
      </c>
    </row>
    <row r="2424" spans="1:5" ht="13" x14ac:dyDescent="0.15">
      <c r="A2424" s="5" t="s">
        <v>2667</v>
      </c>
      <c r="D2424" t="str">
        <f ca="1">IFERROR(__xludf.DUMMYFUNCTION("split(A2424,""("")"),"Robokop ")</f>
        <v xml:space="preserve">Robokop </v>
      </c>
      <c r="E2424" t="str">
        <f ca="1">IFERROR(__xludf.DUMMYFUNCTION("""COMPUTED_VALUE"""),"TV Series 2004– )")</f>
        <v>TV Series 2004– )</v>
      </c>
    </row>
    <row r="2425" spans="1:5" ht="13" x14ac:dyDescent="0.15">
      <c r="A2425" s="5" t="s">
        <v>670</v>
      </c>
      <c r="D2425" t="str">
        <f ca="1">IFERROR(__xludf.DUMMYFUNCTION("split(A2425,""("")"),"Robot Chicken ")</f>
        <v xml:space="preserve">Robot Chicken </v>
      </c>
      <c r="E2425" t="str">
        <f ca="1">IFERROR(__xludf.DUMMYFUNCTION("""COMPUTED_VALUE"""),"TV Series 2005– )")</f>
        <v>TV Series 2005– )</v>
      </c>
    </row>
    <row r="2426" spans="1:5" ht="13" x14ac:dyDescent="0.15">
      <c r="A2426" s="5" t="s">
        <v>2668</v>
      </c>
      <c r="D2426" t="str">
        <f ca="1">IFERROR(__xludf.DUMMYFUNCTION("split(A2426,""("")"),"Rock Suomi ")</f>
        <v xml:space="preserve">Rock Suomi </v>
      </c>
      <c r="E2426" t="str">
        <f ca="1">IFERROR(__xludf.DUMMYFUNCTION("""COMPUTED_VALUE"""),"TV Series 2010– )")</f>
        <v>TV Series 2010– )</v>
      </c>
    </row>
    <row r="2427" spans="1:5" ht="13" x14ac:dyDescent="0.15">
      <c r="A2427" s="5" t="s">
        <v>2669</v>
      </c>
      <c r="D2427" t="str">
        <f ca="1">IFERROR(__xludf.DUMMYFUNCTION("split(A2427,""("")"),"Rock the Cradle ")</f>
        <v xml:space="preserve">Rock the Cradle </v>
      </c>
      <c r="E2427" t="str">
        <f ca="1">IFERROR(__xludf.DUMMYFUNCTION("""COMPUTED_VALUE"""),"TV Series 2008– )")</f>
        <v>TV Series 2008– )</v>
      </c>
    </row>
    <row r="2428" spans="1:5" ht="13" x14ac:dyDescent="0.15">
      <c r="A2428" s="5" t="s">
        <v>2670</v>
      </c>
      <c r="D2428" t="str">
        <f ca="1">IFERROR(__xludf.DUMMYFUNCTION("split(A2428,""("")"),"Rock the Park ")</f>
        <v xml:space="preserve">Rock the Park </v>
      </c>
      <c r="E2428" t="str">
        <f ca="1">IFERROR(__xludf.DUMMYFUNCTION("""COMPUTED_VALUE"""),"TV Series 2014– )")</f>
        <v>TV Series 2014– )</v>
      </c>
    </row>
    <row r="2429" spans="1:5" ht="13" x14ac:dyDescent="0.15">
      <c r="A2429" s="5" t="s">
        <v>2671</v>
      </c>
      <c r="D2429" t="str">
        <f ca="1">IFERROR(__xludf.DUMMYFUNCTION("split(A2429,""("")"),"Rocket Power ")</f>
        <v xml:space="preserve">Rocket Power </v>
      </c>
      <c r="E2429" t="str">
        <f ca="1">IFERROR(__xludf.DUMMYFUNCTION("""COMPUTED_VALUE"""),"TV Series 1999–2004)")</f>
        <v>TV Series 1999–2004)</v>
      </c>
    </row>
    <row r="2430" spans="1:5" ht="13" x14ac:dyDescent="0.15">
      <c r="A2430" s="5" t="s">
        <v>2672</v>
      </c>
      <c r="D2430" t="str">
        <f ca="1">IFERROR(__xludf.DUMMYFUNCTION("split(A2430,""("")"),"Rocko's Modern Life ")</f>
        <v xml:space="preserve">Rocko's Modern Life </v>
      </c>
      <c r="E2430" t="str">
        <f ca="1">IFERROR(__xludf.DUMMYFUNCTION("""COMPUTED_VALUE"""),"TV Series 1993–1996)")</f>
        <v>TV Series 1993–1996)</v>
      </c>
    </row>
    <row r="2431" spans="1:5" ht="13" x14ac:dyDescent="0.15">
      <c r="A2431" s="5" t="s">
        <v>2673</v>
      </c>
      <c r="D2431" t="str">
        <f ca="1">IFERROR(__xludf.DUMMYFUNCTION("split(A2431,""("")"),"Rolling Love ")</f>
        <v xml:space="preserve">Rolling Love </v>
      </c>
      <c r="E2431" t="str">
        <f ca="1">IFERROR(__xludf.DUMMYFUNCTION("""COMPUTED_VALUE"""),"TV Series 2008– )")</f>
        <v>TV Series 2008– )</v>
      </c>
    </row>
    <row r="2432" spans="1:5" ht="13" x14ac:dyDescent="0.15">
      <c r="A2432" s="5" t="s">
        <v>2674</v>
      </c>
      <c r="D2432" t="str">
        <f ca="1">IFERROR(__xludf.DUMMYFUNCTION("split(A2432,""("")"),"Roman Empire ")</f>
        <v xml:space="preserve">Roman Empire </v>
      </c>
      <c r="E2432" t="str">
        <f ca="1">IFERROR(__xludf.DUMMYFUNCTION("""COMPUTED_VALUE"""),"TV Series 2016– )")</f>
        <v>TV Series 2016– )</v>
      </c>
    </row>
    <row r="2433" spans="1:5" ht="13" x14ac:dyDescent="0.15">
      <c r="A2433" s="5" t="s">
        <v>678</v>
      </c>
      <c r="D2433" t="str">
        <f ca="1">IFERROR(__xludf.DUMMYFUNCTION("split(A2433,""("")"),"Rome ")</f>
        <v xml:space="preserve">Rome </v>
      </c>
      <c r="E2433" t="str">
        <f ca="1">IFERROR(__xludf.DUMMYFUNCTION("""COMPUTED_VALUE"""),"TV Series 2005–2007)")</f>
        <v>TV Series 2005–2007)</v>
      </c>
    </row>
    <row r="2434" spans="1:5" ht="13" x14ac:dyDescent="0.15">
      <c r="A2434" s="5" t="s">
        <v>2675</v>
      </c>
      <c r="D2434" t="str">
        <f ca="1">IFERROR(__xludf.DUMMYFUNCTION("split(A2434,""("")"),"Ronin Warriors ")</f>
        <v xml:space="preserve">Ronin Warriors </v>
      </c>
      <c r="E2434" t="str">
        <f ca="1">IFERROR(__xludf.DUMMYFUNCTION("""COMPUTED_VALUE"""),"TV Series 1988–1995)")</f>
        <v>TV Series 1988–1995)</v>
      </c>
    </row>
    <row r="2435" spans="1:5" ht="13" x14ac:dyDescent="0.15">
      <c r="A2435" s="5" t="s">
        <v>2676</v>
      </c>
      <c r="D2435" t="str">
        <f ca="1">IFERROR(__xludf.DUMMYFUNCTION("split(A2435,""("")"),"Ronny Chieng: International Student ")</f>
        <v xml:space="preserve">Ronny Chieng: International Student </v>
      </c>
      <c r="E2435" t="str">
        <f ca="1">IFERROR(__xludf.DUMMYFUNCTION("""COMPUTED_VALUE"""),"TV Mini-Series 2017– )")</f>
        <v>TV Mini-Series 2017– )</v>
      </c>
    </row>
    <row r="2436" spans="1:5" ht="13" x14ac:dyDescent="0.15">
      <c r="A2436" s="5" t="s">
        <v>2677</v>
      </c>
      <c r="D2436" t="str">
        <f ca="1">IFERROR(__xludf.DUMMYFUNCTION("split(A2436,""("")"),"Rookie Agent Rouge ")</f>
        <v xml:space="preserve">Rookie Agent Rouge </v>
      </c>
      <c r="E2436" t="str">
        <f ca="1">IFERROR(__xludf.DUMMYFUNCTION("""COMPUTED_VALUE"""),"TV Series 2016)")</f>
        <v>TV Series 2016)</v>
      </c>
    </row>
    <row r="2437" spans="1:5" ht="13" x14ac:dyDescent="0.15">
      <c r="A2437" s="5" t="s">
        <v>2678</v>
      </c>
      <c r="D2437" t="str">
        <f ca="1">IFERROR(__xludf.DUMMYFUNCTION("split(A2437,""("")"),"Room 104 ")</f>
        <v xml:space="preserve">Room 104 </v>
      </c>
      <c r="E2437" t="str">
        <f ca="1">IFERROR(__xludf.DUMMYFUNCTION("""COMPUTED_VALUE"""),"TV Series 2017– )")</f>
        <v>TV Series 2017– )</v>
      </c>
    </row>
    <row r="2438" spans="1:5" ht="13" x14ac:dyDescent="0.15">
      <c r="A2438" s="5" t="s">
        <v>2679</v>
      </c>
      <c r="D2438" t="str">
        <f ca="1">IFERROR(__xludf.DUMMYFUNCTION("split(A2438,""("")"),"Rosa salvaje ")</f>
        <v xml:space="preserve">Rosa salvaje </v>
      </c>
      <c r="E2438" t="str">
        <f ca="1">IFERROR(__xludf.DUMMYFUNCTION("""COMPUTED_VALUE"""),"TV Series 1987– )")</f>
        <v>TV Series 1987– )</v>
      </c>
    </row>
    <row r="2439" spans="1:5" ht="13" x14ac:dyDescent="0.15">
      <c r="A2439" s="5" t="s">
        <v>2680</v>
      </c>
      <c r="D2439" t="str">
        <f ca="1">IFERROR(__xludf.DUMMYFUNCTION("split(A2439,""("")"),"Rosario + Vampire ")</f>
        <v xml:space="preserve">Rosario + Vampire </v>
      </c>
      <c r="E2439" t="str">
        <f ca="1">IFERROR(__xludf.DUMMYFUNCTION("""COMPUTED_VALUE"""),"TV Series 2008)")</f>
        <v>TV Series 2008)</v>
      </c>
    </row>
    <row r="2440" spans="1:5" ht="13" x14ac:dyDescent="0.15">
      <c r="A2440" s="5" t="s">
        <v>368</v>
      </c>
      <c r="D2440" t="str">
        <f ca="1">IFERROR(__xludf.DUMMYFUNCTION("split(A2440,""("")"),"Roseanne ")</f>
        <v xml:space="preserve">Roseanne </v>
      </c>
      <c r="E2440" t="str">
        <f ca="1">IFERROR(__xludf.DUMMYFUNCTION("""COMPUTED_VALUE"""),"TV Series 1988–2018)")</f>
        <v>TV Series 1988–2018)</v>
      </c>
    </row>
    <row r="2441" spans="1:5" ht="13" x14ac:dyDescent="0.15">
      <c r="A2441" s="5" t="s">
        <v>228</v>
      </c>
      <c r="D2441" t="str">
        <f ca="1">IFERROR(__xludf.DUMMYFUNCTION("split(A2441,""("")"),"Rosewood ")</f>
        <v xml:space="preserve">Rosewood </v>
      </c>
      <c r="E2441" t="str">
        <f ca="1">IFERROR(__xludf.DUMMYFUNCTION("""COMPUTED_VALUE"""),"TV Series 2015–2017)")</f>
        <v>TV Series 2015–2017)</v>
      </c>
    </row>
    <row r="2442" spans="1:5" ht="13" x14ac:dyDescent="0.15">
      <c r="A2442" s="5" t="s">
        <v>2681</v>
      </c>
      <c r="D2442" t="str">
        <f ca="1">IFERROR(__xludf.DUMMYFUNCTION("split(A2442,""("")"),"Roswell ")</f>
        <v xml:space="preserve">Roswell </v>
      </c>
      <c r="E2442" t="str">
        <f ca="1">IFERROR(__xludf.DUMMYFUNCTION("""COMPUTED_VALUE"""),"TV Series 1999–2002)")</f>
        <v>TV Series 1999–2002)</v>
      </c>
    </row>
    <row r="2443" spans="1:5" ht="13" x14ac:dyDescent="0.15">
      <c r="A2443" s="5" t="s">
        <v>143</v>
      </c>
      <c r="D2443" t="str">
        <f ca="1">IFERROR(__xludf.DUMMYFUNCTION("split(A2443,""("")"),"Roswell, New Mexico ")</f>
        <v xml:space="preserve">Roswell, New Mexico </v>
      </c>
      <c r="E2443" t="str">
        <f ca="1">IFERROR(__xludf.DUMMYFUNCTION("""COMPUTED_VALUE"""),"TV Series 2019– )")</f>
        <v>TV Series 2019– )</v>
      </c>
    </row>
    <row r="2444" spans="1:5" ht="13" x14ac:dyDescent="0.15">
      <c r="A2444" s="5" t="s">
        <v>2682</v>
      </c>
      <c r="D2444" t="str">
        <f ca="1">IFERROR(__xludf.DUMMYFUNCTION("split(A2444,""("")"),"Rotten ")</f>
        <v xml:space="preserve">Rotten </v>
      </c>
      <c r="E2444" t="str">
        <f ca="1">IFERROR(__xludf.DUMMYFUNCTION("""COMPUTED_VALUE"""),"TV Series 2018)")</f>
        <v>TV Series 2018)</v>
      </c>
    </row>
    <row r="2445" spans="1:5" ht="13" x14ac:dyDescent="0.15">
      <c r="A2445" s="5" t="s">
        <v>2683</v>
      </c>
      <c r="D2445" t="str">
        <f ca="1">IFERROR(__xludf.DUMMYFUNCTION("split(A2445,""("")"),"Rotterdammers van Formaat ")</f>
        <v xml:space="preserve">Rotterdammers van Formaat </v>
      </c>
      <c r="E2445" t="str">
        <f ca="1">IFERROR(__xludf.DUMMYFUNCTION("""COMPUTED_VALUE"""),"TV Series 2009–2011)")</f>
        <v>TV Series 2009–2011)</v>
      </c>
    </row>
    <row r="2446" spans="1:5" ht="13" x14ac:dyDescent="0.15">
      <c r="A2446" s="5" t="s">
        <v>2684</v>
      </c>
      <c r="D2446" t="str">
        <f ca="1">IFERROR(__xludf.DUMMYFUNCTION("split(A2446,""("")"),"Royal Canadian Air Farce ")</f>
        <v xml:space="preserve">Royal Canadian Air Farce </v>
      </c>
      <c r="E2446" t="str">
        <f ca="1">IFERROR(__xludf.DUMMYFUNCTION("""COMPUTED_VALUE"""),"TV Series 1993– )")</f>
        <v>TV Series 1993– )</v>
      </c>
    </row>
    <row r="2447" spans="1:5" ht="13" x14ac:dyDescent="0.15">
      <c r="A2447" s="5" t="s">
        <v>2685</v>
      </c>
      <c r="D2447" t="str">
        <f ca="1">IFERROR(__xludf.DUMMYFUNCTION("split(A2447,""("")"),"Royal Pains ")</f>
        <v xml:space="preserve">Royal Pains </v>
      </c>
      <c r="E2447" t="str">
        <f ca="1">IFERROR(__xludf.DUMMYFUNCTION("""COMPUTED_VALUE"""),"TV Series 2009–2016)")</f>
        <v>TV Series 2009–2016)</v>
      </c>
    </row>
    <row r="2448" spans="1:5" ht="13" x14ac:dyDescent="0.15">
      <c r="A2448" s="5" t="s">
        <v>2686</v>
      </c>
      <c r="D2448" t="str">
        <f ca="1">IFERROR(__xludf.DUMMYFUNCTION("split(A2448,""("")"),"Rubicon ")</f>
        <v xml:space="preserve">Rubicon </v>
      </c>
      <c r="E2448" t="str">
        <f ca="1">IFERROR(__xludf.DUMMYFUNCTION("""COMPUTED_VALUE"""),"TV Series 2010– )")</f>
        <v>TV Series 2010– )</v>
      </c>
    </row>
    <row r="2449" spans="1:5" ht="13" x14ac:dyDescent="0.15">
      <c r="A2449" s="5" t="s">
        <v>2687</v>
      </c>
      <c r="D2449" t="str">
        <f ca="1">IFERROR(__xludf.DUMMYFUNCTION("split(A2449,""("")"),"Rude Awakening ")</f>
        <v xml:space="preserve">Rude Awakening </v>
      </c>
      <c r="E2449" t="str">
        <f ca="1">IFERROR(__xludf.DUMMYFUNCTION("""COMPUTED_VALUE"""),"TV Series 1998–2001)")</f>
        <v>TV Series 1998–2001)</v>
      </c>
    </row>
    <row r="2450" spans="1:5" ht="13" x14ac:dyDescent="0.15">
      <c r="A2450" s="5" t="s">
        <v>2688</v>
      </c>
      <c r="D2450" t="str">
        <f ca="1">IFERROR(__xludf.DUMMYFUNCTION("split(A2450,""("")"),"Rugrats ")</f>
        <v xml:space="preserve">Rugrats </v>
      </c>
      <c r="E2450" t="str">
        <f ca="1">IFERROR(__xludf.DUMMYFUNCTION("""COMPUTED_VALUE"""),"TV Series 1990–2006)")</f>
        <v>TV Series 1990–2006)</v>
      </c>
    </row>
    <row r="2451" spans="1:5" ht="13" x14ac:dyDescent="0.15">
      <c r="A2451" s="5" t="s">
        <v>369</v>
      </c>
      <c r="D2451" t="str">
        <f ca="1">IFERROR(__xludf.DUMMYFUNCTION("split(A2451,""("")"),"Rules of Engagement ")</f>
        <v xml:space="preserve">Rules of Engagement </v>
      </c>
      <c r="E2451" t="str">
        <f ca="1">IFERROR(__xludf.DUMMYFUNCTION("""COMPUTED_VALUE"""),"TV Series 2007–2013)")</f>
        <v>TV Series 2007–2013)</v>
      </c>
    </row>
    <row r="2452" spans="1:5" ht="13" x14ac:dyDescent="0.15">
      <c r="A2452" s="5" t="s">
        <v>2689</v>
      </c>
      <c r="D2452" t="str">
        <f ca="1">IFERROR(__xludf.DUMMYFUNCTION("split(A2452,""("")"),"Rumbling Hearts ")</f>
        <v xml:space="preserve">Rumbling Hearts </v>
      </c>
      <c r="E2452" t="str">
        <f ca="1">IFERROR(__xludf.DUMMYFUNCTION("""COMPUTED_VALUE"""),"TV Series 2003–2004)")</f>
        <v>TV Series 2003–2004)</v>
      </c>
    </row>
    <row r="2453" spans="1:5" ht="13" x14ac:dyDescent="0.15">
      <c r="A2453" s="5" t="s">
        <v>2690</v>
      </c>
      <c r="D2453" t="str">
        <f ca="1">IFERROR(__xludf.DUMMYFUNCTION("split(A2453,""("")"),"Running the Shop ")</f>
        <v xml:space="preserve">Running the Shop </v>
      </c>
      <c r="E2453" t="str">
        <f ca="1">IFERROR(__xludf.DUMMYFUNCTION("""COMPUTED_VALUE"""),"TV Series 2015– )")</f>
        <v>TV Series 2015– )</v>
      </c>
    </row>
    <row r="2454" spans="1:5" ht="13" x14ac:dyDescent="0.15">
      <c r="A2454" s="5" t="s">
        <v>629</v>
      </c>
      <c r="D2454" t="str">
        <f ca="1">IFERROR(__xludf.DUMMYFUNCTION("split(A2454,""("")"),"Running Wild with Bear Grylls ")</f>
        <v xml:space="preserve">Running Wild with Bear Grylls </v>
      </c>
      <c r="E2454" t="str">
        <f ca="1">IFERROR(__xludf.DUMMYFUNCTION("""COMPUTED_VALUE"""),"TV Series 2014– )")</f>
        <v>TV Series 2014– )</v>
      </c>
    </row>
    <row r="2455" spans="1:5" ht="13" x14ac:dyDescent="0.15">
      <c r="A2455" s="5" t="s">
        <v>229</v>
      </c>
      <c r="D2455" t="str">
        <f ca="1">IFERROR(__xludf.DUMMYFUNCTION("split(A2455,""("")"),"RuPaul's Drag Race ")</f>
        <v xml:space="preserve">RuPaul's Drag Race </v>
      </c>
      <c r="E2455" t="str">
        <f ca="1">IFERROR(__xludf.DUMMYFUNCTION("""COMPUTED_VALUE"""),"TV Series 2009– )")</f>
        <v>TV Series 2009– )</v>
      </c>
    </row>
    <row r="2456" spans="1:5" ht="13" x14ac:dyDescent="0.15">
      <c r="A2456" s="5" t="s">
        <v>2691</v>
      </c>
      <c r="D2456" t="str">
        <f ca="1">IFERROR(__xludf.DUMMYFUNCTION("split(A2456,""("")"),"Rurouni Kenshin: Wandering Samurai ")</f>
        <v xml:space="preserve">Rurouni Kenshin: Wandering Samurai </v>
      </c>
      <c r="E2456" t="str">
        <f ca="1">IFERROR(__xludf.DUMMYFUNCTION("""COMPUTED_VALUE"""),"TV Series 1996–1999)")</f>
        <v>TV Series 1996–1999)</v>
      </c>
    </row>
    <row r="2457" spans="1:5" ht="13" x14ac:dyDescent="0.15">
      <c r="A2457" s="5" t="s">
        <v>2692</v>
      </c>
      <c r="D2457" t="str">
        <f ca="1">IFERROR(__xludf.DUMMYFUNCTION("split(A2457,""("")"),"Russell Coight's All Aussie Adventures ")</f>
        <v xml:space="preserve">Russell Coight's All Aussie Adventures </v>
      </c>
      <c r="E2457" t="str">
        <f ca="1">IFERROR(__xludf.DUMMYFUNCTION("""COMPUTED_VALUE"""),"TV Series 2001–2018)")</f>
        <v>TV Series 2001–2018)</v>
      </c>
    </row>
    <row r="2458" spans="1:5" ht="13" x14ac:dyDescent="0.15">
      <c r="A2458" s="5" t="s">
        <v>2693</v>
      </c>
      <c r="D2458" t="str">
        <f ca="1">IFERROR(__xludf.DUMMYFUNCTION("split(A2458,""("")"),"Russian Doll ")</f>
        <v xml:space="preserve">Russian Doll </v>
      </c>
      <c r="E2458" t="str">
        <f ca="1">IFERROR(__xludf.DUMMYFUNCTION("""COMPUTED_VALUE"""),"TV Series 2019– )")</f>
        <v>TV Series 2019– )</v>
      </c>
    </row>
    <row r="2459" spans="1:5" ht="13" x14ac:dyDescent="0.15">
      <c r="A2459" s="5" t="s">
        <v>2694</v>
      </c>
      <c r="D2459" t="str">
        <f ca="1">IFERROR(__xludf.DUMMYFUNCTION("split(A2459,""("")"),"Ryan Hansen Solves Crimes on Television ")</f>
        <v xml:space="preserve">Ryan Hansen Solves Crimes on Television </v>
      </c>
      <c r="E2459" t="str">
        <f ca="1">IFERROR(__xludf.DUMMYFUNCTION("""COMPUTED_VALUE"""),"TV Series 2017– )")</f>
        <v>TV Series 2017– )</v>
      </c>
    </row>
    <row r="2460" spans="1:5" ht="13" x14ac:dyDescent="0.15">
      <c r="A2460" s="5" t="s">
        <v>2695</v>
      </c>
      <c r="D2460" t="str">
        <f ca="1">IFERROR(__xludf.DUMMYFUNCTION("split(A2460,""("")"),"S-style Show II ")</f>
        <v xml:space="preserve">S-style Show II </v>
      </c>
      <c r="E2460" t="str">
        <f ca="1">IFERROR(__xludf.DUMMYFUNCTION("""COMPUTED_VALUE"""),"TV Series 2017–2020)")</f>
        <v>TV Series 2017–2020)</v>
      </c>
    </row>
    <row r="2461" spans="1:5" ht="13" x14ac:dyDescent="0.15">
      <c r="A2461" s="5" t="s">
        <v>2696</v>
      </c>
      <c r="D2461" t="str">
        <f ca="1">IFERROR(__xludf.DUMMYFUNCTION("split(A2461,""("")"),"S.T.R.O.N.G. ")</f>
        <v xml:space="preserve">S.T.R.O.N.G. </v>
      </c>
      <c r="E2461" t="str">
        <f ca="1">IFERROR(__xludf.DUMMYFUNCTION("""COMPUTED_VALUE"""),"TV Series 2016– )")</f>
        <v>TV Series 2016– )</v>
      </c>
    </row>
    <row r="2462" spans="1:5" ht="13" x14ac:dyDescent="0.15">
      <c r="A2462" s="5" t="s">
        <v>630</v>
      </c>
      <c r="D2462" t="str">
        <f ca="1">IFERROR(__xludf.DUMMYFUNCTION("split(A2462,""("")"),"S.W.A.T. ")</f>
        <v xml:space="preserve">S.W.A.T. </v>
      </c>
      <c r="E2462" t="str">
        <f ca="1">IFERROR(__xludf.DUMMYFUNCTION("""COMPUTED_VALUE"""),"TV Series 2017– )")</f>
        <v>TV Series 2017– )</v>
      </c>
    </row>
    <row r="2463" spans="1:5" ht="13" x14ac:dyDescent="0.15">
      <c r="A2463" s="5" t="s">
        <v>2697</v>
      </c>
      <c r="D2463" t="str">
        <f ca="1">IFERROR(__xludf.DUMMYFUNCTION("split(A2463,""("")"),"Saber Rider and the Star Sheriffs ")</f>
        <v xml:space="preserve">Saber Rider and the Star Sheriffs </v>
      </c>
      <c r="E2463" t="str">
        <f ca="1">IFERROR(__xludf.DUMMYFUNCTION("""COMPUTED_VALUE"""),"TV Series 1987–1988)")</f>
        <v>TV Series 1987–1988)</v>
      </c>
    </row>
    <row r="2464" spans="1:5" ht="13" x14ac:dyDescent="0.15">
      <c r="A2464" s="5" t="s">
        <v>631</v>
      </c>
      <c r="D2464" t="str">
        <f ca="1">IFERROR(__xludf.DUMMYFUNCTION("split(A2464,""("")"),"Sabrina, the Animated Series ")</f>
        <v xml:space="preserve">Sabrina, the Animated Series </v>
      </c>
      <c r="E2464" t="str">
        <f ca="1">IFERROR(__xludf.DUMMYFUNCTION("""COMPUTED_VALUE"""),"TV Series 1999–2000)")</f>
        <v>TV Series 1999–2000)</v>
      </c>
    </row>
    <row r="2465" spans="1:5" ht="13" x14ac:dyDescent="0.15">
      <c r="A2465" s="5" t="s">
        <v>144</v>
      </c>
      <c r="D2465" t="str">
        <f ca="1">IFERROR(__xludf.DUMMYFUNCTION("split(A2465,""("")"),"Sabrina, the Teenage Witch ")</f>
        <v xml:space="preserve">Sabrina, the Teenage Witch </v>
      </c>
      <c r="E2465" t="str">
        <f ca="1">IFERROR(__xludf.DUMMYFUNCTION("""COMPUTED_VALUE"""),"TV Series 1996–2003)")</f>
        <v>TV Series 1996–2003)</v>
      </c>
    </row>
    <row r="2466" spans="1:5" ht="13" x14ac:dyDescent="0.15">
      <c r="A2466" s="5" t="s">
        <v>2698</v>
      </c>
      <c r="D2466" t="str">
        <f ca="1">IFERROR(__xludf.DUMMYFUNCTION("split(A2466,""("")"),"Sacred Games ")</f>
        <v xml:space="preserve">Sacred Games </v>
      </c>
      <c r="E2466" t="str">
        <f ca="1">IFERROR(__xludf.DUMMYFUNCTION("""COMPUTED_VALUE"""),"TV Series 2018– )")</f>
        <v>TV Series 2018– )</v>
      </c>
    </row>
    <row r="2467" spans="1:5" ht="13" x14ac:dyDescent="0.15">
      <c r="A2467" s="5" t="s">
        <v>2699</v>
      </c>
      <c r="D2467" t="str">
        <f ca="1">IFERROR(__xludf.DUMMYFUNCTION("split(A2467,""("")"),"Safe House ")</f>
        <v xml:space="preserve">Safe House </v>
      </c>
      <c r="E2467" t="str">
        <f ca="1">IFERROR(__xludf.DUMMYFUNCTION("""COMPUTED_VALUE"""),"TV Series 2015– )")</f>
        <v>TV Series 2015– )</v>
      </c>
    </row>
    <row r="2468" spans="1:5" ht="13" x14ac:dyDescent="0.15">
      <c r="A2468" s="5" t="s">
        <v>2700</v>
      </c>
      <c r="D2468" t="str">
        <f ca="1">IFERROR(__xludf.DUMMYFUNCTION("split(A2468,""("")"),"Safety Geeks: SVI ")</f>
        <v xml:space="preserve">Safety Geeks: SVI </v>
      </c>
      <c r="E2468" t="str">
        <f ca="1">IFERROR(__xludf.DUMMYFUNCTION("""COMPUTED_VALUE"""),"TV Series 2009– )")</f>
        <v>TV Series 2009– )</v>
      </c>
    </row>
    <row r="2469" spans="1:5" ht="13" x14ac:dyDescent="0.15">
      <c r="A2469" s="5" t="s">
        <v>2701</v>
      </c>
      <c r="D2469" t="str">
        <f ca="1">IFERROR(__xludf.DUMMYFUNCTION("split(A2469,""("")"),"Sailor Moon ")</f>
        <v xml:space="preserve">Sailor Moon </v>
      </c>
      <c r="E2469" t="str">
        <f ca="1">IFERROR(__xludf.DUMMYFUNCTION("""COMPUTED_VALUE"""),"TV Series 1992–1997)")</f>
        <v>TV Series 1992–1997)</v>
      </c>
    </row>
    <row r="2470" spans="1:5" ht="13" x14ac:dyDescent="0.15">
      <c r="A2470" s="5" t="s">
        <v>2701</v>
      </c>
      <c r="D2470" t="str">
        <f ca="1">IFERROR(__xludf.DUMMYFUNCTION("split(A2470,""("")"),"Sailor Moon ")</f>
        <v xml:space="preserve">Sailor Moon </v>
      </c>
      <c r="E2470" t="str">
        <f ca="1">IFERROR(__xludf.DUMMYFUNCTION("""COMPUTED_VALUE"""),"TV Series 1992–1997)")</f>
        <v>TV Series 1992–1997)</v>
      </c>
    </row>
    <row r="2471" spans="1:5" ht="13" x14ac:dyDescent="0.15">
      <c r="A2471" s="5" t="s">
        <v>2702</v>
      </c>
      <c r="D2471" t="str">
        <f ca="1">IFERROR(__xludf.DUMMYFUNCTION("split(A2471,""("")"),"Sailor Moon ")</f>
        <v xml:space="preserve">Sailor Moon </v>
      </c>
      <c r="E2471" t="str">
        <f ca="1">IFERROR(__xludf.DUMMYFUNCTION("""COMPUTED_VALUE"""),"TV Series 1995–2000)")</f>
        <v>TV Series 1995–2000)</v>
      </c>
    </row>
    <row r="2472" spans="1:5" ht="13" x14ac:dyDescent="0.15">
      <c r="A2472" s="5" t="s">
        <v>2703</v>
      </c>
      <c r="D2472" t="str">
        <f ca="1">IFERROR(__xludf.DUMMYFUNCTION("split(A2472,""("")"),"Saint Seiya ")</f>
        <v xml:space="preserve">Saint Seiya </v>
      </c>
      <c r="E2472" t="str">
        <f ca="1">IFERROR(__xludf.DUMMYFUNCTION("""COMPUTED_VALUE"""),"TV Series 1986–1989)")</f>
        <v>TV Series 1986–1989)</v>
      </c>
    </row>
    <row r="2473" spans="1:5" ht="13" x14ac:dyDescent="0.15">
      <c r="A2473" s="5" t="s">
        <v>2704</v>
      </c>
      <c r="D2473" t="str">
        <f ca="1">IFERROR(__xludf.DUMMYFUNCTION("split(A2473,""("")"),"Salvage Hunters ")</f>
        <v xml:space="preserve">Salvage Hunters </v>
      </c>
      <c r="E2473" t="str">
        <f ca="1">IFERROR(__xludf.DUMMYFUNCTION("""COMPUTED_VALUE"""),"TV Series 2011– )")</f>
        <v>TV Series 2011– )</v>
      </c>
    </row>
    <row r="2474" spans="1:5" ht="13" x14ac:dyDescent="0.15">
      <c r="A2474" s="5" t="s">
        <v>2705</v>
      </c>
      <c r="D2474" t="str">
        <f ca="1">IFERROR(__xludf.DUMMYFUNCTION("split(A2474,""("")"),"Salvation ")</f>
        <v xml:space="preserve">Salvation </v>
      </c>
      <c r="E2474" t="str">
        <f ca="1">IFERROR(__xludf.DUMMYFUNCTION("""COMPUTED_VALUE"""),"TV Series 2017–2018)")</f>
        <v>TV Series 2017–2018)</v>
      </c>
    </row>
    <row r="2475" spans="1:5" ht="13" x14ac:dyDescent="0.15">
      <c r="A2475" s="5" t="s">
        <v>2706</v>
      </c>
      <c r="D2475" t="str">
        <f ca="1">IFERROR(__xludf.DUMMYFUNCTION("split(A2475,""("")"),"Sam &amp; Cat ")</f>
        <v xml:space="preserve">Sam &amp; Cat </v>
      </c>
      <c r="E2475" t="str">
        <f ca="1">IFERROR(__xludf.DUMMYFUNCTION("""COMPUTED_VALUE"""),"TV Series 2013–2014)")</f>
        <v>TV Series 2013–2014)</v>
      </c>
    </row>
    <row r="2476" spans="1:5" ht="13" x14ac:dyDescent="0.15">
      <c r="A2476" s="5" t="s">
        <v>2707</v>
      </c>
      <c r="D2476" t="str">
        <f ca="1">IFERROR(__xludf.DUMMYFUNCTION("split(A2476,""("")"),"Samantha Who? ")</f>
        <v xml:space="preserve">Samantha Who? </v>
      </c>
      <c r="E2476" t="str">
        <f ca="1">IFERROR(__xludf.DUMMYFUNCTION("""COMPUTED_VALUE"""),"TV Series 2007–2009)")</f>
        <v>TV Series 2007–2009)</v>
      </c>
    </row>
    <row r="2477" spans="1:5" ht="13" x14ac:dyDescent="0.15">
      <c r="A2477" s="5" t="s">
        <v>2708</v>
      </c>
      <c r="D2477" t="str">
        <f ca="1">IFERROR(__xludf.DUMMYFUNCTION("split(A2477,""("")"),"Samson en Gert ")</f>
        <v xml:space="preserve">Samson en Gert </v>
      </c>
      <c r="E2477" t="str">
        <f ca="1">IFERROR(__xludf.DUMMYFUNCTION("""COMPUTED_VALUE"""),"TV Series 1990– )")</f>
        <v>TV Series 1990– )</v>
      </c>
    </row>
    <row r="2478" spans="1:5" ht="13" x14ac:dyDescent="0.15">
      <c r="A2478" s="5" t="s">
        <v>2709</v>
      </c>
      <c r="D2478" t="str">
        <f ca="1">IFERROR(__xludf.DUMMYFUNCTION("split(A2478,""("")"),"Samurai Champloo ")</f>
        <v xml:space="preserve">Samurai Champloo </v>
      </c>
      <c r="E2478" t="str">
        <f ca="1">IFERROR(__xludf.DUMMYFUNCTION("""COMPUTED_VALUE"""),"TV Series 2004–2005)")</f>
        <v>TV Series 2004–2005)</v>
      </c>
    </row>
    <row r="2479" spans="1:5" ht="13" x14ac:dyDescent="0.15">
      <c r="A2479" s="5" t="s">
        <v>2710</v>
      </c>
      <c r="D2479" t="str">
        <f ca="1">IFERROR(__xludf.DUMMYFUNCTION("split(A2479,""("")"),"Samurai Jack ")</f>
        <v xml:space="preserve">Samurai Jack </v>
      </c>
      <c r="E2479" t="str">
        <f ca="1">IFERROR(__xludf.DUMMYFUNCTION("""COMPUTED_VALUE"""),"TV Series 2001–2017)")</f>
        <v>TV Series 2001–2017)</v>
      </c>
    </row>
    <row r="2480" spans="1:5" ht="13" x14ac:dyDescent="0.15">
      <c r="A2480" s="5" t="s">
        <v>2711</v>
      </c>
      <c r="D2480" t="str">
        <f ca="1">IFERROR(__xludf.DUMMYFUNCTION("split(A2480,""("")"),"Sanctuary ")</f>
        <v xml:space="preserve">Sanctuary </v>
      </c>
      <c r="E2480" t="str">
        <f ca="1">IFERROR(__xludf.DUMMYFUNCTION("""COMPUTED_VALUE"""),"TV Series 2008–2011)")</f>
        <v>TV Series 2008–2011)</v>
      </c>
    </row>
    <row r="2481" spans="1:5" ht="13" x14ac:dyDescent="0.15">
      <c r="A2481" s="5" t="s">
        <v>288</v>
      </c>
      <c r="D2481" t="str">
        <f ca="1">IFERROR(__xludf.DUMMYFUNCTION("split(A2481,""("")"),"Santa Clarita Diet ")</f>
        <v xml:space="preserve">Santa Clarita Diet </v>
      </c>
      <c r="E2481" t="str">
        <f ca="1">IFERROR(__xludf.DUMMYFUNCTION("""COMPUTED_VALUE"""),"TV Series 2017–2019)")</f>
        <v>TV Series 2017–2019)</v>
      </c>
    </row>
    <row r="2482" spans="1:5" ht="13" x14ac:dyDescent="0.15">
      <c r="A2482" s="5" t="s">
        <v>2712</v>
      </c>
      <c r="D2482" t="str">
        <f ca="1">IFERROR(__xludf.DUMMYFUNCTION("split(A2482,""("")"),"Santo Bugito ")</f>
        <v xml:space="preserve">Santo Bugito </v>
      </c>
      <c r="E2482" t="str">
        <f ca="1">IFERROR(__xludf.DUMMYFUNCTION("""COMPUTED_VALUE"""),"TV Series 1995)")</f>
        <v>TV Series 1995)</v>
      </c>
    </row>
    <row r="2483" spans="1:5" ht="13" x14ac:dyDescent="0.15">
      <c r="A2483" s="5" t="s">
        <v>2713</v>
      </c>
      <c r="D2483" t="str">
        <f ca="1">IFERROR(__xludf.DUMMYFUNCTION("split(A2483,""("")"),"Sarabhai vs Sarabhai ")</f>
        <v xml:space="preserve">Sarabhai vs Sarabhai </v>
      </c>
      <c r="E2483" t="str">
        <f ca="1">IFERROR(__xludf.DUMMYFUNCTION("""COMPUTED_VALUE"""),"TV Series 2004–2017)")</f>
        <v>TV Series 2004–2017)</v>
      </c>
    </row>
    <row r="2484" spans="1:5" ht="13" x14ac:dyDescent="0.15">
      <c r="A2484" s="5" t="s">
        <v>2714</v>
      </c>
      <c r="D2484" t="str">
        <f ca="1">IFERROR(__xludf.DUMMYFUNCTION("split(A2484,""("")"),"Savage ")</f>
        <v xml:space="preserve">Savage </v>
      </c>
      <c r="E2484" t="str">
        <f ca="1">IFERROR(__xludf.DUMMYFUNCTION("""COMPUTED_VALUE"""),"TV Series 2006–2007)")</f>
        <v>TV Series 2006–2007)</v>
      </c>
    </row>
    <row r="2485" spans="1:5" ht="13" x14ac:dyDescent="0.15">
      <c r="A2485" s="5" t="s">
        <v>2715</v>
      </c>
      <c r="D2485" t="str">
        <f ca="1">IFERROR(__xludf.DUMMYFUNCTION("split(A2485,""("")"),"Save Me ")</f>
        <v xml:space="preserve">Save Me </v>
      </c>
      <c r="E2485" t="str">
        <f ca="1">IFERROR(__xludf.DUMMYFUNCTION("""COMPUTED_VALUE"""),"TV Series 2018– )")</f>
        <v>TV Series 2018– )</v>
      </c>
    </row>
    <row r="2486" spans="1:5" ht="13" x14ac:dyDescent="0.15">
      <c r="A2486" s="5" t="s">
        <v>2716</v>
      </c>
      <c r="D2486" t="str">
        <f ca="1">IFERROR(__xludf.DUMMYFUNCTION("split(A2486,""("")"),"Saved by the Bell ")</f>
        <v xml:space="preserve">Saved by the Bell </v>
      </c>
      <c r="E2486" t="str">
        <f ca="1">IFERROR(__xludf.DUMMYFUNCTION("""COMPUTED_VALUE"""),"TV Series 1989–1992)")</f>
        <v>TV Series 1989–1992)</v>
      </c>
    </row>
    <row r="2487" spans="1:5" ht="13" x14ac:dyDescent="0.15">
      <c r="A2487" s="5" t="s">
        <v>632</v>
      </c>
      <c r="D2487" t="str">
        <f ca="1">IFERROR(__xludf.DUMMYFUNCTION("split(A2487,""("")"),"Saved by the Bell: The College Years ")</f>
        <v xml:space="preserve">Saved by the Bell: The College Years </v>
      </c>
      <c r="E2487" t="str">
        <f ca="1">IFERROR(__xludf.DUMMYFUNCTION("""COMPUTED_VALUE"""),"TV Series 1993–1994)")</f>
        <v>TV Series 1993–1994)</v>
      </c>
    </row>
    <row r="2488" spans="1:5" ht="13" x14ac:dyDescent="0.15">
      <c r="A2488" s="5" t="s">
        <v>633</v>
      </c>
      <c r="D2488" t="str">
        <f ca="1">IFERROR(__xludf.DUMMYFUNCTION("split(A2488,""("")"),"Saved by the Bell: The New Class ")</f>
        <v xml:space="preserve">Saved by the Bell: The New Class </v>
      </c>
      <c r="E2488" t="str">
        <f ca="1">IFERROR(__xludf.DUMMYFUNCTION("""COMPUTED_VALUE"""),"TV Series 1993–2000)")</f>
        <v>TV Series 1993–2000)</v>
      </c>
    </row>
    <row r="2489" spans="1:5" ht="13" x14ac:dyDescent="0.15">
      <c r="A2489" s="5" t="s">
        <v>2717</v>
      </c>
      <c r="D2489" t="str">
        <f ca="1">IFERROR(__xludf.DUMMYFUNCTION("split(A2489,""("")"),"Saving Hope ")</f>
        <v xml:space="preserve">Saving Hope </v>
      </c>
      <c r="E2489" t="str">
        <f ca="1">IFERROR(__xludf.DUMMYFUNCTION("""COMPUTED_VALUE"""),"TV Series 2012– )")</f>
        <v>TV Series 2012– )</v>
      </c>
    </row>
    <row r="2490" spans="1:5" ht="13" x14ac:dyDescent="0.15">
      <c r="A2490" s="5" t="s">
        <v>2718</v>
      </c>
      <c r="D2490" t="str">
        <f ca="1">IFERROR(__xludf.DUMMYFUNCTION("split(A2490,""("")"),"Say What ")</f>
        <v xml:space="preserve">Say What </v>
      </c>
      <c r="E2490" t="str">
        <f ca="1">IFERROR(__xludf.DUMMYFUNCTION("""COMPUTED_VALUE"""),"TV Series 2007–2008)")</f>
        <v>TV Series 2007–2008)</v>
      </c>
    </row>
    <row r="2491" spans="1:5" ht="13" x14ac:dyDescent="0.15">
      <c r="A2491" s="5" t="s">
        <v>2719</v>
      </c>
      <c r="D2491" t="str">
        <f ca="1">IFERROR(__xludf.DUMMYFUNCTION("split(A2491,""("")"),"Say Yes to the Dress ")</f>
        <v xml:space="preserve">Say Yes to the Dress </v>
      </c>
      <c r="E2491" t="str">
        <f ca="1">IFERROR(__xludf.DUMMYFUNCTION("""COMPUTED_VALUE"""),"TV Series 2007– )")</f>
        <v>TV Series 2007– )</v>
      </c>
    </row>
    <row r="2492" spans="1:5" ht="13" x14ac:dyDescent="0.15">
      <c r="A2492" s="5" t="s">
        <v>2720</v>
      </c>
      <c r="D2492" t="str">
        <f ca="1">IFERROR(__xludf.DUMMYFUNCTION("split(A2492,""("")"),"Scam City ")</f>
        <v xml:space="preserve">Scam City </v>
      </c>
      <c r="E2492" t="str">
        <f ca="1">IFERROR(__xludf.DUMMYFUNCTION("""COMPUTED_VALUE"""),"TV Series 2012– )")</f>
        <v>TV Series 2012– )</v>
      </c>
    </row>
    <row r="2493" spans="1:5" ht="13" x14ac:dyDescent="0.15">
      <c r="A2493" s="5" t="s">
        <v>173</v>
      </c>
      <c r="D2493" t="str">
        <f ca="1">IFERROR(__xludf.DUMMYFUNCTION("split(A2493,""("")"),"Scandal ")</f>
        <v xml:space="preserve">Scandal </v>
      </c>
      <c r="E2493" t="str">
        <f ca="1">IFERROR(__xludf.DUMMYFUNCTION("""COMPUTED_VALUE"""),"TV Series 2012–2018)")</f>
        <v>TV Series 2012–2018)</v>
      </c>
    </row>
    <row r="2494" spans="1:5" ht="13" x14ac:dyDescent="0.15">
      <c r="A2494" s="5" t="s">
        <v>2721</v>
      </c>
      <c r="D2494" t="str">
        <f ca="1">IFERROR(__xludf.DUMMYFUNCTION("split(A2494,""("")"),"Scariest Places on Earth ")</f>
        <v xml:space="preserve">Scariest Places on Earth </v>
      </c>
      <c r="E2494" t="str">
        <f ca="1">IFERROR(__xludf.DUMMYFUNCTION("""COMPUTED_VALUE"""),"TV Series 2000– )")</f>
        <v>TV Series 2000– )</v>
      </c>
    </row>
    <row r="2495" spans="1:5" ht="13" x14ac:dyDescent="0.15">
      <c r="A2495" s="5" t="s">
        <v>2722</v>
      </c>
      <c r="D2495" t="str">
        <f ca="1">IFERROR(__xludf.DUMMYFUNCTION("split(A2495,""("")"),"Scarlet Heart ")</f>
        <v xml:space="preserve">Scarlet Heart </v>
      </c>
      <c r="E2495" t="str">
        <f ca="1">IFERROR(__xludf.DUMMYFUNCTION("""COMPUTED_VALUE"""),"TV Series 2011– )")</f>
        <v>TV Series 2011– )</v>
      </c>
    </row>
    <row r="2496" spans="1:5" ht="13" x14ac:dyDescent="0.15">
      <c r="A2496" s="5" t="s">
        <v>2723</v>
      </c>
      <c r="D2496" t="str">
        <f ca="1">IFERROR(__xludf.DUMMYFUNCTION("split(A2496,""("")"),"Scarred ")</f>
        <v xml:space="preserve">Scarred </v>
      </c>
      <c r="E2496" t="str">
        <f ca="1">IFERROR(__xludf.DUMMYFUNCTION("""COMPUTED_VALUE"""),"TV Series 2007– )")</f>
        <v>TV Series 2007– )</v>
      </c>
    </row>
    <row r="2497" spans="1:5" ht="13" x14ac:dyDescent="0.15">
      <c r="A2497" s="5" t="s">
        <v>2724</v>
      </c>
      <c r="D2497" t="str">
        <f ca="1">IFERROR(__xludf.DUMMYFUNCTION("split(A2497,""("")"),"Scene of the Crime with Tony Harris ")</f>
        <v xml:space="preserve">Scene of the Crime with Tony Harris </v>
      </c>
      <c r="E2497" t="str">
        <f ca="1">IFERROR(__xludf.DUMMYFUNCTION("""COMPUTED_VALUE"""),"TV Series 2017– )")</f>
        <v>TV Series 2017– )</v>
      </c>
    </row>
    <row r="2498" spans="1:5" ht="13" x14ac:dyDescent="0.15">
      <c r="A2498" s="5" t="s">
        <v>289</v>
      </c>
      <c r="D2498" t="str">
        <f ca="1">IFERROR(__xludf.DUMMYFUNCTION("split(A2498,""("")"),"Schitt's Creek ")</f>
        <v xml:space="preserve">Schitt's Creek </v>
      </c>
      <c r="E2498" t="str">
        <f ca="1">IFERROR(__xludf.DUMMYFUNCTION("""COMPUTED_VALUE"""),"TV Series 2015– )")</f>
        <v>TV Series 2015– )</v>
      </c>
    </row>
    <row r="2499" spans="1:5" ht="13" x14ac:dyDescent="0.15">
      <c r="A2499" s="5" t="s">
        <v>2725</v>
      </c>
      <c r="D2499" t="str">
        <f ca="1">IFERROR(__xludf.DUMMYFUNCTION("split(A2499,""("")"),"Scholar Who Walks the Night ")</f>
        <v xml:space="preserve">Scholar Who Walks the Night </v>
      </c>
      <c r="E2499" t="str">
        <f ca="1">IFERROR(__xludf.DUMMYFUNCTION("""COMPUTED_VALUE"""),"TV Series 2015– )")</f>
        <v>TV Series 2015– )</v>
      </c>
    </row>
    <row r="2500" spans="1:5" ht="13" x14ac:dyDescent="0.15">
      <c r="A2500" s="5" t="s">
        <v>2726</v>
      </c>
      <c r="D2500" t="str">
        <f ca="1">IFERROR(__xludf.DUMMYFUNCTION("split(A2500,""("")"),"School Days ")</f>
        <v xml:space="preserve">School Days </v>
      </c>
      <c r="E2500" t="str">
        <f ca="1">IFERROR(__xludf.DUMMYFUNCTION("""COMPUTED_VALUE"""),"TV Series 2007)")</f>
        <v>TV Series 2007)</v>
      </c>
    </row>
    <row r="2501" spans="1:5" ht="13" x14ac:dyDescent="0.15">
      <c r="A2501" s="5" t="s">
        <v>2727</v>
      </c>
      <c r="D2501" t="str">
        <f ca="1">IFERROR(__xludf.DUMMYFUNCTION("split(A2501,""("")"),"School-Live! ")</f>
        <v xml:space="preserve">School-Live! </v>
      </c>
      <c r="E2501" t="str">
        <f ca="1">IFERROR(__xludf.DUMMYFUNCTION("""COMPUTED_VALUE"""),"TV Series 2015– )")</f>
        <v>TV Series 2015– )</v>
      </c>
    </row>
    <row r="2502" spans="1:5" ht="13" x14ac:dyDescent="0.15">
      <c r="A2502" s="5" t="s">
        <v>476</v>
      </c>
      <c r="D2502" t="str">
        <f ca="1">IFERROR(__xludf.DUMMYFUNCTION("split(A2502,""("")"),"Scooby-Doo! Mystery Incorporated ")</f>
        <v xml:space="preserve">Scooby-Doo! Mystery Incorporated </v>
      </c>
      <c r="E2502" t="str">
        <f ca="1">IFERROR(__xludf.DUMMYFUNCTION("""COMPUTED_VALUE"""),"TV Series 2010–2013)")</f>
        <v>TV Series 2010–2013)</v>
      </c>
    </row>
    <row r="2503" spans="1:5" ht="13" x14ac:dyDescent="0.15">
      <c r="A2503" s="5" t="s">
        <v>2728</v>
      </c>
      <c r="D2503" t="str">
        <f ca="1">IFERROR(__xludf.DUMMYFUNCTION("split(A2503,""("")"),"Scottish Murmurs ASMR ")</f>
        <v xml:space="preserve">Scottish Murmurs ASMR </v>
      </c>
      <c r="E2503" t="str">
        <f ca="1">IFERROR(__xludf.DUMMYFUNCTION("""COMPUTED_VALUE"""),"TV Series 2016– )")</f>
        <v>TV Series 2016– )</v>
      </c>
    </row>
    <row r="2504" spans="1:5" ht="13" x14ac:dyDescent="0.15">
      <c r="A2504" s="5" t="s">
        <v>252</v>
      </c>
      <c r="D2504" t="str">
        <f ca="1">IFERROR(__xludf.DUMMYFUNCTION("split(A2504,""("")"),"Scream Queens ")</f>
        <v xml:space="preserve">Scream Queens </v>
      </c>
      <c r="E2504" t="str">
        <f ca="1">IFERROR(__xludf.DUMMYFUNCTION("""COMPUTED_VALUE"""),"TV Series 2015–2016)")</f>
        <v>TV Series 2015–2016)</v>
      </c>
    </row>
    <row r="2505" spans="1:5" ht="13" x14ac:dyDescent="0.15">
      <c r="A2505" s="5" t="s">
        <v>447</v>
      </c>
      <c r="D2505" t="str">
        <f ca="1">IFERROR(__xludf.DUMMYFUNCTION("split(A2505,""("")"),"Scream: The TV Series ")</f>
        <v xml:space="preserve">Scream: The TV Series </v>
      </c>
      <c r="E2505" t="str">
        <f ca="1">IFERROR(__xludf.DUMMYFUNCTION("""COMPUTED_VALUE"""),"TV Series 2015– )")</f>
        <v>TV Series 2015– )</v>
      </c>
    </row>
    <row r="2506" spans="1:5" ht="13" x14ac:dyDescent="0.15">
      <c r="A2506" s="5" t="s">
        <v>2729</v>
      </c>
      <c r="D2506" t="str">
        <f ca="1">IFERROR(__xludf.DUMMYFUNCTION("split(A2506,""("")"),"Screenwipe ")</f>
        <v xml:space="preserve">Screenwipe </v>
      </c>
      <c r="E2506" t="str">
        <f ca="1">IFERROR(__xludf.DUMMYFUNCTION("""COMPUTED_VALUE"""),"TV Series 2006–2009)")</f>
        <v>TV Series 2006–2009)</v>
      </c>
    </row>
    <row r="2507" spans="1:5" ht="13" x14ac:dyDescent="0.15">
      <c r="A2507" s="5" t="s">
        <v>2730</v>
      </c>
      <c r="D2507" t="str">
        <f ca="1">IFERROR(__xludf.DUMMYFUNCTION("split(A2507,""("")"),"Scrubs ")</f>
        <v xml:space="preserve">Scrubs </v>
      </c>
      <c r="E2507" t="str">
        <f ca="1">IFERROR(__xludf.DUMMYFUNCTION("""COMPUTED_VALUE"""),"TV Series 2001–2010)")</f>
        <v>TV Series 2001–2010)</v>
      </c>
    </row>
    <row r="2508" spans="1:5" ht="13" x14ac:dyDescent="0.15">
      <c r="A2508" s="5" t="s">
        <v>2731</v>
      </c>
      <c r="D2508" t="str">
        <f ca="1">IFERROR(__xludf.DUMMYFUNCTION("split(A2508,""("")"),"SCTV Channel ")</f>
        <v xml:space="preserve">SCTV Channel </v>
      </c>
      <c r="E2508" t="str">
        <f ca="1">IFERROR(__xludf.DUMMYFUNCTION("""COMPUTED_VALUE"""),"TV Series 1983–1984)")</f>
        <v>TV Series 1983–1984)</v>
      </c>
    </row>
    <row r="2509" spans="1:5" ht="13" x14ac:dyDescent="0.15">
      <c r="A2509" s="5" t="s">
        <v>2732</v>
      </c>
      <c r="D2509" t="str">
        <f ca="1">IFERROR(__xludf.DUMMYFUNCTION("split(A2509,""("")"),"SCTV Network ")</f>
        <v xml:space="preserve">SCTV Network </v>
      </c>
      <c r="E2509" t="str">
        <f ca="1">IFERROR(__xludf.DUMMYFUNCTION("""COMPUTED_VALUE"""),"TV Series 1981–1983)")</f>
        <v>TV Series 1981–1983)</v>
      </c>
    </row>
    <row r="2510" spans="1:5" ht="13" x14ac:dyDescent="0.15">
      <c r="A2510" s="5" t="s">
        <v>2733</v>
      </c>
      <c r="D2510" t="str">
        <f ca="1">IFERROR(__xludf.DUMMYFUNCTION("split(A2510,""("")"),"SEAL Team ")</f>
        <v xml:space="preserve">SEAL Team </v>
      </c>
      <c r="E2510" t="str">
        <f ca="1">IFERROR(__xludf.DUMMYFUNCTION("""COMPUTED_VALUE"""),"TV Series 2017– )")</f>
        <v>TV Series 2017– )</v>
      </c>
    </row>
    <row r="2511" spans="1:5" ht="13" x14ac:dyDescent="0.15">
      <c r="A2511" s="5" t="s">
        <v>2734</v>
      </c>
      <c r="D2511" t="str">
        <f ca="1">IFERROR(__xludf.DUMMYFUNCTION("split(A2511,""("")"),"Sealab 2021 ")</f>
        <v xml:space="preserve">Sealab 2021 </v>
      </c>
      <c r="E2511" t="str">
        <f ca="1">IFERROR(__xludf.DUMMYFUNCTION("""COMPUTED_VALUE"""),"TV Series 2000–2005)")</f>
        <v>TV Series 2000–2005)</v>
      </c>
    </row>
    <row r="2512" spans="1:5" ht="13" x14ac:dyDescent="0.15">
      <c r="A2512" s="5" t="s">
        <v>2735</v>
      </c>
      <c r="D2512" t="str">
        <f ca="1">IFERROR(__xludf.DUMMYFUNCTION("split(A2512,""("")"),"SeaQuest 2032 ")</f>
        <v xml:space="preserve">SeaQuest 2032 </v>
      </c>
      <c r="E2512" t="str">
        <f ca="1">IFERROR(__xludf.DUMMYFUNCTION("""COMPUTED_VALUE"""),"TV Series 1993–1996)")</f>
        <v>TV Series 1993–1996)</v>
      </c>
    </row>
    <row r="2513" spans="1:5" ht="13" x14ac:dyDescent="0.15">
      <c r="A2513" s="5" t="s">
        <v>2736</v>
      </c>
      <c r="D2513" t="str">
        <f ca="1">IFERROR(__xludf.DUMMYFUNCTION("split(A2513,""("")"),"Search Party ")</f>
        <v xml:space="preserve">Search Party </v>
      </c>
      <c r="E2513" t="str">
        <f ca="1">IFERROR(__xludf.DUMMYFUNCTION("""COMPUTED_VALUE"""),"TV Series 2016– )")</f>
        <v>TV Series 2016– )</v>
      </c>
    </row>
    <row r="2514" spans="1:5" ht="13" x14ac:dyDescent="0.15">
      <c r="A2514" s="5" t="s">
        <v>2737</v>
      </c>
      <c r="D2514" t="str">
        <f ca="1">IFERROR(__xludf.DUMMYFUNCTION("split(A2514,""("")"),"Seattle Creation Conference ")</f>
        <v xml:space="preserve">Seattle Creation Conference </v>
      </c>
      <c r="E2514" t="str">
        <f ca="1">IFERROR(__xludf.DUMMYFUNCTION("""COMPUTED_VALUE"""),"TV Series 2004– )")</f>
        <v>TV Series 2004– )</v>
      </c>
    </row>
    <row r="2515" spans="1:5" ht="13" x14ac:dyDescent="0.15">
      <c r="A2515" s="5" t="s">
        <v>2738</v>
      </c>
      <c r="D2515" t="str">
        <f ca="1">IFERROR(__xludf.DUMMYFUNCTION("split(A2515,""("")"),"Second City's Next Comedy Legend ")</f>
        <v xml:space="preserve">Second City's Next Comedy Legend </v>
      </c>
      <c r="E2515" t="str">
        <f ca="1">IFERROR(__xludf.DUMMYFUNCTION("""COMPUTED_VALUE"""),"TV Series 2007– )")</f>
        <v>TV Series 2007– )</v>
      </c>
    </row>
    <row r="2516" spans="1:5" ht="13" x14ac:dyDescent="0.15">
      <c r="A2516" s="5" t="s">
        <v>2739</v>
      </c>
      <c r="D2516" t="str">
        <f ca="1">IFERROR(__xludf.DUMMYFUNCTION("split(A2516,""("")"),"Secret Garden ")</f>
        <v xml:space="preserve">Secret Garden </v>
      </c>
      <c r="E2516" t="str">
        <f ca="1">IFERROR(__xludf.DUMMYFUNCTION("""COMPUTED_VALUE"""),"TV Series 2010–2011)")</f>
        <v>TV Series 2010–2011)</v>
      </c>
    </row>
    <row r="2517" spans="1:5" ht="13" x14ac:dyDescent="0.15">
      <c r="A2517" s="5" t="s">
        <v>2740</v>
      </c>
      <c r="D2517" t="str">
        <f ca="1">IFERROR(__xludf.DUMMYFUNCTION("split(A2517,""("")"),"Secret History ")</f>
        <v xml:space="preserve">Secret History </v>
      </c>
      <c r="E2517" t="str">
        <f ca="1">IFERROR(__xludf.DUMMYFUNCTION("""COMPUTED_VALUE"""),"TV Series 1991– )")</f>
        <v>TV Series 1991– )</v>
      </c>
    </row>
    <row r="2518" spans="1:5" ht="13" x14ac:dyDescent="0.15">
      <c r="A2518" s="5" t="s">
        <v>2741</v>
      </c>
      <c r="D2518" t="str">
        <f ca="1">IFERROR(__xludf.DUMMYFUNCTION("split(A2518,""("")"),"Secretos en el Jardín ")</f>
        <v xml:space="preserve">Secretos en el Jardín </v>
      </c>
      <c r="E2518" t="str">
        <f ca="1">IFERROR(__xludf.DUMMYFUNCTION("""COMPUTED_VALUE"""),"TV Series 2013–2014)")</f>
        <v>TV Series 2013–2014)</v>
      </c>
    </row>
    <row r="2519" spans="1:5" ht="13" x14ac:dyDescent="0.15">
      <c r="A2519" s="5" t="s">
        <v>2742</v>
      </c>
      <c r="D2519" t="str">
        <f ca="1">IFERROR(__xludf.DUMMYFUNCTION("split(A2519,""("")"),"Secrets &amp; Lies ")</f>
        <v xml:space="preserve">Secrets &amp; Lies </v>
      </c>
      <c r="E2519" t="str">
        <f ca="1">IFERROR(__xludf.DUMMYFUNCTION("""COMPUTED_VALUE"""),"TV Series 2014– )")</f>
        <v>TV Series 2014– )</v>
      </c>
    </row>
    <row r="2520" spans="1:5" ht="13" x14ac:dyDescent="0.15">
      <c r="A2520" s="5" t="s">
        <v>2743</v>
      </c>
      <c r="D2520" t="str">
        <f ca="1">IFERROR(__xludf.DUMMYFUNCTION("split(A2520,""("")"),"Secrets and Lies ")</f>
        <v xml:space="preserve">Secrets and Lies </v>
      </c>
      <c r="E2520" t="str">
        <f ca="1">IFERROR(__xludf.DUMMYFUNCTION("""COMPUTED_VALUE"""),"TV Series 2015–2016)")</f>
        <v>TV Series 2015–2016)</v>
      </c>
    </row>
    <row r="2521" spans="1:5" ht="13" x14ac:dyDescent="0.15">
      <c r="A2521" s="5" t="s">
        <v>2744</v>
      </c>
      <c r="D2521" t="str">
        <f ca="1">IFERROR(__xludf.DUMMYFUNCTION("split(A2521,""("")"),"Secrets of the Dead ")</f>
        <v xml:space="preserve">Secrets of the Dead </v>
      </c>
      <c r="E2521" t="str">
        <f ca="1">IFERROR(__xludf.DUMMYFUNCTION("""COMPUTED_VALUE"""),"TV Series 2000– )")</f>
        <v>TV Series 2000– )</v>
      </c>
    </row>
    <row r="2522" spans="1:5" ht="13" x14ac:dyDescent="0.15">
      <c r="A2522" s="5" t="s">
        <v>290</v>
      </c>
      <c r="D2522" t="str">
        <f ca="1">IFERROR(__xludf.DUMMYFUNCTION("split(A2522,""("")"),"See ")</f>
        <v xml:space="preserve">See </v>
      </c>
      <c r="E2522" t="str">
        <f ca="1">IFERROR(__xludf.DUMMYFUNCTION("""COMPUTED_VALUE"""),"TV Series 2019– )")</f>
        <v>TV Series 2019– )</v>
      </c>
    </row>
    <row r="2523" spans="1:5" ht="13" x14ac:dyDescent="0.15">
      <c r="A2523" s="5" t="s">
        <v>2745</v>
      </c>
      <c r="D2523" t="str">
        <f ca="1">IFERROR(__xludf.DUMMYFUNCTION("split(A2523,""("")"),"Seed ")</f>
        <v xml:space="preserve">Seed </v>
      </c>
      <c r="E2523" t="str">
        <f ca="1">IFERROR(__xludf.DUMMYFUNCTION("""COMPUTED_VALUE"""),"TV Series 2013–2014)")</f>
        <v>TV Series 2013–2014)</v>
      </c>
    </row>
    <row r="2524" spans="1:5" ht="13" x14ac:dyDescent="0.15">
      <c r="A2524" s="5" t="s">
        <v>2746</v>
      </c>
      <c r="D2524" t="str">
        <f ca="1">IFERROR(__xludf.DUMMYFUNCTION("split(A2524,""("")"),"Seeyou at night ")</f>
        <v xml:space="preserve">Seeyou at night </v>
      </c>
      <c r="E2524" t="str">
        <f ca="1">IFERROR(__xludf.DUMMYFUNCTION("""COMPUTED_VALUE"""),"TV Series 1990–1991)")</f>
        <v>TV Series 1990–1991)</v>
      </c>
    </row>
    <row r="2525" spans="1:5" ht="13" x14ac:dyDescent="0.15">
      <c r="A2525" s="5" t="s">
        <v>370</v>
      </c>
      <c r="D2525" t="str">
        <f ca="1">IFERROR(__xludf.DUMMYFUNCTION("split(A2525,""("")"),"Seinfeld ")</f>
        <v xml:space="preserve">Seinfeld </v>
      </c>
      <c r="E2525" t="str">
        <f ca="1">IFERROR(__xludf.DUMMYFUNCTION("""COMPUTED_VALUE"""),"TV Series 1989–1998)")</f>
        <v>TV Series 1989–1998)</v>
      </c>
    </row>
    <row r="2526" spans="1:5" ht="13" x14ac:dyDescent="0.15">
      <c r="A2526" s="5" t="s">
        <v>2747</v>
      </c>
      <c r="D2526" t="str">
        <f ca="1">IFERROR(__xludf.DUMMYFUNCTION("split(A2526,""("")"),"Seitokai yakuindomo ")</f>
        <v xml:space="preserve">Seitokai yakuindomo </v>
      </c>
      <c r="E2526" t="str">
        <f ca="1">IFERROR(__xludf.DUMMYFUNCTION("""COMPUTED_VALUE"""),"TV Series 2010– )")</f>
        <v>TV Series 2010– )</v>
      </c>
    </row>
    <row r="2527" spans="1:5" ht="13" x14ac:dyDescent="0.15">
      <c r="A2527" s="5" t="s">
        <v>2748</v>
      </c>
      <c r="D2527" t="str">
        <f ca="1">IFERROR(__xludf.DUMMYFUNCTION("split(A2527,""("")"),"Selling Sunset ")</f>
        <v xml:space="preserve">Selling Sunset </v>
      </c>
      <c r="E2527" t="str">
        <f ca="1">IFERROR(__xludf.DUMMYFUNCTION("""COMPUTED_VALUE"""),"TV Series 2019– )")</f>
        <v>TV Series 2019– )</v>
      </c>
    </row>
    <row r="2528" spans="1:5" ht="13" x14ac:dyDescent="0.15">
      <c r="A2528" s="5" t="s">
        <v>322</v>
      </c>
      <c r="D2528" t="str">
        <f ca="1">IFERROR(__xludf.DUMMYFUNCTION("split(A2528,""("")"),"Sense8 ")</f>
        <v xml:space="preserve">Sense8 </v>
      </c>
      <c r="E2528" t="str">
        <f ca="1">IFERROR(__xludf.DUMMYFUNCTION("""COMPUTED_VALUE"""),"TV Series 2015–2018)")</f>
        <v>TV Series 2015–2018)</v>
      </c>
    </row>
    <row r="2529" spans="1:5" ht="13" x14ac:dyDescent="0.15">
      <c r="A2529" s="5" t="s">
        <v>2749</v>
      </c>
      <c r="D2529" t="str">
        <f ca="1">IFERROR(__xludf.DUMMYFUNCTION("split(A2529,""("")"),"Sentenced to Suburbia ")</f>
        <v xml:space="preserve">Sentenced to Suburbia </v>
      </c>
      <c r="E2529" t="str">
        <f ca="1">IFERROR(__xludf.DUMMYFUNCTION("""COMPUTED_VALUE"""),"TV Series 2015– )")</f>
        <v>TV Series 2015– )</v>
      </c>
    </row>
    <row r="2530" spans="1:5" ht="13" x14ac:dyDescent="0.15">
      <c r="A2530" s="5" t="s">
        <v>2750</v>
      </c>
      <c r="D2530" t="str">
        <f ca="1">IFERROR(__xludf.DUMMYFUNCTION("split(A2530,""("")"),"Servant ")</f>
        <v xml:space="preserve">Servant </v>
      </c>
      <c r="E2530" t="str">
        <f ca="1">IFERROR(__xludf.DUMMYFUNCTION("""COMPUTED_VALUE"""),"TV Series 2019– )")</f>
        <v>TV Series 2019– )</v>
      </c>
    </row>
    <row r="2531" spans="1:5" ht="13" x14ac:dyDescent="0.15">
      <c r="A2531" s="5" t="s">
        <v>10</v>
      </c>
      <c r="D2531" t="str">
        <f ca="1">IFERROR(__xludf.DUMMYFUNCTION("split(A2531,""("")"),"Sex and the City ")</f>
        <v xml:space="preserve">Sex and the City </v>
      </c>
      <c r="E2531" t="str">
        <f ca="1">IFERROR(__xludf.DUMMYFUNCTION("""COMPUTED_VALUE"""),"TV Series 1998–2004)")</f>
        <v>TV Series 1998–2004)</v>
      </c>
    </row>
    <row r="2532" spans="1:5" ht="13" x14ac:dyDescent="0.15">
      <c r="A2532" s="5" t="s">
        <v>2751</v>
      </c>
      <c r="D2532" t="str">
        <f ca="1">IFERROR(__xludf.DUMMYFUNCTION("split(A2532,""("")"),"Sex Education ")</f>
        <v xml:space="preserve">Sex Education </v>
      </c>
      <c r="E2532" t="str">
        <f ca="1">IFERROR(__xludf.DUMMYFUNCTION("""COMPUTED_VALUE"""),"TV Series 2019– )")</f>
        <v>TV Series 2019– )</v>
      </c>
    </row>
    <row r="2533" spans="1:5" ht="13" x14ac:dyDescent="0.15">
      <c r="A2533" s="5" t="s">
        <v>2752</v>
      </c>
      <c r="D2533" t="str">
        <f ca="1">IFERROR(__xludf.DUMMYFUNCTION("split(A2533,""("")"),"Sex, Lies &amp; Murder ")</f>
        <v xml:space="preserve">Sex, Lies &amp; Murder </v>
      </c>
      <c r="E2533" t="str">
        <f ca="1">IFERROR(__xludf.DUMMYFUNCTION("""COMPUTED_VALUE"""),"TV Series 2018– )")</f>
        <v>TV Series 2018– )</v>
      </c>
    </row>
    <row r="2534" spans="1:5" ht="13" x14ac:dyDescent="0.15">
      <c r="A2534" s="5" t="s">
        <v>2753</v>
      </c>
      <c r="D2534" t="str">
        <f ca="1">IFERROR(__xludf.DUMMYFUNCTION("split(A2534,""("")"),"Sex/Life ")</f>
        <v xml:space="preserve">Sex/Life </v>
      </c>
      <c r="E2534" t="str">
        <f ca="1">IFERROR(__xludf.DUMMYFUNCTION("""COMPUTED_VALUE"""),"TV Series 1994–1998)")</f>
        <v>TV Series 1994–1998)</v>
      </c>
    </row>
    <row r="2535" spans="1:5" ht="13" x14ac:dyDescent="0.15">
      <c r="A2535" s="5" t="s">
        <v>2754</v>
      </c>
      <c r="D2535" t="str">
        <f ca="1">IFERROR(__xludf.DUMMYFUNCTION("split(A2535,""("")"),"SexTV ")</f>
        <v xml:space="preserve">SexTV </v>
      </c>
      <c r="E2535" t="str">
        <f ca="1">IFERROR(__xludf.DUMMYFUNCTION("""COMPUTED_VALUE"""),"TV Series 1998–2008)")</f>
        <v>TV Series 1998–2008)</v>
      </c>
    </row>
    <row r="2536" spans="1:5" ht="13" x14ac:dyDescent="0.15">
      <c r="A2536" s="5" t="s">
        <v>2755</v>
      </c>
      <c r="D2536" t="str">
        <f ca="1">IFERROR(__xludf.DUMMYFUNCTION("split(A2536,""("")"),"Shadow Star Narutaru ")</f>
        <v xml:space="preserve">Shadow Star Narutaru </v>
      </c>
      <c r="E2536" t="str">
        <f ca="1">IFERROR(__xludf.DUMMYFUNCTION("""COMPUTED_VALUE"""),"TV Series 2003– )")</f>
        <v>TV Series 2003– )</v>
      </c>
    </row>
    <row r="2537" spans="1:5" ht="13" x14ac:dyDescent="0.15">
      <c r="A2537" s="5" t="s">
        <v>145</v>
      </c>
      <c r="D2537" t="str">
        <f ca="1">IFERROR(__xludf.DUMMYFUNCTION("split(A2537,""("")"),"Shadowhunters ")</f>
        <v xml:space="preserve">Shadowhunters </v>
      </c>
      <c r="E2537" t="str">
        <f ca="1">IFERROR(__xludf.DUMMYFUNCTION("""COMPUTED_VALUE"""),"TV Series 2016–2019)")</f>
        <v>TV Series 2016–2019)</v>
      </c>
    </row>
    <row r="2538" spans="1:5" ht="13" x14ac:dyDescent="0.15">
      <c r="A2538" s="5" t="s">
        <v>2756</v>
      </c>
      <c r="D2538" t="str">
        <f ca="1">IFERROR(__xludf.DUMMYFUNCTION("split(A2538,""("")"),"Shahs of Sunset ")</f>
        <v xml:space="preserve">Shahs of Sunset </v>
      </c>
      <c r="E2538" t="str">
        <f ca="1">IFERROR(__xludf.DUMMYFUNCTION("""COMPUTED_VALUE"""),"TV Series 2009– )")</f>
        <v>TV Series 2009– )</v>
      </c>
    </row>
    <row r="2539" spans="1:5" ht="13" x14ac:dyDescent="0.15">
      <c r="A2539" s="5" t="s">
        <v>2757</v>
      </c>
      <c r="D2539" t="str">
        <f ca="1">IFERROR(__xludf.DUMMYFUNCTION("split(A2539,""("")"),"Shake It Up ")</f>
        <v xml:space="preserve">Shake It Up </v>
      </c>
      <c r="E2539" t="str">
        <f ca="1">IFERROR(__xludf.DUMMYFUNCTION("""COMPUTED_VALUE"""),"TV Series 2010–2013)")</f>
        <v>TV Series 2010–2013)</v>
      </c>
    </row>
    <row r="2540" spans="1:5" ht="13" x14ac:dyDescent="0.15">
      <c r="A2540" s="5" t="s">
        <v>2758</v>
      </c>
      <c r="D2540" t="str">
        <f ca="1">IFERROR(__xludf.DUMMYFUNCTION("split(A2540,""("")"),"Shakespeare &amp; Hathaway: Private Investigators ")</f>
        <v xml:space="preserve">Shakespeare &amp; Hathaway: Private Investigators </v>
      </c>
      <c r="E2540" t="str">
        <f ca="1">IFERROR(__xludf.DUMMYFUNCTION("""COMPUTED_VALUE"""),"TV Mini-Series 2018– )")</f>
        <v>TV Mini-Series 2018– )</v>
      </c>
    </row>
    <row r="2541" spans="1:5" ht="13" x14ac:dyDescent="0.15">
      <c r="A2541" s="5" t="s">
        <v>291</v>
      </c>
      <c r="D2541" t="str">
        <f ca="1">IFERROR(__xludf.DUMMYFUNCTION("split(A2541,""("")"),"Shameless ")</f>
        <v xml:space="preserve">Shameless </v>
      </c>
      <c r="E2541" t="str">
        <f ca="1">IFERROR(__xludf.DUMMYFUNCTION("""COMPUTED_VALUE"""),"TV Series 2011– )")</f>
        <v>TV Series 2011– )</v>
      </c>
    </row>
    <row r="2542" spans="1:5" ht="13" x14ac:dyDescent="0.15">
      <c r="A2542" s="5" t="s">
        <v>2759</v>
      </c>
      <c r="D2542" t="str">
        <f ca="1">IFERROR(__xludf.DUMMYFUNCTION("split(A2542,""("")"),"Shane Dawson TV ")</f>
        <v xml:space="preserve">Shane Dawson TV </v>
      </c>
      <c r="E2542" t="str">
        <f ca="1">IFERROR(__xludf.DUMMYFUNCTION("""COMPUTED_VALUE"""),"TV Series 2008– )")</f>
        <v>TV Series 2008– )</v>
      </c>
    </row>
    <row r="2543" spans="1:5" ht="13" x14ac:dyDescent="0.15">
      <c r="A2543" s="5" t="s">
        <v>2760</v>
      </c>
      <c r="D2543" t="str">
        <f ca="1">IFERROR(__xludf.DUMMYFUNCTION("split(A2543,""("")"),"Shark ")</f>
        <v xml:space="preserve">Shark </v>
      </c>
      <c r="E2543" t="str">
        <f ca="1">IFERROR(__xludf.DUMMYFUNCTION("""COMPUTED_VALUE"""),"TV Series 2006–2008)")</f>
        <v>TV Series 2006–2008)</v>
      </c>
    </row>
    <row r="2544" spans="1:5" ht="13" x14ac:dyDescent="0.15">
      <c r="A2544" s="5" t="s">
        <v>2761</v>
      </c>
      <c r="D2544" t="str">
        <f ca="1">IFERROR(__xludf.DUMMYFUNCTION("split(A2544,""("")"),"Shark Tank ")</f>
        <v xml:space="preserve">Shark Tank </v>
      </c>
      <c r="E2544" t="str">
        <f ca="1">IFERROR(__xludf.DUMMYFUNCTION("""COMPUTED_VALUE"""),"TV Series 2009– )")</f>
        <v>TV Series 2009– )</v>
      </c>
    </row>
    <row r="2545" spans="1:5" ht="13" x14ac:dyDescent="0.15">
      <c r="A2545" s="5" t="s">
        <v>2762</v>
      </c>
      <c r="D2545" t="str">
        <f ca="1">IFERROR(__xludf.DUMMYFUNCTION("split(A2545,""("")"),"Shattered City: The Halifax Explosion ")</f>
        <v xml:space="preserve">Shattered City: The Halifax Explosion </v>
      </c>
      <c r="E2545" t="str">
        <f ca="1">IFERROR(__xludf.DUMMYFUNCTION("""COMPUTED_VALUE"""),"TV Series 2003– )")</f>
        <v>TV Series 2003– )</v>
      </c>
    </row>
    <row r="2546" spans="1:5" ht="13" x14ac:dyDescent="0.15">
      <c r="A2546" s="5" t="s">
        <v>477</v>
      </c>
      <c r="D2546" t="str">
        <f ca="1">IFERROR(__xludf.DUMMYFUNCTION("split(A2546,""("")"),"She-Ra and the Princesses of Power ")</f>
        <v xml:space="preserve">She-Ra and the Princesses of Power </v>
      </c>
      <c r="E2546" t="str">
        <f ca="1">IFERROR(__xludf.DUMMYFUNCTION("""COMPUTED_VALUE"""),"TV Series 2018– )")</f>
        <v>TV Series 2018– )</v>
      </c>
    </row>
    <row r="2547" spans="1:5" ht="13" x14ac:dyDescent="0.15">
      <c r="A2547" s="5" t="s">
        <v>2763</v>
      </c>
      <c r="D2547" t="str">
        <f ca="1">IFERROR(__xludf.DUMMYFUNCTION("split(A2547,""("")"),"She-Ra: Princess of Power ")</f>
        <v xml:space="preserve">She-Ra: Princess of Power </v>
      </c>
      <c r="E2547" t="str">
        <f ca="1">IFERROR(__xludf.DUMMYFUNCTION("""COMPUTED_VALUE"""),"TV Series 1985–1987)")</f>
        <v>TV Series 1985–1987)</v>
      </c>
    </row>
    <row r="2548" spans="1:5" ht="13" x14ac:dyDescent="0.15">
      <c r="A2548" s="5" t="s">
        <v>2764</v>
      </c>
      <c r="D2548" t="str">
        <f ca="1">IFERROR(__xludf.DUMMYFUNCTION("split(A2548,""("")"),"She-Wolf of London ")</f>
        <v xml:space="preserve">She-Wolf of London </v>
      </c>
      <c r="E2548" t="str">
        <f ca="1">IFERROR(__xludf.DUMMYFUNCTION("""COMPUTED_VALUE"""),"TV Series 1990–1991)")</f>
        <v>TV Series 1990–1991)</v>
      </c>
    </row>
    <row r="2549" spans="1:5" ht="13" x14ac:dyDescent="0.15">
      <c r="A2549" s="5" t="s">
        <v>2765</v>
      </c>
      <c r="D2549" t="str">
        <f ca="1">IFERROR(__xludf.DUMMYFUNCTION("split(A2549,""("")"),"She, the Ultimate Weapon ")</f>
        <v xml:space="preserve">She, the Ultimate Weapon </v>
      </c>
      <c r="E2549" t="str">
        <f ca="1">IFERROR(__xludf.DUMMYFUNCTION("""COMPUTED_VALUE"""),"TV Series 2002– )")</f>
        <v>TV Series 2002– )</v>
      </c>
    </row>
    <row r="2550" spans="1:5" ht="13" x14ac:dyDescent="0.15">
      <c r="A2550" s="5" t="s">
        <v>634</v>
      </c>
      <c r="D2550" t="str">
        <f ca="1">IFERROR(__xludf.DUMMYFUNCTION("split(A2550,""("")"),"Shed Seven: Live at Leeds Academy ")</f>
        <v xml:space="preserve">Shed Seven: Live at Leeds Academy </v>
      </c>
      <c r="E2550" t="str">
        <f ca="1">IFERROR(__xludf.DUMMYFUNCTION("""COMPUTED_VALUE"""),"TV Series 2011– )")</f>
        <v>TV Series 2011– )</v>
      </c>
    </row>
    <row r="2551" spans="1:5" ht="13" x14ac:dyDescent="0.15">
      <c r="A2551" s="5" t="s">
        <v>635</v>
      </c>
      <c r="D2551" t="str">
        <f ca="1">IFERROR(__xludf.DUMMYFUNCTION("split(A2551,""("")"),"Shed Seven: Live at O2 Academy Liverpool ")</f>
        <v xml:space="preserve">Shed Seven: Live at O2 Academy Liverpool </v>
      </c>
      <c r="E2551" t="str">
        <f ca="1">IFERROR(__xludf.DUMMYFUNCTION("""COMPUTED_VALUE"""),"TV Series 2010– )")</f>
        <v>TV Series 2010– )</v>
      </c>
    </row>
    <row r="2552" spans="1:5" ht="13" x14ac:dyDescent="0.15">
      <c r="A2552" s="5" t="s">
        <v>636</v>
      </c>
      <c r="D2552" t="str">
        <f ca="1">IFERROR(__xludf.DUMMYFUNCTION("split(A2552,""("")"),"Shed Seven: Live at York Fibbers ")</f>
        <v xml:space="preserve">Shed Seven: Live at York Fibbers </v>
      </c>
      <c r="E2552" t="str">
        <f ca="1">IFERROR(__xludf.DUMMYFUNCTION("""COMPUTED_VALUE"""),"TV Series 2010– )")</f>
        <v>TV Series 2010– )</v>
      </c>
    </row>
    <row r="2553" spans="1:5" ht="13" x14ac:dyDescent="0.15">
      <c r="A2553" s="5" t="s">
        <v>2766</v>
      </c>
      <c r="D2553" t="str">
        <f ca="1">IFERROR(__xludf.DUMMYFUNCTION("split(A2553,""("")"),"Sheriff Callie's Wild West ")</f>
        <v xml:space="preserve">Sheriff Callie's Wild West </v>
      </c>
      <c r="E2553" t="str">
        <f ca="1">IFERROR(__xludf.DUMMYFUNCTION("""COMPUTED_VALUE"""),"TV Series 2014– )")</f>
        <v>TV Series 2014– )</v>
      </c>
    </row>
    <row r="2554" spans="1:5" ht="13" x14ac:dyDescent="0.15">
      <c r="A2554" s="5" t="s">
        <v>146</v>
      </c>
      <c r="D2554" t="str">
        <f ca="1">IFERROR(__xludf.DUMMYFUNCTION("split(A2554,""("")"),"Sherlock ")</f>
        <v xml:space="preserve">Sherlock </v>
      </c>
      <c r="E2554" t="str">
        <f ca="1">IFERROR(__xludf.DUMMYFUNCTION("""COMPUTED_VALUE"""),"TV Series 2010– )")</f>
        <v>TV Series 2010– )</v>
      </c>
    </row>
    <row r="2555" spans="1:5" ht="13" x14ac:dyDescent="0.15">
      <c r="A2555" s="5" t="s">
        <v>2767</v>
      </c>
      <c r="D2555" t="str">
        <f ca="1">IFERROR(__xludf.DUMMYFUNCTION("split(A2555,""("")"),"Sherman Oaks ")</f>
        <v xml:space="preserve">Sherman Oaks </v>
      </c>
      <c r="E2555" t="str">
        <f ca="1">IFERROR(__xludf.DUMMYFUNCTION("""COMPUTED_VALUE"""),"TV Series 1995–1997)")</f>
        <v>TV Series 1995–1997)</v>
      </c>
    </row>
    <row r="2556" spans="1:5" ht="13" x14ac:dyDescent="0.15">
      <c r="A2556" s="5" t="s">
        <v>2768</v>
      </c>
      <c r="D2556" t="str">
        <f ca="1">IFERROR(__xludf.DUMMYFUNCTION("split(A2556,""("")"),"Shetland ")</f>
        <v xml:space="preserve">Shetland </v>
      </c>
      <c r="E2556" t="str">
        <f ca="1">IFERROR(__xludf.DUMMYFUNCTION("""COMPUTED_VALUE"""),"TV Series 2013– )")</f>
        <v>TV Series 2013– )</v>
      </c>
    </row>
    <row r="2557" spans="1:5" ht="13" x14ac:dyDescent="0.15">
      <c r="A2557" s="5" t="s">
        <v>2769</v>
      </c>
      <c r="D2557" t="str">
        <f ca="1">IFERROR(__xludf.DUMMYFUNCTION("split(A2557,""("")"),"Shigurui: Death Frenzy ")</f>
        <v xml:space="preserve">Shigurui: Death Frenzy </v>
      </c>
      <c r="E2557" t="str">
        <f ca="1">IFERROR(__xludf.DUMMYFUNCTION("""COMPUTED_VALUE"""),"TV Series 2007– )")</f>
        <v>TV Series 2007– )</v>
      </c>
    </row>
    <row r="2558" spans="1:5" ht="13" x14ac:dyDescent="0.15">
      <c r="A2558" s="5" t="s">
        <v>2770</v>
      </c>
      <c r="D2558" t="str">
        <f ca="1">IFERROR(__xludf.DUMMYFUNCTION("split(A2558,""("")"),"Shiki ")</f>
        <v xml:space="preserve">Shiki </v>
      </c>
      <c r="E2558" t="str">
        <f ca="1">IFERROR(__xludf.DUMMYFUNCTION("""COMPUTED_VALUE"""),"TV Series 2010– )")</f>
        <v>TV Series 2010– )</v>
      </c>
    </row>
    <row r="2559" spans="1:5" ht="13" x14ac:dyDescent="0.15">
      <c r="A2559" s="5" t="s">
        <v>2771</v>
      </c>
      <c r="D2559" t="str">
        <f ca="1">IFERROR(__xludf.DUMMYFUNCTION("split(A2559,""("")"),"Shoebox Zoo ")</f>
        <v xml:space="preserve">Shoebox Zoo </v>
      </c>
      <c r="E2559" t="str">
        <f ca="1">IFERROR(__xludf.DUMMYFUNCTION("""COMPUTED_VALUE"""),"TV Series 2004– )")</f>
        <v>TV Series 2004– )</v>
      </c>
    </row>
    <row r="2560" spans="1:5" ht="13" x14ac:dyDescent="0.15">
      <c r="A2560" s="5" t="s">
        <v>2772</v>
      </c>
      <c r="D2560" t="str">
        <f ca="1">IFERROR(__xludf.DUMMYFUNCTION("split(A2560,""("")"),"Shopaholic Nicol ")</f>
        <v xml:space="preserve">Shopaholic Nicol </v>
      </c>
      <c r="E2560" t="str">
        <f ca="1">IFERROR(__xludf.DUMMYFUNCTION("""COMPUTED_VALUE"""),"TV Series 2013– )")</f>
        <v>TV Series 2013– )</v>
      </c>
    </row>
    <row r="2561" spans="1:5" ht="13" x14ac:dyDescent="0.15">
      <c r="A2561" s="5" t="s">
        <v>2773</v>
      </c>
      <c r="D2561" t="str">
        <f ca="1">IFERROR(__xludf.DUMMYFUNCTION("split(A2561,""("")"),"Shot in the Dark ")</f>
        <v xml:space="preserve">Shot in the Dark </v>
      </c>
      <c r="E2561" t="str">
        <f ca="1">IFERROR(__xludf.DUMMYFUNCTION("""COMPUTED_VALUE"""),"TV Series 2017– )")</f>
        <v>TV Series 2017– )</v>
      </c>
    </row>
    <row r="2562" spans="1:5" ht="13" x14ac:dyDescent="0.15">
      <c r="A2562" s="5" t="s">
        <v>2774</v>
      </c>
      <c r="D2562" t="str">
        <f ca="1">IFERROR(__xludf.DUMMYFUNCTION("split(A2562,""("")"),"Shots Fired ")</f>
        <v xml:space="preserve">Shots Fired </v>
      </c>
      <c r="E2562" t="str">
        <f ca="1">IFERROR(__xludf.DUMMYFUNCTION("""COMPUTED_VALUE"""),"TV Series 2017)")</f>
        <v>TV Series 2017)</v>
      </c>
    </row>
    <row r="2563" spans="1:5" ht="13" x14ac:dyDescent="0.15">
      <c r="A2563" s="5" t="s">
        <v>4</v>
      </c>
      <c r="D2563" t="str">
        <f ca="1">IFERROR(__xludf.DUMMYFUNCTION("split(A2563,""("")"),"Showtime at the Apollo ")</f>
        <v xml:space="preserve">Showtime at the Apollo </v>
      </c>
      <c r="E2563" t="str">
        <f ca="1">IFERROR(__xludf.DUMMYFUNCTION("""COMPUTED_VALUE"""),"TV Series 2017– )")</f>
        <v>TV Series 2017– )</v>
      </c>
    </row>
    <row r="2564" spans="1:5" ht="13" x14ac:dyDescent="0.15">
      <c r="A2564" s="5" t="s">
        <v>2775</v>
      </c>
      <c r="D2564" t="str">
        <f ca="1">IFERROR(__xludf.DUMMYFUNCTION("split(A2564,""("")"),"Shut Eye ")</f>
        <v xml:space="preserve">Shut Eye </v>
      </c>
      <c r="E2564" t="str">
        <f ca="1">IFERROR(__xludf.DUMMYFUNCTION("""COMPUTED_VALUE"""),"TV Series 2016–2017)")</f>
        <v>TV Series 2016–2017)</v>
      </c>
    </row>
    <row r="2565" spans="1:5" ht="13" x14ac:dyDescent="0.15">
      <c r="A2565" s="5" t="s">
        <v>2776</v>
      </c>
      <c r="D2565" t="str">
        <f ca="1">IFERROR(__xludf.DUMMYFUNCTION("split(A2565,""("")"),"Shut Up Flower Boy Band ")</f>
        <v xml:space="preserve">Shut Up Flower Boy Band </v>
      </c>
      <c r="E2565" t="str">
        <f ca="1">IFERROR(__xludf.DUMMYFUNCTION("""COMPUTED_VALUE"""),"TV Series 2012– )")</f>
        <v>TV Series 2012– )</v>
      </c>
    </row>
    <row r="2566" spans="1:5" ht="13" x14ac:dyDescent="0.15">
      <c r="A2566" s="5" t="s">
        <v>2777</v>
      </c>
      <c r="D2566" t="str">
        <f ca="1">IFERROR(__xludf.DUMMYFUNCTION("split(A2566,""("")"),"Sidekick ")</f>
        <v xml:space="preserve">Sidekick </v>
      </c>
      <c r="E2566" t="str">
        <f ca="1">IFERROR(__xludf.DUMMYFUNCTION("""COMPUTED_VALUE"""),"TV Series 2010–2018)")</f>
        <v>TV Series 2010–2018)</v>
      </c>
    </row>
    <row r="2567" spans="1:5" ht="13" x14ac:dyDescent="0.15">
      <c r="A2567" s="5" t="s">
        <v>292</v>
      </c>
      <c r="D2567" t="str">
        <f ca="1">IFERROR(__xludf.DUMMYFUNCTION("split(A2567,""("")"),"Sideswiped ")</f>
        <v xml:space="preserve">Sideswiped </v>
      </c>
      <c r="E2567" t="str">
        <f ca="1">IFERROR(__xludf.DUMMYFUNCTION("""COMPUTED_VALUE"""),"TV Series 2018– )")</f>
        <v>TV Series 2018– )</v>
      </c>
    </row>
    <row r="2568" spans="1:5" ht="13" x14ac:dyDescent="0.15">
      <c r="A2568" s="5" t="s">
        <v>2778</v>
      </c>
      <c r="D2568" t="str">
        <f ca="1">IFERROR(__xludf.DUMMYFUNCTION("split(A2568,""("")"),"Siesta Key ")</f>
        <v xml:space="preserve">Siesta Key </v>
      </c>
      <c r="E2568" t="str">
        <f ca="1">IFERROR(__xludf.DUMMYFUNCTION("""COMPUTED_VALUE"""),"TV Series 2017– )")</f>
        <v>TV Series 2017– )</v>
      </c>
    </row>
    <row r="2569" spans="1:5" ht="13" x14ac:dyDescent="0.15">
      <c r="A2569" s="5" t="s">
        <v>2779</v>
      </c>
      <c r="D2569" t="str">
        <f ca="1">IFERROR(__xludf.DUMMYFUNCTION("split(A2569,""("")"),"Silent Möbius ")</f>
        <v xml:space="preserve">Silent Möbius </v>
      </c>
      <c r="E2569" t="str">
        <f ca="1">IFERROR(__xludf.DUMMYFUNCTION("""COMPUTED_VALUE"""),"TV Series 1998– )")</f>
        <v>TV Series 1998– )</v>
      </c>
    </row>
    <row r="2570" spans="1:5" ht="13" x14ac:dyDescent="0.15">
      <c r="A2570" s="5" t="s">
        <v>2780</v>
      </c>
      <c r="D2570" t="str">
        <f ca="1">IFERROR(__xludf.DUMMYFUNCTION("split(A2570,""("")"),"Silver Fang ")</f>
        <v xml:space="preserve">Silver Fang </v>
      </c>
      <c r="E2570" t="str">
        <f ca="1">IFERROR(__xludf.DUMMYFUNCTION("""COMPUTED_VALUE"""),"TV Series 1986– )")</f>
        <v>TV Series 1986– )</v>
      </c>
    </row>
    <row r="2571" spans="1:5" ht="13" x14ac:dyDescent="0.15">
      <c r="A2571" s="5" t="s">
        <v>2781</v>
      </c>
      <c r="D2571" t="str">
        <f ca="1">IFERROR(__xludf.DUMMYFUNCTION("split(A2571,""("")"),"Simi a Jirka ")</f>
        <v xml:space="preserve">Simi a Jirka </v>
      </c>
      <c r="E2571" t="str">
        <f ca="1">IFERROR(__xludf.DUMMYFUNCTION("""COMPUTED_VALUE"""),"TV Series 2015– )")</f>
        <v>TV Series 2015– )</v>
      </c>
    </row>
    <row r="2572" spans="1:5" ht="13" x14ac:dyDescent="0.15">
      <c r="A2572" s="5" t="s">
        <v>2782</v>
      </c>
      <c r="D2572" t="str">
        <f ca="1">IFERROR(__xludf.DUMMYFUNCTION("split(A2572,""("")"),"Simoun ")</f>
        <v xml:space="preserve">Simoun </v>
      </c>
      <c r="E2572" t="str">
        <f ca="1">IFERROR(__xludf.DUMMYFUNCTION("""COMPUTED_VALUE"""),"TV Series 2006– )")</f>
        <v>TV Series 2006– )</v>
      </c>
    </row>
    <row r="2573" spans="1:5" ht="13" x14ac:dyDescent="0.15">
      <c r="A2573" s="5" t="s">
        <v>2783</v>
      </c>
      <c r="D2573" t="str">
        <f ca="1">IFERROR(__xludf.DUMMYFUNCTION("split(A2573,""("")"),"Simply Nigella ")</f>
        <v xml:space="preserve">Simply Nigella </v>
      </c>
      <c r="E2573" t="str">
        <f ca="1">IFERROR(__xludf.DUMMYFUNCTION("""COMPUTED_VALUE"""),"TV Series 2015– )")</f>
        <v>TV Series 2015– )</v>
      </c>
    </row>
    <row r="2574" spans="1:5" ht="13" x14ac:dyDescent="0.15">
      <c r="A2574" s="5" t="s">
        <v>2784</v>
      </c>
      <c r="D2574" t="str">
        <f ca="1">IFERROR(__xludf.DUMMYFUNCTION("split(A2574,""("")"),"Sing Your Face Off ")</f>
        <v xml:space="preserve">Sing Your Face Off </v>
      </c>
      <c r="E2574" t="str">
        <f ca="1">IFERROR(__xludf.DUMMYFUNCTION("""COMPUTED_VALUE"""),"TV Series 2014– )")</f>
        <v>TV Series 2014– )</v>
      </c>
    </row>
    <row r="2575" spans="1:5" ht="13" x14ac:dyDescent="0.15">
      <c r="A2575" s="5" t="s">
        <v>2785</v>
      </c>
      <c r="D2575" t="str">
        <f ca="1">IFERROR(__xludf.DUMMYFUNCTION("split(A2575,""("")"),"Single in the Hamptons ")</f>
        <v xml:space="preserve">Single in the Hamptons </v>
      </c>
      <c r="E2575" t="str">
        <f ca="1">IFERROR(__xludf.DUMMYFUNCTION("""COMPUTED_VALUE"""),"TV Series 2002– )")</f>
        <v>TV Series 2002– )</v>
      </c>
    </row>
    <row r="2576" spans="1:5" ht="13" x14ac:dyDescent="0.15">
      <c r="A2576" s="5" t="s">
        <v>2786</v>
      </c>
      <c r="D2576" t="str">
        <f ca="1">IFERROR(__xludf.DUMMYFUNCTION("split(A2576,""("")"),"Single Parents ")</f>
        <v xml:space="preserve">Single Parents </v>
      </c>
      <c r="E2576" t="str">
        <f ca="1">IFERROR(__xludf.DUMMYFUNCTION("""COMPUTED_VALUE"""),"TV Series 2018– )")</f>
        <v>TV Series 2018– )</v>
      </c>
    </row>
    <row r="2577" spans="1:5" ht="13" x14ac:dyDescent="0.15">
      <c r="A2577" s="5" t="s">
        <v>2787</v>
      </c>
      <c r="D2577" t="str">
        <f ca="1">IFERROR(__xludf.DUMMYFUNCTION("split(A2577,""("")"),"Siren ")</f>
        <v xml:space="preserve">Siren </v>
      </c>
      <c r="E2577" t="str">
        <f ca="1">IFERROR(__xludf.DUMMYFUNCTION("""COMPUTED_VALUE"""),"TV Series 2018– )")</f>
        <v>TV Series 2018– )</v>
      </c>
    </row>
    <row r="2578" spans="1:5" ht="13" x14ac:dyDescent="0.15">
      <c r="A2578" s="5" t="s">
        <v>2788</v>
      </c>
      <c r="D2578" t="str">
        <f ca="1">IFERROR(__xludf.DUMMYFUNCTION("split(A2578,""("")"),"Sirens ")</f>
        <v xml:space="preserve">Sirens </v>
      </c>
      <c r="E2578" t="str">
        <f ca="1">IFERROR(__xludf.DUMMYFUNCTION("""COMPUTED_VALUE"""),"TV Series 2014–2015)")</f>
        <v>TV Series 2014–2015)</v>
      </c>
    </row>
    <row r="2579" spans="1:5" ht="13" x14ac:dyDescent="0.15">
      <c r="A2579" s="5" t="s">
        <v>2789</v>
      </c>
      <c r="D2579" t="str">
        <f ca="1">IFERROR(__xludf.DUMMYFUNCTION("split(A2579,""("")"),"Sister Wives ")</f>
        <v xml:space="preserve">Sister Wives </v>
      </c>
      <c r="E2579" t="str">
        <f ca="1">IFERROR(__xludf.DUMMYFUNCTION("""COMPUTED_VALUE"""),"TV Series 2010– )")</f>
        <v>TV Series 2010– )</v>
      </c>
    </row>
    <row r="2580" spans="1:5" ht="13" x14ac:dyDescent="0.15">
      <c r="A2580" s="5" t="s">
        <v>230</v>
      </c>
      <c r="D2580" t="str">
        <f ca="1">IFERROR(__xludf.DUMMYFUNCTION("split(A2580,""("")"),"Sister, Sister ")</f>
        <v xml:space="preserve">Sister, Sister </v>
      </c>
      <c r="E2580" t="str">
        <f ca="1">IFERROR(__xludf.DUMMYFUNCTION("""COMPUTED_VALUE"""),"TV Series 1994–1999)")</f>
        <v>TV Series 1994–1999)</v>
      </c>
    </row>
    <row r="2581" spans="1:5" ht="13" x14ac:dyDescent="0.15">
      <c r="A2581" s="5" t="s">
        <v>231</v>
      </c>
      <c r="D2581" t="str">
        <f ca="1">IFERROR(__xludf.DUMMYFUNCTION("split(A2581,""("")"),"Sisterhood of Hip Hop ")</f>
        <v xml:space="preserve">Sisterhood of Hip Hop </v>
      </c>
      <c r="E2581" t="str">
        <f ca="1">IFERROR(__xludf.DUMMYFUNCTION("""COMPUTED_VALUE"""),"TV Series 2014– )")</f>
        <v>TV Series 2014– )</v>
      </c>
    </row>
    <row r="2582" spans="1:5" ht="13" x14ac:dyDescent="0.15">
      <c r="A2582" s="5" t="s">
        <v>2790</v>
      </c>
      <c r="D2582" t="str">
        <f ca="1">IFERROR(__xludf.DUMMYFUNCTION("split(A2582,""("")"),"Six ")</f>
        <v xml:space="preserve">Six </v>
      </c>
      <c r="E2582" t="str">
        <f ca="1">IFERROR(__xludf.DUMMYFUNCTION("""COMPUTED_VALUE"""),"TV Series 2017–2018)")</f>
        <v>TV Series 2017–2018)</v>
      </c>
    </row>
    <row r="2583" spans="1:5" ht="13" x14ac:dyDescent="0.15">
      <c r="A2583" s="5" t="s">
        <v>371</v>
      </c>
      <c r="D2583" t="str">
        <f ca="1">IFERROR(__xludf.DUMMYFUNCTION("split(A2583,""("")"),"Six Feet Under ")</f>
        <v xml:space="preserve">Six Feet Under </v>
      </c>
      <c r="E2583" t="str">
        <f ca="1">IFERROR(__xludf.DUMMYFUNCTION("""COMPUTED_VALUE"""),"TV Series 2001–2005)")</f>
        <v>TV Series 2001–2005)</v>
      </c>
    </row>
    <row r="2584" spans="1:5" ht="13" x14ac:dyDescent="0.15">
      <c r="A2584" s="5" t="s">
        <v>2791</v>
      </c>
      <c r="D2584" t="str">
        <f ca="1">IFERROR(__xludf.DUMMYFUNCTION("split(A2584,""("")"),"Six Flying Dragons ")</f>
        <v xml:space="preserve">Six Flying Dragons </v>
      </c>
      <c r="E2584" t="str">
        <f ca="1">IFERROR(__xludf.DUMMYFUNCTION("""COMPUTED_VALUE"""),"TV Series 2015– )")</f>
        <v>TV Series 2015– )</v>
      </c>
    </row>
    <row r="2585" spans="1:5" ht="13" x14ac:dyDescent="0.15">
      <c r="A2585" s="5" t="s">
        <v>2792</v>
      </c>
      <c r="D2585" t="str">
        <f ca="1">IFERROR(__xludf.DUMMYFUNCTION("split(A2585,""("")"),"Sjätte dagen ")</f>
        <v xml:space="preserve">Sjätte dagen </v>
      </c>
      <c r="E2585" t="str">
        <f ca="1">IFERROR(__xludf.DUMMYFUNCTION("""COMPUTED_VALUE"""),"TV Series 1999–2001)")</f>
        <v>TV Series 1999–2001)</v>
      </c>
    </row>
    <row r="2586" spans="1:5" ht="13" x14ac:dyDescent="0.15">
      <c r="A2586" s="5" t="s">
        <v>2793</v>
      </c>
      <c r="D2586" t="str">
        <f ca="1">IFERROR(__xludf.DUMMYFUNCTION("split(A2586,""("")"),"Skam ")</f>
        <v xml:space="preserve">Skam </v>
      </c>
      <c r="E2586" t="str">
        <f ca="1">IFERROR(__xludf.DUMMYFUNCTION("""COMPUTED_VALUE"""),"TV Series 2015–2017)")</f>
        <v>TV Series 2015–2017)</v>
      </c>
    </row>
    <row r="2587" spans="1:5" ht="13" x14ac:dyDescent="0.15">
      <c r="A2587" s="5" t="s">
        <v>2794</v>
      </c>
      <c r="D2587" t="str">
        <f ca="1">IFERROR(__xludf.DUMMYFUNCTION("split(A2587,""("")"),"Skeleton Warriors ")</f>
        <v xml:space="preserve">Skeleton Warriors </v>
      </c>
      <c r="E2587" t="str">
        <f ca="1">IFERROR(__xludf.DUMMYFUNCTION("""COMPUTED_VALUE"""),"TV Series 1994– )")</f>
        <v>TV Series 1994– )</v>
      </c>
    </row>
    <row r="2588" spans="1:5" ht="13" x14ac:dyDescent="0.15">
      <c r="A2588" s="5" t="s">
        <v>2795</v>
      </c>
      <c r="D2588" t="str">
        <f ca="1">IFERROR(__xludf.DUMMYFUNCTION("split(A2588,""("")"),"SketchersonsTV ")</f>
        <v xml:space="preserve">SketchersonsTV </v>
      </c>
      <c r="E2588" t="str">
        <f ca="1">IFERROR(__xludf.DUMMYFUNCTION("""COMPUTED_VALUE"""),"TV Series 2010–2011)")</f>
        <v>TV Series 2010–2011)</v>
      </c>
    </row>
    <row r="2589" spans="1:5" ht="13" x14ac:dyDescent="0.15">
      <c r="A2589" s="5" t="s">
        <v>2796</v>
      </c>
      <c r="D2589" t="str">
        <f ca="1">IFERROR(__xludf.DUMMYFUNCTION("split(A2589,""("")"),"Skint ")</f>
        <v xml:space="preserve">Skint </v>
      </c>
      <c r="E2589" t="str">
        <f ca="1">IFERROR(__xludf.DUMMYFUNCTION("""COMPUTED_VALUE"""),"TV Series 2013– )")</f>
        <v>TV Series 2013– )</v>
      </c>
    </row>
    <row r="2590" spans="1:5" ht="13" x14ac:dyDescent="0.15">
      <c r="A2590" s="5" t="s">
        <v>2797</v>
      </c>
      <c r="D2590" t="str">
        <f ca="1">IFERROR(__xludf.DUMMYFUNCTION("split(A2590,""("")"),"Sky Dancers ")</f>
        <v xml:space="preserve">Sky Dancers </v>
      </c>
      <c r="E2590" t="str">
        <f ca="1">IFERROR(__xludf.DUMMYFUNCTION("""COMPUTED_VALUE"""),"TV Series 1996– )")</f>
        <v>TV Series 1996– )</v>
      </c>
    </row>
    <row r="2591" spans="1:5" ht="13" x14ac:dyDescent="0.15">
      <c r="A2591" s="5" t="s">
        <v>2798</v>
      </c>
      <c r="D2591" t="str">
        <f ca="1">IFERROR(__xludf.DUMMYFUNCTION("split(A2591,""("")"),"Slacker Cats ")</f>
        <v xml:space="preserve">Slacker Cats </v>
      </c>
      <c r="E2591" t="str">
        <f ca="1">IFERROR(__xludf.DUMMYFUNCTION("""COMPUTED_VALUE"""),"TV Series 2007– )")</f>
        <v>TV Series 2007– )</v>
      </c>
    </row>
    <row r="2592" spans="1:5" ht="13" x14ac:dyDescent="0.15">
      <c r="A2592" s="5" t="s">
        <v>2799</v>
      </c>
      <c r="D2592" t="str">
        <f ca="1">IFERROR(__xludf.DUMMYFUNCTION("split(A2592,""("")"),"Sleeper Cell ")</f>
        <v xml:space="preserve">Sleeper Cell </v>
      </c>
      <c r="E2592" t="str">
        <f ca="1">IFERROR(__xludf.DUMMYFUNCTION("""COMPUTED_VALUE"""),"TV Series 2005–2006)")</f>
        <v>TV Series 2005–2006)</v>
      </c>
    </row>
    <row r="2593" spans="1:5" ht="13" x14ac:dyDescent="0.15">
      <c r="A2593" s="5" t="s">
        <v>2800</v>
      </c>
      <c r="D2593" t="str">
        <f ca="1">IFERROR(__xludf.DUMMYFUNCTION("split(A2593,""("")"),"Sleepwalkers ")</f>
        <v xml:space="preserve">Sleepwalkers </v>
      </c>
      <c r="E2593" t="str">
        <f ca="1">IFERROR(__xludf.DUMMYFUNCTION("""COMPUTED_VALUE"""),"TV Series 1997–1998)")</f>
        <v>TV Series 1997–1998)</v>
      </c>
    </row>
    <row r="2594" spans="1:5" ht="13" x14ac:dyDescent="0.15">
      <c r="A2594" s="5" t="s">
        <v>26</v>
      </c>
      <c r="D2594" t="str">
        <f ca="1">IFERROR(__xludf.DUMMYFUNCTION("split(A2594,""("")"),"Sleepy Hollow ")</f>
        <v xml:space="preserve">Sleepy Hollow </v>
      </c>
      <c r="E2594" t="str">
        <f ca="1">IFERROR(__xludf.DUMMYFUNCTION("""COMPUTED_VALUE"""),"TV Series 2013–2017)")</f>
        <v>TV Series 2013–2017)</v>
      </c>
    </row>
    <row r="2595" spans="1:5" ht="13" x14ac:dyDescent="0.15">
      <c r="A2595" s="5" t="s">
        <v>2801</v>
      </c>
      <c r="D2595" t="str">
        <f ca="1">IFERROR(__xludf.DUMMYFUNCTION("split(A2595,""("")"),"Slings and Arrows ")</f>
        <v xml:space="preserve">Slings and Arrows </v>
      </c>
      <c r="E2595" t="str">
        <f ca="1">IFERROR(__xludf.DUMMYFUNCTION("""COMPUTED_VALUE"""),"TV Series 2003–2006)")</f>
        <v>TV Series 2003–2006)</v>
      </c>
    </row>
    <row r="2596" spans="1:5" ht="13" x14ac:dyDescent="0.15">
      <c r="A2596" s="5" t="s">
        <v>2802</v>
      </c>
      <c r="D2596" t="str">
        <f ca="1">IFERROR(__xludf.DUMMYFUNCTION("split(A2596,""("")"),"Sloggers ")</f>
        <v xml:space="preserve">Sloggers </v>
      </c>
      <c r="E2596" t="str">
        <f ca="1">IFERROR(__xludf.DUMMYFUNCTION("""COMPUTED_VALUE"""),"TV Series 1994– )")</f>
        <v>TV Series 1994– )</v>
      </c>
    </row>
    <row r="2597" spans="1:5" ht="13" x14ac:dyDescent="0.15">
      <c r="A2597" s="5" t="s">
        <v>2803</v>
      </c>
      <c r="D2597" t="str">
        <f ca="1">IFERROR(__xludf.DUMMYFUNCTION("split(A2597,""("")"),"Slozna braca ")</f>
        <v xml:space="preserve">Slozna braca </v>
      </c>
      <c r="E2597" t="str">
        <f ca="1">IFERROR(__xludf.DUMMYFUNCTION("""COMPUTED_VALUE"""),"TV Series 1995– )")</f>
        <v>TV Series 1995– )</v>
      </c>
    </row>
    <row r="2598" spans="1:5" ht="13" x14ac:dyDescent="0.15">
      <c r="A2598" s="5" t="s">
        <v>2804</v>
      </c>
      <c r="D2598" t="str">
        <f ca="1">IFERROR(__xludf.DUMMYFUNCTION("split(A2598,""("")"),"Small Town Security ")</f>
        <v xml:space="preserve">Small Town Security </v>
      </c>
      <c r="E2598" t="str">
        <f ca="1">IFERROR(__xludf.DUMMYFUNCTION("""COMPUTED_VALUE"""),"TV Series 2012– )")</f>
        <v>TV Series 2012– )</v>
      </c>
    </row>
    <row r="2599" spans="1:5" ht="13" x14ac:dyDescent="0.15">
      <c r="A2599" s="5" t="s">
        <v>41</v>
      </c>
      <c r="D2599" t="str">
        <f ca="1">IFERROR(__xludf.DUMMYFUNCTION("split(A2599,""("")"),"Smallville ")</f>
        <v xml:space="preserve">Smallville </v>
      </c>
      <c r="E2599" t="str">
        <f ca="1">IFERROR(__xludf.DUMMYFUNCTION("""COMPUTED_VALUE"""),"TV Series 2001–2011)")</f>
        <v>TV Series 2001–2011)</v>
      </c>
    </row>
    <row r="2600" spans="1:5" ht="13" x14ac:dyDescent="0.15">
      <c r="A2600" s="5" t="s">
        <v>2805</v>
      </c>
      <c r="D2600" t="str">
        <f ca="1">IFERROR(__xludf.DUMMYFUNCTION("split(A2600,""("")"),"Sneaky Pete ")</f>
        <v xml:space="preserve">Sneaky Pete </v>
      </c>
      <c r="E2600" t="str">
        <f ca="1">IFERROR(__xludf.DUMMYFUNCTION("""COMPUTED_VALUE"""),"TV Series 2015–2019)")</f>
        <v>TV Series 2015–2019)</v>
      </c>
    </row>
    <row r="2601" spans="1:5" ht="13" x14ac:dyDescent="0.15">
      <c r="A2601" s="5" t="s">
        <v>2806</v>
      </c>
      <c r="D2601" t="str">
        <f ca="1">IFERROR(__xludf.DUMMYFUNCTION("split(A2601,""("")"),"Snobs ")</f>
        <v xml:space="preserve">Snobs </v>
      </c>
      <c r="E2601" t="str">
        <f ca="1">IFERROR(__xludf.DUMMYFUNCTION("""COMPUTED_VALUE"""),"TV Series 2003–2004)")</f>
        <v>TV Series 2003–2004)</v>
      </c>
    </row>
    <row r="2602" spans="1:5" ht="13" x14ac:dyDescent="0.15">
      <c r="A2602" s="5" t="s">
        <v>2807</v>
      </c>
      <c r="D2602" t="str">
        <f ca="1">IFERROR(__xludf.DUMMYFUNCTION("split(A2602,""("")"),"Snowfall ")</f>
        <v xml:space="preserve">Snowfall </v>
      </c>
      <c r="E2602" t="str">
        <f ca="1">IFERROR(__xludf.DUMMYFUNCTION("""COMPUTED_VALUE"""),"TV Series 2017– )")</f>
        <v>TV Series 2017– )</v>
      </c>
    </row>
    <row r="2603" spans="1:5" ht="13" x14ac:dyDescent="0.15">
      <c r="A2603" s="5" t="s">
        <v>2808</v>
      </c>
      <c r="D2603" t="str">
        <f ca="1">IFERROR(__xludf.DUMMYFUNCTION("split(A2603,""("")"),"Snupsters Sidetracked ")</f>
        <v xml:space="preserve">Snupsters Sidetracked </v>
      </c>
      <c r="E2603" t="str">
        <f ca="1">IFERROR(__xludf.DUMMYFUNCTION("""COMPUTED_VALUE"""),"TV Series 2015– )")</f>
        <v>TV Series 2015– )</v>
      </c>
    </row>
    <row r="2604" spans="1:5" ht="13" x14ac:dyDescent="0.15">
      <c r="A2604" s="5" t="s">
        <v>2809</v>
      </c>
      <c r="D2604" t="str">
        <f ca="1">IFERROR(__xludf.DUMMYFUNCTION("split(A2604,""("")"),"So You Think You Can Dance ")</f>
        <v xml:space="preserve">So You Think You Can Dance </v>
      </c>
      <c r="E2604" t="str">
        <f ca="1">IFERROR(__xludf.DUMMYFUNCTION("""COMPUTED_VALUE"""),"TV Series 2005– )")</f>
        <v>TV Series 2005– )</v>
      </c>
    </row>
    <row r="2605" spans="1:5" ht="13" x14ac:dyDescent="0.15">
      <c r="A2605" s="5" t="s">
        <v>637</v>
      </c>
      <c r="D2605" t="str">
        <f ca="1">IFERROR(__xludf.DUMMYFUNCTION("split(A2605,""("")"),"So You Think You Can Dance Canada ")</f>
        <v xml:space="preserve">So You Think You Can Dance Canada </v>
      </c>
      <c r="E2605" t="str">
        <f ca="1">IFERROR(__xludf.DUMMYFUNCTION("""COMPUTED_VALUE"""),"TV Series 2008– )")</f>
        <v>TV Series 2008– )</v>
      </c>
    </row>
    <row r="2606" spans="1:5" ht="13" x14ac:dyDescent="0.15">
      <c r="A2606" s="5" t="s">
        <v>2810</v>
      </c>
      <c r="D2606" t="str">
        <f ca="1">IFERROR(__xludf.DUMMYFUNCTION("split(A2606,""("")"),"Sofia the First ")</f>
        <v xml:space="preserve">Sofia the First </v>
      </c>
      <c r="E2606" t="str">
        <f ca="1">IFERROR(__xludf.DUMMYFUNCTION("""COMPUTED_VALUE"""),"TV Series 2013–2018)")</f>
        <v>TV Series 2013–2018)</v>
      </c>
    </row>
    <row r="2607" spans="1:5" ht="13" x14ac:dyDescent="0.15">
      <c r="A2607" s="5" t="s">
        <v>2811</v>
      </c>
      <c r="D2607" t="str">
        <f ca="1">IFERROR(__xludf.DUMMYFUNCTION("split(A2607,""("")"),"Soft Anna PL ")</f>
        <v xml:space="preserve">Soft Anna PL </v>
      </c>
      <c r="E2607" t="str">
        <f ca="1">IFERROR(__xludf.DUMMYFUNCTION("""COMPUTED_VALUE"""),"TV Series 2013– )")</f>
        <v>TV Series 2013– )</v>
      </c>
    </row>
    <row r="2608" spans="1:5" ht="13" x14ac:dyDescent="0.15">
      <c r="A2608" s="5" t="s">
        <v>2812</v>
      </c>
      <c r="D2608" t="str">
        <f ca="1">IFERROR(__xludf.DUMMYFUNCTION("split(A2608,""("")"),"Some Girls ")</f>
        <v xml:space="preserve">Some Girls </v>
      </c>
      <c r="E2608" t="str">
        <f ca="1">IFERROR(__xludf.DUMMYFUNCTION("""COMPUTED_VALUE"""),"TV Series 2012– )")</f>
        <v>TV Series 2012– )</v>
      </c>
    </row>
    <row r="2609" spans="1:5" ht="13" x14ac:dyDescent="0.15">
      <c r="A2609" s="5" t="s">
        <v>2813</v>
      </c>
      <c r="D2609" t="str">
        <f ca="1">IFERROR(__xludf.DUMMYFUNCTION("split(A2609,""("")"),"Somebody Feed Phil ")</f>
        <v xml:space="preserve">Somebody Feed Phil </v>
      </c>
      <c r="E2609" t="str">
        <f ca="1">IFERROR(__xludf.DUMMYFUNCTION("""COMPUTED_VALUE"""),"TV Series 2018– )")</f>
        <v>TV Series 2018– )</v>
      </c>
    </row>
    <row r="2610" spans="1:5" ht="13" x14ac:dyDescent="0.15">
      <c r="A2610" s="5" t="s">
        <v>2814</v>
      </c>
      <c r="D2610" t="str">
        <f ca="1">IFERROR(__xludf.DUMMYFUNCTION("split(A2610,""("")"),"Somewhere Between ")</f>
        <v xml:space="preserve">Somewhere Between </v>
      </c>
      <c r="E2610" t="str">
        <f ca="1">IFERROR(__xludf.DUMMYFUNCTION("""COMPUTED_VALUE"""),"TV Series 2017)")</f>
        <v>TV Series 2017)</v>
      </c>
    </row>
    <row r="2611" spans="1:5" ht="13" x14ac:dyDescent="0.15">
      <c r="A2611" s="5" t="s">
        <v>2815</v>
      </c>
      <c r="D2611" t="str">
        <f ca="1">IFERROR(__xludf.DUMMYFUNCTION("split(A2611,""("")"),"Son of the Beach ")</f>
        <v xml:space="preserve">Son of the Beach </v>
      </c>
      <c r="E2611" t="str">
        <f ca="1">IFERROR(__xludf.DUMMYFUNCTION("""COMPUTED_VALUE"""),"TV Series 2000–2002)")</f>
        <v>TV Series 2000–2002)</v>
      </c>
    </row>
    <row r="2612" spans="1:5" ht="13" x14ac:dyDescent="0.15">
      <c r="A2612" s="5" t="s">
        <v>2816</v>
      </c>
      <c r="D2612" t="str">
        <f ca="1">IFERROR(__xludf.DUMMYFUNCTION("split(A2612,""("")"),"Son'ka ")</f>
        <v xml:space="preserve">Son'ka </v>
      </c>
      <c r="E2612" t="str">
        <f ca="1">IFERROR(__xludf.DUMMYFUNCTION("""COMPUTED_VALUE"""),"TV Series 2015– )")</f>
        <v>TV Series 2015– )</v>
      </c>
    </row>
    <row r="2613" spans="1:5" ht="13" x14ac:dyDescent="0.15">
      <c r="A2613" s="5" t="s">
        <v>2817</v>
      </c>
      <c r="D2613" t="str">
        <f ca="1">IFERROR(__xludf.DUMMYFUNCTION("split(A2613,""("")"),"Song of Wend ")</f>
        <v xml:space="preserve">Song of Wend </v>
      </c>
      <c r="E2613" t="str">
        <f ca="1">IFERROR(__xludf.DUMMYFUNCTION("""COMPUTED_VALUE"""),"TV Series 2013– )")</f>
        <v>TV Series 2013– )</v>
      </c>
    </row>
    <row r="2614" spans="1:5" ht="13" x14ac:dyDescent="0.15">
      <c r="A2614" s="5" t="s">
        <v>2818</v>
      </c>
      <c r="D2614" t="str">
        <f ca="1">IFERROR(__xludf.DUMMYFUNCTION("split(A2614,""("")"),"Songland ")</f>
        <v xml:space="preserve">Songland </v>
      </c>
      <c r="E2614" t="str">
        <f ca="1">IFERROR(__xludf.DUMMYFUNCTION("""COMPUTED_VALUE"""),"TV Series 2019– )")</f>
        <v>TV Series 2019– )</v>
      </c>
    </row>
    <row r="2615" spans="1:5" ht="13" x14ac:dyDescent="0.15">
      <c r="A2615" s="5" t="s">
        <v>2819</v>
      </c>
      <c r="D2615" t="str">
        <f ca="1">IFERROR(__xludf.DUMMYFUNCTION("split(A2615,""("")"),"Sonic Boom ")</f>
        <v xml:space="preserve">Sonic Boom </v>
      </c>
      <c r="E2615" t="str">
        <f ca="1">IFERROR(__xludf.DUMMYFUNCTION("""COMPUTED_VALUE"""),"TV Series 2014–2017)")</f>
        <v>TV Series 2014–2017)</v>
      </c>
    </row>
    <row r="2616" spans="1:5" ht="13" x14ac:dyDescent="0.15">
      <c r="A2616" s="5" t="s">
        <v>516</v>
      </c>
      <c r="D2616" t="str">
        <f ca="1">IFERROR(__xludf.DUMMYFUNCTION("split(A2616,""("")"),"Sonic the Hedgehog ")</f>
        <v xml:space="preserve">Sonic the Hedgehog </v>
      </c>
      <c r="E2616" t="str">
        <f ca="1">IFERROR(__xludf.DUMMYFUNCTION("""COMPUTED_VALUE"""),"TV Series 1993–1994)")</f>
        <v>TV Series 1993–1994)</v>
      </c>
    </row>
    <row r="2617" spans="1:5" ht="13" x14ac:dyDescent="0.15">
      <c r="A2617" s="5" t="s">
        <v>2820</v>
      </c>
      <c r="D2617" t="str">
        <f ca="1">IFERROR(__xludf.DUMMYFUNCTION("split(A2617,""("")"),"Sonic Underground ")</f>
        <v xml:space="preserve">Sonic Underground </v>
      </c>
      <c r="E2617" t="str">
        <f ca="1">IFERROR(__xludf.DUMMYFUNCTION("""COMPUTED_VALUE"""),"TV Series 1999–2000)")</f>
        <v>TV Series 1999–2000)</v>
      </c>
    </row>
    <row r="2618" spans="1:5" ht="13" x14ac:dyDescent="0.15">
      <c r="A2618" s="5" t="s">
        <v>2821</v>
      </c>
      <c r="D2618" t="str">
        <f ca="1">IFERROR(__xludf.DUMMYFUNCTION("split(A2618,""("")"),"Sonic X ")</f>
        <v xml:space="preserve">Sonic X </v>
      </c>
      <c r="E2618" t="str">
        <f ca="1">IFERROR(__xludf.DUMMYFUNCTION("""COMPUTED_VALUE"""),"TV Series 2003–2006)")</f>
        <v>TV Series 2003–2006)</v>
      </c>
    </row>
    <row r="2619" spans="1:5" ht="13" x14ac:dyDescent="0.15">
      <c r="A2619" s="5" t="s">
        <v>2822</v>
      </c>
      <c r="D2619" t="str">
        <f ca="1">IFERROR(__xludf.DUMMYFUNCTION("split(A2619,""("")"),"Sonny Soufflé chok show ")</f>
        <v xml:space="preserve">Sonny Soufflé chok show </v>
      </c>
      <c r="E2619" t="str">
        <f ca="1">IFERROR(__xludf.DUMMYFUNCTION("""COMPUTED_VALUE"""),"TV Series 1986–1987)")</f>
        <v>TV Series 1986–1987)</v>
      </c>
    </row>
    <row r="2620" spans="1:5" ht="13" x14ac:dyDescent="0.15">
      <c r="A2620" s="5" t="s">
        <v>2823</v>
      </c>
      <c r="D2620" t="str">
        <f ca="1">IFERROR(__xludf.DUMMYFUNCTION("split(A2620,""("")"),"Sons of Anarchy ")</f>
        <v xml:space="preserve">Sons of Anarchy </v>
      </c>
      <c r="E2620" t="str">
        <f ca="1">IFERROR(__xludf.DUMMYFUNCTION("""COMPUTED_VALUE"""),"TV Series 2008–2014)")</f>
        <v>TV Series 2008–2014)</v>
      </c>
    </row>
    <row r="2621" spans="1:5" ht="13" x14ac:dyDescent="0.15">
      <c r="A2621" s="5" t="s">
        <v>2824</v>
      </c>
      <c r="D2621" t="str">
        <f ca="1">IFERROR(__xludf.DUMMYFUNCTION("split(A2621,""("")"),"Sons of Thunder ")</f>
        <v xml:space="preserve">Sons of Thunder </v>
      </c>
      <c r="E2621" t="str">
        <f ca="1">IFERROR(__xludf.DUMMYFUNCTION("""COMPUTED_VALUE"""),"TV Series 1999– )")</f>
        <v>TV Series 1999– )</v>
      </c>
    </row>
    <row r="2622" spans="1:5" ht="13" x14ac:dyDescent="0.15">
      <c r="A2622" s="5" t="s">
        <v>2825</v>
      </c>
      <c r="D2622" t="str">
        <f ca="1">IFERROR(__xludf.DUMMYFUNCTION("split(A2622,""("")"),"SophieMichelle ASMR ")</f>
        <v xml:space="preserve">SophieMichelle ASMR </v>
      </c>
      <c r="E2622" t="str">
        <f ca="1">IFERROR(__xludf.DUMMYFUNCTION("""COMPUTED_VALUE"""),"TV Series 2017– )")</f>
        <v>TV Series 2017– )</v>
      </c>
    </row>
    <row r="2623" spans="1:5" ht="13" x14ac:dyDescent="0.15">
      <c r="A2623" s="5" t="s">
        <v>2826</v>
      </c>
      <c r="D2623" t="str">
        <f ca="1">IFERROR(__xludf.DUMMYFUNCTION("split(A2623,""("")"),"Sordid Lives: The Series ")</f>
        <v xml:space="preserve">Sordid Lives: The Series </v>
      </c>
      <c r="E2623" t="str">
        <f ca="1">IFERROR(__xludf.DUMMYFUNCTION("""COMPUTED_VALUE"""),"TV Series 2008– )")</f>
        <v>TV Series 2008– )</v>
      </c>
    </row>
    <row r="2624" spans="1:5" ht="13" x14ac:dyDescent="0.15">
      <c r="A2624" s="5" t="s">
        <v>2827</v>
      </c>
      <c r="D2624" t="str">
        <f ca="1">IFERROR(__xludf.DUMMYFUNCTION("split(A2624,""("")"),"Sorority Girls ")</f>
        <v xml:space="preserve">Sorority Girls </v>
      </c>
      <c r="E2624" t="str">
        <f ca="1">IFERROR(__xludf.DUMMYFUNCTION("""COMPUTED_VALUE"""),"TV Series 2011– )")</f>
        <v>TV Series 2011– )</v>
      </c>
    </row>
    <row r="2625" spans="1:5" ht="13" x14ac:dyDescent="0.15">
      <c r="A2625" s="5" t="s">
        <v>293</v>
      </c>
      <c r="D2625" t="str">
        <f ca="1">IFERROR(__xludf.DUMMYFUNCTION("split(A2625,""("")"),"Sorry for Your Loss ")</f>
        <v xml:space="preserve">Sorry for Your Loss </v>
      </c>
      <c r="E2625" t="str">
        <f ca="1">IFERROR(__xludf.DUMMYFUNCTION("""COMPUTED_VALUE"""),"TV Series 2018– )")</f>
        <v>TV Series 2018– )</v>
      </c>
    </row>
    <row r="2626" spans="1:5" ht="13" x14ac:dyDescent="0.15">
      <c r="A2626" s="5" t="s">
        <v>2828</v>
      </c>
      <c r="D2626" t="str">
        <f ca="1">IFERROR(__xludf.DUMMYFUNCTION("split(A2626,""("")"),"Soul Mate ")</f>
        <v xml:space="preserve">Soul Mate </v>
      </c>
      <c r="E2626" t="str">
        <f ca="1">IFERROR(__xludf.DUMMYFUNCTION("""COMPUTED_VALUE"""),"TV Series 2005– )")</f>
        <v>TV Series 2005– )</v>
      </c>
    </row>
    <row r="2627" spans="1:5" ht="13" x14ac:dyDescent="0.15">
      <c r="A2627" s="5" t="s">
        <v>2829</v>
      </c>
      <c r="D2627" t="str">
        <f ca="1">IFERROR(__xludf.DUMMYFUNCTION("split(A2627,""("")"),"Soulmate ")</f>
        <v xml:space="preserve">Soulmate </v>
      </c>
      <c r="E2627" t="str">
        <f ca="1">IFERROR(__xludf.DUMMYFUNCTION("""COMPUTED_VALUE"""),"TV Series 2006– )")</f>
        <v>TV Series 2006– )</v>
      </c>
    </row>
    <row r="2628" spans="1:5" ht="13" x14ac:dyDescent="0.15">
      <c r="A2628" s="5" t="s">
        <v>2830</v>
      </c>
      <c r="D2628" t="str">
        <f ca="1">IFERROR(__xludf.DUMMYFUNCTION("split(A2628,""("")"),"Sound! Euphonium ")</f>
        <v xml:space="preserve">Sound! Euphonium </v>
      </c>
      <c r="E2628" t="str">
        <f ca="1">IFERROR(__xludf.DUMMYFUNCTION("""COMPUTED_VALUE"""),"TV Series 2015– )")</f>
        <v>TV Series 2015– )</v>
      </c>
    </row>
    <row r="2629" spans="1:5" ht="13" x14ac:dyDescent="0.15">
      <c r="A2629" s="5" t="s">
        <v>2831</v>
      </c>
      <c r="D2629" t="str">
        <f ca="1">IFERROR(__xludf.DUMMYFUNCTION("split(A2629,""("")"),"South of Nowhere ")</f>
        <v xml:space="preserve">South of Nowhere </v>
      </c>
      <c r="E2629" t="str">
        <f ca="1">IFERROR(__xludf.DUMMYFUNCTION("""COMPUTED_VALUE"""),"TV Series 2005–2008)")</f>
        <v>TV Series 2005–2008)</v>
      </c>
    </row>
    <row r="2630" spans="1:5" ht="13" x14ac:dyDescent="0.15">
      <c r="A2630" s="5" t="s">
        <v>671</v>
      </c>
      <c r="D2630" t="str">
        <f ca="1">IFERROR(__xludf.DUMMYFUNCTION("split(A2630,""("")"),"South Park ")</f>
        <v xml:space="preserve">South Park </v>
      </c>
      <c r="E2630" t="str">
        <f ca="1">IFERROR(__xludf.DUMMYFUNCTION("""COMPUTED_VALUE"""),"TV Series 1997– )")</f>
        <v>TV Series 1997– )</v>
      </c>
    </row>
    <row r="2631" spans="1:5" ht="13" x14ac:dyDescent="0.15">
      <c r="A2631" s="5" t="s">
        <v>2832</v>
      </c>
      <c r="D2631" t="str">
        <f ca="1">IFERROR(__xludf.DUMMYFUNCTION("split(A2631,""("")"),"Southern Charm ")</f>
        <v xml:space="preserve">Southern Charm </v>
      </c>
      <c r="E2631" t="str">
        <f ca="1">IFERROR(__xludf.DUMMYFUNCTION("""COMPUTED_VALUE"""),"TV Series 2013– )")</f>
        <v>TV Series 2013– )</v>
      </c>
    </row>
    <row r="2632" spans="1:5" ht="13" x14ac:dyDescent="0.15">
      <c r="A2632" s="5" t="s">
        <v>2833</v>
      </c>
      <c r="D2632" t="str">
        <f ca="1">IFERROR(__xludf.DUMMYFUNCTION("split(A2632,""("")"),"Southland ")</f>
        <v xml:space="preserve">Southland </v>
      </c>
      <c r="E2632" t="str">
        <f ca="1">IFERROR(__xludf.DUMMYFUNCTION("""COMPUTED_VALUE"""),"TV Series 2009–2013)")</f>
        <v>TV Series 2009–2013)</v>
      </c>
    </row>
    <row r="2633" spans="1:5" ht="13" x14ac:dyDescent="0.15">
      <c r="A2633" s="5" t="s">
        <v>2834</v>
      </c>
      <c r="D2633" t="str">
        <f ca="1">IFERROR(__xludf.DUMMYFUNCTION("split(A2633,""("")"),"Southwest: The Series ")</f>
        <v xml:space="preserve">Southwest: The Series </v>
      </c>
      <c r="E2633" t="str">
        <f ca="1">IFERROR(__xludf.DUMMYFUNCTION("""COMPUTED_VALUE"""),"TV Series 2013– )")</f>
        <v>TV Series 2013– )</v>
      </c>
    </row>
    <row r="2634" spans="1:5" ht="13" x14ac:dyDescent="0.15">
      <c r="A2634" s="5" t="s">
        <v>2835</v>
      </c>
      <c r="D2634" t="str">
        <f ca="1">IFERROR(__xludf.DUMMYFUNCTION("split(A2634,""("")"),"Space Cobra ")</f>
        <v xml:space="preserve">Space Cobra </v>
      </c>
      <c r="E2634" t="str">
        <f ca="1">IFERROR(__xludf.DUMMYFUNCTION("""COMPUTED_VALUE"""),"TV Series 1982–1983)")</f>
        <v>TV Series 1982–1983)</v>
      </c>
    </row>
    <row r="2635" spans="1:5" ht="13" x14ac:dyDescent="0.15">
      <c r="A2635" s="5" t="s">
        <v>478</v>
      </c>
      <c r="D2635" t="str">
        <f ca="1">IFERROR(__xludf.DUMMYFUNCTION("split(A2635,""("")"),"Space Ghost Coast to Coast ")</f>
        <v xml:space="preserve">Space Ghost Coast to Coast </v>
      </c>
      <c r="E2635" t="str">
        <f ca="1">IFERROR(__xludf.DUMMYFUNCTION("""COMPUTED_VALUE"""),"TV Series 1993–2011)")</f>
        <v>TV Series 1993–2011)</v>
      </c>
    </row>
    <row r="2636" spans="1:5" ht="13" x14ac:dyDescent="0.15">
      <c r="A2636" s="5" t="s">
        <v>2836</v>
      </c>
      <c r="D2636" t="str">
        <f ca="1">IFERROR(__xludf.DUMMYFUNCTION("split(A2636,""("")"),"Space: Above and Beyond ")</f>
        <v xml:space="preserve">Space: Above and Beyond </v>
      </c>
      <c r="E2636" t="str">
        <f ca="1">IFERROR(__xludf.DUMMYFUNCTION("""COMPUTED_VALUE"""),"TV Series 1995–1996)")</f>
        <v>TV Series 1995–1996)</v>
      </c>
    </row>
    <row r="2637" spans="1:5" ht="13" x14ac:dyDescent="0.15">
      <c r="A2637" s="5" t="s">
        <v>2837</v>
      </c>
      <c r="D2637" t="str">
        <f ca="1">IFERROR(__xludf.DUMMYFUNCTION("split(A2637,""("")"),"Spaced ")</f>
        <v xml:space="preserve">Spaced </v>
      </c>
      <c r="E2637" t="str">
        <f ca="1">IFERROR(__xludf.DUMMYFUNCTION("""COMPUTED_VALUE"""),"TV Series 1999–2001)")</f>
        <v>TV Series 1999–2001)</v>
      </c>
    </row>
    <row r="2638" spans="1:5" ht="13" x14ac:dyDescent="0.15">
      <c r="A2638" s="5" t="s">
        <v>2838</v>
      </c>
      <c r="D2638" t="str">
        <f ca="1">IFERROR(__xludf.DUMMYFUNCTION("split(A2638,""("")"),"Spanac ")</f>
        <v xml:space="preserve">Spanac </v>
      </c>
      <c r="E2638" t="str">
        <f ca="1">IFERROR(__xludf.DUMMYFUNCTION("""COMPUTED_VALUE"""),"TV Mini-Series 1982– )")</f>
        <v>TV Mini-Series 1982– )</v>
      </c>
    </row>
    <row r="2639" spans="1:5" ht="13" x14ac:dyDescent="0.15">
      <c r="A2639" s="5" t="s">
        <v>679</v>
      </c>
      <c r="D2639" t="str">
        <f ca="1">IFERROR(__xludf.DUMMYFUNCTION("split(A2639,""("")"),"Spartacus ")</f>
        <v xml:space="preserve">Spartacus </v>
      </c>
      <c r="E2639" t="str">
        <f ca="1">IFERROR(__xludf.DUMMYFUNCTION("""COMPUTED_VALUE"""),"TV Series 2010–2013)")</f>
        <v>TV Series 2010–2013)</v>
      </c>
    </row>
    <row r="2640" spans="1:5" ht="13" x14ac:dyDescent="0.15">
      <c r="A2640" s="5" t="s">
        <v>2839</v>
      </c>
      <c r="D2640" t="str">
        <f ca="1">IFERROR(__xludf.DUMMYFUNCTION("split(A2640,""("")"),"Special Collector's Edition ")</f>
        <v xml:space="preserve">Special Collector's Edition </v>
      </c>
      <c r="E2640" t="str">
        <f ca="1">IFERROR(__xludf.DUMMYFUNCTION("""COMPUTED_VALUE"""),"TV Series 2010–2015)")</f>
        <v>TV Series 2010–2015)</v>
      </c>
    </row>
    <row r="2641" spans="1:5" ht="13" x14ac:dyDescent="0.15">
      <c r="A2641" s="5" t="s">
        <v>2840</v>
      </c>
      <c r="D2641" t="str">
        <f ca="1">IFERROR(__xludf.DUMMYFUNCTION("split(A2641,""("")"),"Special Unit 2 ")</f>
        <v xml:space="preserve">Special Unit 2 </v>
      </c>
      <c r="E2641" t="str">
        <f ca="1">IFERROR(__xludf.DUMMYFUNCTION("""COMPUTED_VALUE"""),"TV Series 2001–2002)")</f>
        <v>TV Series 2001–2002)</v>
      </c>
    </row>
    <row r="2642" spans="1:5" ht="13" x14ac:dyDescent="0.15">
      <c r="A2642" s="5" t="s">
        <v>2841</v>
      </c>
      <c r="D2642" t="str">
        <f ca="1">IFERROR(__xludf.DUMMYFUNCTION("split(A2642,""("")"),"Speechless ")</f>
        <v xml:space="preserve">Speechless </v>
      </c>
      <c r="E2642" t="str">
        <f ca="1">IFERROR(__xludf.DUMMYFUNCTION("""COMPUTED_VALUE"""),"TV Series 2016–2019)")</f>
        <v>TV Series 2016–2019)</v>
      </c>
    </row>
    <row r="2643" spans="1:5" ht="13" x14ac:dyDescent="0.15">
      <c r="A2643" s="5" t="s">
        <v>2842</v>
      </c>
      <c r="D2643" t="str">
        <f ca="1">IFERROR(__xludf.DUMMYFUNCTION("split(A2643,""("")"),"SphinxGeheimnisse der Geschichte ")</f>
        <v xml:space="preserve">SphinxGeheimnisse der Geschichte </v>
      </c>
      <c r="E2643" t="str">
        <f ca="1">IFERROR(__xludf.DUMMYFUNCTION("""COMPUTED_VALUE"""),"TV Series 1994– )")</f>
        <v>TV Series 1994– )</v>
      </c>
    </row>
    <row r="2644" spans="1:5" ht="13" x14ac:dyDescent="0.15">
      <c r="A2644" s="5" t="s">
        <v>2843</v>
      </c>
      <c r="D2644" t="str">
        <f ca="1">IFERROR(__xludf.DUMMYFUNCTION("split(A2644,""("")"),"Spice and Wolf ")</f>
        <v xml:space="preserve">Spice and Wolf </v>
      </c>
      <c r="E2644" t="str">
        <f ca="1">IFERROR(__xludf.DUMMYFUNCTION("""COMPUTED_VALUE"""),"TV Series 2008–2009)")</f>
        <v>TV Series 2008–2009)</v>
      </c>
    </row>
    <row r="2645" spans="1:5" ht="13" x14ac:dyDescent="0.15">
      <c r="A2645" s="5" t="s">
        <v>2844</v>
      </c>
      <c r="D2645" t="str">
        <f ca="1">IFERROR(__xludf.DUMMYFUNCTION("split(A2645,""("")"),"Spicy City ")</f>
        <v xml:space="preserve">Spicy City </v>
      </c>
      <c r="E2645" t="str">
        <f ca="1">IFERROR(__xludf.DUMMYFUNCTION("""COMPUTED_VALUE"""),"TV Series 1997)")</f>
        <v>TV Series 1997)</v>
      </c>
    </row>
    <row r="2646" spans="1:5" ht="13" x14ac:dyDescent="0.15">
      <c r="A2646" s="5" t="s">
        <v>2845</v>
      </c>
      <c r="D2646" t="str">
        <f ca="1">IFERROR(__xludf.DUMMYFUNCTION("split(A2646,""("")"),"Spider-Man ")</f>
        <v xml:space="preserve">Spider-Man </v>
      </c>
      <c r="E2646" t="str">
        <f ca="1">IFERROR(__xludf.DUMMYFUNCTION("""COMPUTED_VALUE"""),"TV Series 2003)")</f>
        <v>TV Series 2003)</v>
      </c>
    </row>
    <row r="2647" spans="1:5" ht="13" x14ac:dyDescent="0.15">
      <c r="A2647" s="5" t="s">
        <v>75</v>
      </c>
      <c r="D2647" t="str">
        <f ca="1">IFERROR(__xludf.DUMMYFUNCTION("split(A2647,""("")"),"Spider-Man and His Amazing Friends ")</f>
        <v xml:space="preserve">Spider-Man and His Amazing Friends </v>
      </c>
      <c r="E2647" t="str">
        <f ca="1">IFERROR(__xludf.DUMMYFUNCTION("""COMPUTED_VALUE"""),"TV Series 1981–1986)")</f>
        <v>TV Series 1981–1986)</v>
      </c>
    </row>
    <row r="2648" spans="1:5" ht="13" x14ac:dyDescent="0.15">
      <c r="A2648" s="5" t="s">
        <v>76</v>
      </c>
      <c r="D2648" t="str">
        <f ca="1">IFERROR(__xludf.DUMMYFUNCTION("split(A2648,""("")"),"Spider-Man Unlimited ")</f>
        <v xml:space="preserve">Spider-Man Unlimited </v>
      </c>
      <c r="E2648" t="str">
        <f ca="1">IFERROR(__xludf.DUMMYFUNCTION("""COMPUTED_VALUE"""),"TV Series 1999–2005)")</f>
        <v>TV Series 1999–2005)</v>
      </c>
    </row>
    <row r="2649" spans="1:5" ht="13" x14ac:dyDescent="0.15">
      <c r="A2649" s="5" t="s">
        <v>77</v>
      </c>
      <c r="D2649" t="str">
        <f ca="1">IFERROR(__xludf.DUMMYFUNCTION("split(A2649,""("")"),"Spider-Man: The Animated Series ")</f>
        <v xml:space="preserve">Spider-Man: The Animated Series </v>
      </c>
      <c r="E2649" t="str">
        <f ca="1">IFERROR(__xludf.DUMMYFUNCTION("""COMPUTED_VALUE"""),"TV Series 1994–1998)")</f>
        <v>TV Series 1994–1998)</v>
      </c>
    </row>
    <row r="2650" spans="1:5" ht="13" x14ac:dyDescent="0.15">
      <c r="A2650" s="5" t="s">
        <v>2846</v>
      </c>
      <c r="D2650" t="str">
        <f ca="1">IFERROR(__xludf.DUMMYFUNCTION("split(A2650,""("")"),"Spirit Riding Free ")</f>
        <v xml:space="preserve">Spirit Riding Free </v>
      </c>
      <c r="E2650" t="str">
        <f ca="1">IFERROR(__xludf.DUMMYFUNCTION("""COMPUTED_VALUE"""),"TV Series 2017– )")</f>
        <v>TV Series 2017– )</v>
      </c>
    </row>
    <row r="2651" spans="1:5" ht="13" x14ac:dyDescent="0.15">
      <c r="A2651" s="5" t="s">
        <v>2847</v>
      </c>
      <c r="D2651" t="str">
        <f ca="1">IFERROR(__xludf.DUMMYFUNCTION("split(A2651,""("")"),"Spirited ")</f>
        <v xml:space="preserve">Spirited </v>
      </c>
      <c r="E2651" t="str">
        <f ca="1">IFERROR(__xludf.DUMMYFUNCTION("""COMPUTED_VALUE"""),"TV Series 2010– )")</f>
        <v>TV Series 2010– )</v>
      </c>
    </row>
    <row r="2652" spans="1:5" ht="13" x14ac:dyDescent="0.15">
      <c r="A2652" s="5" t="s">
        <v>2848</v>
      </c>
      <c r="D2652" t="str">
        <f ca="1">IFERROR(__xludf.DUMMYFUNCTION("split(A2652,""("")"),"Splash ")</f>
        <v xml:space="preserve">Splash </v>
      </c>
      <c r="E2652" t="str">
        <f ca="1">IFERROR(__xludf.DUMMYFUNCTION("""COMPUTED_VALUE"""),"TV Series 2013– )")</f>
        <v>TV Series 2013– )</v>
      </c>
    </row>
    <row r="2653" spans="1:5" ht="13" x14ac:dyDescent="0.15">
      <c r="A2653" s="5" t="s">
        <v>2849</v>
      </c>
      <c r="D2653" t="str">
        <f ca="1">IFERROR(__xludf.DUMMYFUNCTION("split(A2653,""("")"),"Splitting Up Together ")</f>
        <v xml:space="preserve">Splitting Up Together </v>
      </c>
      <c r="E2653" t="str">
        <f ca="1">IFERROR(__xludf.DUMMYFUNCTION("""COMPUTED_VALUE"""),"TV Series 2018–2019)")</f>
        <v>TV Series 2018–2019)</v>
      </c>
    </row>
    <row r="2654" spans="1:5" ht="13" x14ac:dyDescent="0.15">
      <c r="A2654" s="5" t="s">
        <v>2850</v>
      </c>
      <c r="D2654" t="str">
        <f ca="1">IFERROR(__xludf.DUMMYFUNCTION("split(A2654,""("")"),"SpongeBob SquarePants ")</f>
        <v xml:space="preserve">SpongeBob SquarePants </v>
      </c>
      <c r="E2654" t="str">
        <f ca="1">IFERROR(__xludf.DUMMYFUNCTION("""COMPUTED_VALUE"""),"TV Series 1999– )")</f>
        <v>TV Series 1999– )</v>
      </c>
    </row>
    <row r="2655" spans="1:5" ht="13" x14ac:dyDescent="0.15">
      <c r="A2655" s="5" t="s">
        <v>2851</v>
      </c>
      <c r="D2655" t="str">
        <f ca="1">IFERROR(__xludf.DUMMYFUNCTION("split(A2655,""("")"),"Spooks ")</f>
        <v xml:space="preserve">Spooks </v>
      </c>
      <c r="E2655" t="str">
        <f ca="1">IFERROR(__xludf.DUMMYFUNCTION("""COMPUTED_VALUE"""),"TV Series 2002–2011)")</f>
        <v>TV Series 2002–2011)</v>
      </c>
    </row>
    <row r="2656" spans="1:5" ht="13" x14ac:dyDescent="0.15">
      <c r="A2656" s="5" t="s">
        <v>2852</v>
      </c>
      <c r="D2656" t="str">
        <f ca="1">IFERROR(__xludf.DUMMYFUNCTION("split(A2656,""("")"),"Spotless ")</f>
        <v xml:space="preserve">Spotless </v>
      </c>
      <c r="E2656" t="str">
        <f ca="1">IFERROR(__xludf.DUMMYFUNCTION("""COMPUTED_VALUE"""),"TV Series 2015– )")</f>
        <v>TV Series 2015– )</v>
      </c>
    </row>
    <row r="2657" spans="1:5" ht="13" x14ac:dyDescent="0.15">
      <c r="A2657" s="5" t="s">
        <v>2853</v>
      </c>
      <c r="D2657" t="str">
        <f ca="1">IFERROR(__xludf.DUMMYFUNCTION("split(A2657,""("")"),"Squinters ")</f>
        <v xml:space="preserve">Squinters </v>
      </c>
      <c r="E2657" t="str">
        <f ca="1">IFERROR(__xludf.DUMMYFUNCTION("""COMPUTED_VALUE"""),"TV Series 2018– )")</f>
        <v>TV Series 2018– )</v>
      </c>
    </row>
    <row r="2658" spans="1:5" ht="13" x14ac:dyDescent="0.15">
      <c r="A2658" s="5" t="s">
        <v>2854</v>
      </c>
      <c r="D2658" t="str">
        <f ca="1">IFERROR(__xludf.DUMMYFUNCTION("split(A2658,""("")"),"Squirrel Boy ")</f>
        <v xml:space="preserve">Squirrel Boy </v>
      </c>
      <c r="E2658" t="str">
        <f ca="1">IFERROR(__xludf.DUMMYFUNCTION("""COMPUTED_VALUE"""),"TV Series 2006–2007)")</f>
        <v>TV Series 2006–2007)</v>
      </c>
    </row>
    <row r="2659" spans="1:5" ht="13" x14ac:dyDescent="0.15">
      <c r="A2659" s="5" t="s">
        <v>2855</v>
      </c>
      <c r="D2659" t="str">
        <f ca="1">IFERROR(__xludf.DUMMYFUNCTION("split(A2659,""("")"),"Stan Against Evil ")</f>
        <v xml:space="preserve">Stan Against Evil </v>
      </c>
      <c r="E2659" t="str">
        <f ca="1">IFERROR(__xludf.DUMMYFUNCTION("""COMPUTED_VALUE"""),"TV Series 2016–2018)")</f>
        <v>TV Series 2016–2018)</v>
      </c>
    </row>
    <row r="2660" spans="1:5" ht="13" x14ac:dyDescent="0.15">
      <c r="A2660" s="5" t="s">
        <v>147</v>
      </c>
      <c r="D2660" t="str">
        <f ca="1">IFERROR(__xludf.DUMMYFUNCTION("split(A2660,""("")"),"Stan Lee's Lucky Man ")</f>
        <v xml:space="preserve">Stan Lee's Lucky Man </v>
      </c>
      <c r="E2660" t="str">
        <f ca="1">IFERROR(__xludf.DUMMYFUNCTION("""COMPUTED_VALUE"""),"TV Series 2016– )")</f>
        <v>TV Series 2016– )</v>
      </c>
    </row>
    <row r="2661" spans="1:5" ht="13" x14ac:dyDescent="0.15">
      <c r="A2661" s="5" t="s">
        <v>148</v>
      </c>
      <c r="D2661" t="str">
        <f ca="1">IFERROR(__xludf.DUMMYFUNCTION("split(A2661,""("")"),"Stan Lee's Superhumans ")</f>
        <v xml:space="preserve">Stan Lee's Superhumans </v>
      </c>
      <c r="E2661" t="str">
        <f ca="1">IFERROR(__xludf.DUMMYFUNCTION("""COMPUTED_VALUE"""),"TV Series 2010– )")</f>
        <v>TV Series 2010– )</v>
      </c>
    </row>
    <row r="2662" spans="1:5" ht="13" x14ac:dyDescent="0.15">
      <c r="A2662" s="5" t="s">
        <v>2856</v>
      </c>
      <c r="D2662" t="str">
        <f ca="1">IFERROR(__xludf.DUMMYFUNCTION("split(A2662,""("")"),"Standoff ")</f>
        <v xml:space="preserve">Standoff </v>
      </c>
      <c r="E2662" t="str">
        <f ca="1">IFERROR(__xludf.DUMMYFUNCTION("""COMPUTED_VALUE"""),"TV Series 2006–2007)")</f>
        <v>TV Series 2006–2007)</v>
      </c>
    </row>
    <row r="2663" spans="1:5" ht="13" x14ac:dyDescent="0.15">
      <c r="A2663" s="5" t="s">
        <v>2857</v>
      </c>
      <c r="D2663" t="str">
        <f ca="1">IFERROR(__xludf.DUMMYFUNCTION("split(A2663,""("")"),"Star ")</f>
        <v xml:space="preserve">Star </v>
      </c>
      <c r="E2663" t="str">
        <f ca="1">IFERROR(__xludf.DUMMYFUNCTION("""COMPUTED_VALUE"""),"TV Series 2016–2019)")</f>
        <v>TV Series 2016–2019)</v>
      </c>
    </row>
    <row r="2664" spans="1:5" ht="13" x14ac:dyDescent="0.15">
      <c r="A2664" s="5" t="s">
        <v>388</v>
      </c>
      <c r="D2664" t="str">
        <f ca="1">IFERROR(__xludf.DUMMYFUNCTION("split(A2664,""("")"),"Star Trek: Deep Space Nine ")</f>
        <v xml:space="preserve">Star Trek: Deep Space Nine </v>
      </c>
      <c r="E2664" t="str">
        <f ca="1">IFERROR(__xludf.DUMMYFUNCTION("""COMPUTED_VALUE"""),"TV Series 1993–1999)")</f>
        <v>TV Series 1993–1999)</v>
      </c>
    </row>
    <row r="2665" spans="1:5" ht="13" x14ac:dyDescent="0.15">
      <c r="A2665" s="5" t="s">
        <v>389</v>
      </c>
      <c r="D2665" t="str">
        <f ca="1">IFERROR(__xludf.DUMMYFUNCTION("split(A2665,""("")"),"Star Trek: Enterprise ")</f>
        <v xml:space="preserve">Star Trek: Enterprise </v>
      </c>
      <c r="E2665" t="str">
        <f ca="1">IFERROR(__xludf.DUMMYFUNCTION("""COMPUTED_VALUE"""),"TV Series 2001–2005)")</f>
        <v>TV Series 2001–2005)</v>
      </c>
    </row>
    <row r="2666" spans="1:5" ht="13" x14ac:dyDescent="0.15">
      <c r="A2666" s="5" t="s">
        <v>390</v>
      </c>
      <c r="D2666" t="str">
        <f ca="1">IFERROR(__xludf.DUMMYFUNCTION("split(A2666,""("")"),"Star Trek: The Next Generation ")</f>
        <v xml:space="preserve">Star Trek: The Next Generation </v>
      </c>
      <c r="E2666" t="str">
        <f ca="1">IFERROR(__xludf.DUMMYFUNCTION("""COMPUTED_VALUE"""),"TV Series 1987–1994)")</f>
        <v>TV Series 1987–1994)</v>
      </c>
    </row>
    <row r="2667" spans="1:5" ht="13" x14ac:dyDescent="0.15">
      <c r="A2667" s="5" t="s">
        <v>391</v>
      </c>
      <c r="D2667" t="str">
        <f ca="1">IFERROR(__xludf.DUMMYFUNCTION("split(A2667,""("")"),"Star Trek: Voyager ")</f>
        <v xml:space="preserve">Star Trek: Voyager </v>
      </c>
      <c r="E2667" t="str">
        <f ca="1">IFERROR(__xludf.DUMMYFUNCTION("""COMPUTED_VALUE"""),"TV Series 1995–2001)")</f>
        <v>TV Series 1995–2001)</v>
      </c>
    </row>
    <row r="2668" spans="1:5" ht="13" x14ac:dyDescent="0.15">
      <c r="A2668" s="5" t="s">
        <v>2858</v>
      </c>
      <c r="D2668" t="str">
        <f ca="1">IFERROR(__xludf.DUMMYFUNCTION("split(A2668,""("")"),"Star vs. the Forces of Evil ")</f>
        <v xml:space="preserve">Star vs. the Forces of Evil </v>
      </c>
      <c r="E2668" t="str">
        <f ca="1">IFERROR(__xludf.DUMMYFUNCTION("""COMPUTED_VALUE"""),"TV Series 2015–2019)")</f>
        <v>TV Series 2015–2019)</v>
      </c>
    </row>
    <row r="2669" spans="1:5" ht="13" x14ac:dyDescent="0.15">
      <c r="A2669" s="5" t="s">
        <v>393</v>
      </c>
      <c r="D2669" t="str">
        <f ca="1">IFERROR(__xludf.DUMMYFUNCTION("split(A2669,""("")"),"Star Wars Rebels ")</f>
        <v xml:space="preserve">Star Wars Rebels </v>
      </c>
      <c r="E2669" t="str">
        <f ca="1">IFERROR(__xludf.DUMMYFUNCTION("""COMPUTED_VALUE"""),"TV Series 2014–2018)")</f>
        <v>TV Series 2014–2018)</v>
      </c>
    </row>
    <row r="2670" spans="1:5" ht="13" x14ac:dyDescent="0.15">
      <c r="A2670" s="5" t="s">
        <v>394</v>
      </c>
      <c r="D2670" t="str">
        <f ca="1">IFERROR(__xludf.DUMMYFUNCTION("split(A2670,""("")"),"Star Wars: Clone Wars ")</f>
        <v xml:space="preserve">Star Wars: Clone Wars </v>
      </c>
      <c r="E2670" t="str">
        <f ca="1">IFERROR(__xludf.DUMMYFUNCTION("""COMPUTED_VALUE"""),"TV Series 2003–2005)")</f>
        <v>TV Series 2003–2005)</v>
      </c>
    </row>
    <row r="2671" spans="1:5" ht="13" x14ac:dyDescent="0.15">
      <c r="A2671" s="5" t="s">
        <v>395</v>
      </c>
      <c r="D2671" t="str">
        <f ca="1">IFERROR(__xludf.DUMMYFUNCTION("split(A2671,""("")"),"Star Wars: Droids ")</f>
        <v xml:space="preserve">Star Wars: Droids </v>
      </c>
      <c r="E2671" t="str">
        <f ca="1">IFERROR(__xludf.DUMMYFUNCTION("""COMPUTED_VALUE"""),"TV Series 1985–1986)")</f>
        <v>TV Series 1985–1986)</v>
      </c>
    </row>
    <row r="2672" spans="1:5" ht="13" x14ac:dyDescent="0.15">
      <c r="A2672" s="5" t="s">
        <v>396</v>
      </c>
      <c r="D2672" t="str">
        <f ca="1">IFERROR(__xludf.DUMMYFUNCTION("split(A2672,""("")"),"Star Wars: The Clone Wars ")</f>
        <v xml:space="preserve">Star Wars: The Clone Wars </v>
      </c>
      <c r="E2672" t="str">
        <f ca="1">IFERROR(__xludf.DUMMYFUNCTION("""COMPUTED_VALUE"""),"TV Series 2008–2020)")</f>
        <v>TV Series 2008–2020)</v>
      </c>
    </row>
    <row r="2673" spans="1:5" ht="13" x14ac:dyDescent="0.15">
      <c r="A2673" s="5" t="s">
        <v>680</v>
      </c>
      <c r="D2673" t="str">
        <f ca="1">IFERROR(__xludf.DUMMYFUNCTION("split(A2673,""("")"),"Stargate Origins ")</f>
        <v xml:space="preserve">Stargate Origins </v>
      </c>
      <c r="E2673" t="str">
        <f ca="1">IFERROR(__xludf.DUMMYFUNCTION("""COMPUTED_VALUE"""),"TV Series 2018– )")</f>
        <v>TV Series 2018– )</v>
      </c>
    </row>
    <row r="2674" spans="1:5" ht="13" x14ac:dyDescent="0.15">
      <c r="A2674" s="5" t="s">
        <v>410</v>
      </c>
      <c r="D2674" t="str">
        <f ca="1">IFERROR(__xludf.DUMMYFUNCTION("split(A2674,""("")"),"Stargate SG-1 ")</f>
        <v xml:space="preserve">Stargate SG-1 </v>
      </c>
      <c r="E2674" t="str">
        <f ca="1">IFERROR(__xludf.DUMMYFUNCTION("""COMPUTED_VALUE"""),"TV Series 1997–2007)")</f>
        <v>TV Series 1997–2007)</v>
      </c>
    </row>
    <row r="2675" spans="1:5" ht="13" x14ac:dyDescent="0.15">
      <c r="A2675" s="5" t="s">
        <v>411</v>
      </c>
      <c r="D2675" t="str">
        <f ca="1">IFERROR(__xludf.DUMMYFUNCTION("split(A2675,""("")"),"Stargate Universe ")</f>
        <v xml:space="preserve">Stargate Universe </v>
      </c>
      <c r="E2675" t="str">
        <f ca="1">IFERROR(__xludf.DUMMYFUNCTION("""COMPUTED_VALUE"""),"TV Series 2009–2011)")</f>
        <v>TV Series 2009–2011)</v>
      </c>
    </row>
    <row r="2676" spans="1:5" ht="13" x14ac:dyDescent="0.15">
      <c r="A2676" s="5" t="s">
        <v>412</v>
      </c>
      <c r="D2676" t="str">
        <f ca="1">IFERROR(__xludf.DUMMYFUNCTION("split(A2676,""("")"),"Stargate: Atlantis ")</f>
        <v xml:space="preserve">Stargate: Atlantis </v>
      </c>
      <c r="E2676" t="str">
        <f ca="1">IFERROR(__xludf.DUMMYFUNCTION("""COMPUTED_VALUE"""),"TV Series 2004–2009)")</f>
        <v>TV Series 2004–2009)</v>
      </c>
    </row>
    <row r="2677" spans="1:5" ht="13" x14ac:dyDescent="0.15">
      <c r="A2677" s="5" t="s">
        <v>681</v>
      </c>
      <c r="D2677" t="str">
        <f ca="1">IFERROR(__xludf.DUMMYFUNCTION("split(A2677,""("")"),"Starhunter ")</f>
        <v xml:space="preserve">Starhunter </v>
      </c>
      <c r="E2677" t="str">
        <f ca="1">IFERROR(__xludf.DUMMYFUNCTION("""COMPUTED_VALUE"""),"TV Series 2000–2004)")</f>
        <v>TV Series 2000–2004)</v>
      </c>
    </row>
    <row r="2678" spans="1:5" ht="13" x14ac:dyDescent="0.15">
      <c r="A2678" s="5" t="s">
        <v>2859</v>
      </c>
      <c r="D2678" t="str">
        <f ca="1">IFERROR(__xludf.DUMMYFUNCTION("split(A2678,""("")"),"Starla and the Jewel Riders ")</f>
        <v xml:space="preserve">Starla and the Jewel Riders </v>
      </c>
      <c r="E2678" t="str">
        <f ca="1">IFERROR(__xludf.DUMMYFUNCTION("""COMPUTED_VALUE"""),"TV Series 1995– )")</f>
        <v>TV Series 1995– )</v>
      </c>
    </row>
    <row r="2679" spans="1:5" ht="13" x14ac:dyDescent="0.15">
      <c r="A2679" s="5" t="s">
        <v>2860</v>
      </c>
      <c r="D2679" t="str">
        <f ca="1">IFERROR(__xludf.DUMMYFUNCTION("split(A2679,""("")"),"Starri ASMR ")</f>
        <v xml:space="preserve">Starri ASMR </v>
      </c>
      <c r="E2679" t="str">
        <f ca="1">IFERROR(__xludf.DUMMYFUNCTION("""COMPUTED_VALUE"""),"TV Series 2015– )")</f>
        <v>TV Series 2015– )</v>
      </c>
    </row>
    <row r="2680" spans="1:5" ht="13" x14ac:dyDescent="0.15">
      <c r="A2680" s="5" t="s">
        <v>372</v>
      </c>
      <c r="D2680" t="str">
        <f ca="1">IFERROR(__xludf.DUMMYFUNCTION("split(A2680,""("")"),"Stars Earn Stripes ")</f>
        <v xml:space="preserve">Stars Earn Stripes </v>
      </c>
      <c r="E2680" t="str">
        <f ca="1">IFERROR(__xludf.DUMMYFUNCTION("""COMPUTED_VALUE"""),"TV Series 2012– )")</f>
        <v>TV Series 2012– )</v>
      </c>
    </row>
    <row r="2681" spans="1:5" ht="13" x14ac:dyDescent="0.15">
      <c r="A2681" s="5" t="s">
        <v>2861</v>
      </c>
      <c r="D2681" t="str">
        <f ca="1">IFERROR(__xludf.DUMMYFUNCTION("split(A2681,""("")"),"StartUp ")</f>
        <v xml:space="preserve">StartUp </v>
      </c>
      <c r="E2681" t="str">
        <f ca="1">IFERROR(__xludf.DUMMYFUNCTION("""COMPUTED_VALUE"""),"TV Series 2016– )")</f>
        <v>TV Series 2016– )</v>
      </c>
    </row>
    <row r="2682" spans="1:5" ht="13" x14ac:dyDescent="0.15">
      <c r="A2682" s="5" t="s">
        <v>2862</v>
      </c>
      <c r="D2682" t="str">
        <f ca="1">IFERROR(__xludf.DUMMYFUNCTION("split(A2682,""("")"),"State of the Union ")</f>
        <v xml:space="preserve">State of the Union </v>
      </c>
      <c r="E2682" t="str">
        <f ca="1">IFERROR(__xludf.DUMMYFUNCTION("""COMPUTED_VALUE"""),"TV Series 2019– )")</f>
        <v>TV Series 2019– )</v>
      </c>
    </row>
    <row r="2683" spans="1:5" ht="13" x14ac:dyDescent="0.15">
      <c r="A2683" s="5" t="s">
        <v>2863</v>
      </c>
      <c r="D2683" t="str">
        <f ca="1">IFERROR(__xludf.DUMMYFUNCTION("split(A2683,""("")"),"Static Shock ")</f>
        <v xml:space="preserve">Static Shock </v>
      </c>
      <c r="E2683" t="str">
        <f ca="1">IFERROR(__xludf.DUMMYFUNCTION("""COMPUTED_VALUE"""),"TV Series 2000–2004)")</f>
        <v>TV Series 2000–2004)</v>
      </c>
    </row>
    <row r="2684" spans="1:5" ht="13" x14ac:dyDescent="0.15">
      <c r="A2684" s="5" t="s">
        <v>2864</v>
      </c>
      <c r="D2684" t="str">
        <f ca="1">IFERROR(__xludf.DUMMYFUNCTION("split(A2684,""("")"),"STC: The Falkenhorst Chronicles ")</f>
        <v xml:space="preserve">STC: The Falkenhorst Chronicles </v>
      </c>
      <c r="E2684" t="str">
        <f ca="1">IFERROR(__xludf.DUMMYFUNCTION("""COMPUTED_VALUE"""),"TV Series 2013– )")</f>
        <v>TV Series 2013– )</v>
      </c>
    </row>
    <row r="2685" spans="1:5" ht="13" x14ac:dyDescent="0.15">
      <c r="A2685" s="5" t="s">
        <v>2865</v>
      </c>
      <c r="D2685" t="str">
        <f ca="1">IFERROR(__xludf.DUMMYFUNCTION("split(A2685,""("")"),"Stedfast Baptist Church ")</f>
        <v xml:space="preserve">Stedfast Baptist Church </v>
      </c>
      <c r="E2685" t="str">
        <f ca="1">IFERROR(__xludf.DUMMYFUNCTION("""COMPUTED_VALUE"""),"TV Series 2014– )")</f>
        <v>TV Series 2014– )</v>
      </c>
    </row>
    <row r="2686" spans="1:5" ht="13" x14ac:dyDescent="0.15">
      <c r="A2686" s="5" t="s">
        <v>2866</v>
      </c>
      <c r="D2686" t="str">
        <f ca="1">IFERROR(__xludf.DUMMYFUNCTION("split(A2686,""("")"),"Steins;Gate ")</f>
        <v xml:space="preserve">Steins;Gate </v>
      </c>
      <c r="E2686" t="str">
        <f ca="1">IFERROR(__xludf.DUMMYFUNCTION("""COMPUTED_VALUE"""),"TV Series 2011–2015)")</f>
        <v>TV Series 2011–2015)</v>
      </c>
    </row>
    <row r="2687" spans="1:5" ht="13" x14ac:dyDescent="0.15">
      <c r="A2687" s="5" t="s">
        <v>2867</v>
      </c>
      <c r="D2687" t="str">
        <f ca="1">IFERROR(__xludf.DUMMYFUNCTION("split(A2687,""("")"),"Stejk ")</f>
        <v xml:space="preserve">Stejk </v>
      </c>
      <c r="E2687" t="str">
        <f ca="1">IFERROR(__xludf.DUMMYFUNCTION("""COMPUTED_VALUE"""),"TV Series 2012– )")</f>
        <v>TV Series 2012– )</v>
      </c>
    </row>
    <row r="2688" spans="1:5" ht="13" x14ac:dyDescent="0.15">
      <c r="A2688" s="5" t="s">
        <v>2868</v>
      </c>
      <c r="D2688" t="str">
        <f ca="1">IFERROR(__xludf.DUMMYFUNCTION("split(A2688,""("")"),"Stella ")</f>
        <v xml:space="preserve">Stella </v>
      </c>
      <c r="E2688" t="str">
        <f ca="1">IFERROR(__xludf.DUMMYFUNCTION("""COMPUTED_VALUE"""),"TV Series 2005)")</f>
        <v>TV Series 2005)</v>
      </c>
    </row>
    <row r="2689" spans="1:5" ht="13" x14ac:dyDescent="0.15">
      <c r="A2689" s="5" t="s">
        <v>2869</v>
      </c>
      <c r="D2689" t="str">
        <f ca="1">IFERROR(__xludf.DUMMYFUNCTION("split(A2689,""("")"),"Stella and Sam ")</f>
        <v xml:space="preserve">Stella and Sam </v>
      </c>
      <c r="E2689" t="str">
        <f ca="1">IFERROR(__xludf.DUMMYFUNCTION("""COMPUTED_VALUE"""),"TV Series 2011– )")</f>
        <v>TV Series 2011– )</v>
      </c>
    </row>
    <row r="2690" spans="1:5" ht="13" x14ac:dyDescent="0.15">
      <c r="A2690" s="5" t="s">
        <v>2870</v>
      </c>
      <c r="D2690" t="str">
        <f ca="1">IFERROR(__xludf.DUMMYFUNCTION("split(A2690,""("")"),"Stella Blómkvist ")</f>
        <v xml:space="preserve">Stella Blómkvist </v>
      </c>
      <c r="E2690" t="str">
        <f ca="1">IFERROR(__xludf.DUMMYFUNCTION("""COMPUTED_VALUE"""),"TV Series 2017– )")</f>
        <v>TV Series 2017– )</v>
      </c>
    </row>
    <row r="2691" spans="1:5" ht="13" x14ac:dyDescent="0.15">
      <c r="A2691" s="5" t="s">
        <v>2871</v>
      </c>
      <c r="D2691" t="str">
        <f ca="1">IFERROR(__xludf.DUMMYFUNCTION("split(A2691,""("")"),"Stellar Firma ")</f>
        <v xml:space="preserve">Stellar Firma </v>
      </c>
      <c r="E2691" t="str">
        <f ca="1">IFERROR(__xludf.DUMMYFUNCTION("""COMPUTED_VALUE"""),"TV Series 2019– )")</f>
        <v>TV Series 2019– )</v>
      </c>
    </row>
    <row r="2692" spans="1:5" ht="13" x14ac:dyDescent="0.15">
      <c r="A2692" s="5" t="s">
        <v>2872</v>
      </c>
      <c r="D2692" t="str">
        <f ca="1">IFERROR(__xludf.DUMMYFUNCTION("split(A2692,""("")"),"Stellenbosch ")</f>
        <v xml:space="preserve">Stellenbosch </v>
      </c>
      <c r="E2692" t="str">
        <f ca="1">IFERROR(__xludf.DUMMYFUNCTION("""COMPUTED_VALUE"""),"TV Series 2007– )")</f>
        <v>TV Series 2007– )</v>
      </c>
    </row>
    <row r="2693" spans="1:5" ht="13" x14ac:dyDescent="0.15">
      <c r="A2693" s="5" t="s">
        <v>2873</v>
      </c>
      <c r="D2693" t="str">
        <f ca="1">IFERROR(__xludf.DUMMYFUNCTION("split(A2693,""("")"),"Step by Step ")</f>
        <v xml:space="preserve">Step by Step </v>
      </c>
      <c r="E2693" t="str">
        <f ca="1">IFERROR(__xludf.DUMMYFUNCTION("""COMPUTED_VALUE"""),"TV Series 1991–1998)")</f>
        <v>TV Series 1991–1998)</v>
      </c>
    </row>
    <row r="2694" spans="1:5" ht="13" x14ac:dyDescent="0.15">
      <c r="A2694" s="5" t="s">
        <v>232</v>
      </c>
      <c r="D2694" t="str">
        <f ca="1">IFERROR(__xludf.DUMMYFUNCTION("split(A2694,""("")"),"Steve Harvey's Funderdome ")</f>
        <v xml:space="preserve">Steve Harvey's Funderdome </v>
      </c>
      <c r="E2694" t="str">
        <f ca="1">IFERROR(__xludf.DUMMYFUNCTION("""COMPUTED_VALUE"""),"TV Series 2017– )")</f>
        <v>TV Series 2017– )</v>
      </c>
    </row>
    <row r="2695" spans="1:5" ht="13" x14ac:dyDescent="0.15">
      <c r="A2695" s="5" t="s">
        <v>2874</v>
      </c>
      <c r="D2695" t="str">
        <f ca="1">IFERROR(__xludf.DUMMYFUNCTION("split(A2695,""("")"),"Steven Seagal: Lawman ")</f>
        <v xml:space="preserve">Steven Seagal: Lawman </v>
      </c>
      <c r="E2695" t="str">
        <f ca="1">IFERROR(__xludf.DUMMYFUNCTION("""COMPUTED_VALUE"""),"TV Series 2009– )")</f>
        <v>TV Series 2009– )</v>
      </c>
    </row>
    <row r="2696" spans="1:5" ht="13" x14ac:dyDescent="0.15">
      <c r="A2696" s="5" t="s">
        <v>2875</v>
      </c>
      <c r="D2696" t="str">
        <f ca="1">IFERROR(__xludf.DUMMYFUNCTION("split(A2696,""("")"),"Steven Universe ")</f>
        <v xml:space="preserve">Steven Universe </v>
      </c>
      <c r="E2696" t="str">
        <f ca="1">IFERROR(__xludf.DUMMYFUNCTION("""COMPUTED_VALUE"""),"TV Series 2013– )")</f>
        <v>TV Series 2013– )</v>
      </c>
    </row>
    <row r="2697" spans="1:5" ht="13" x14ac:dyDescent="0.15">
      <c r="A2697" s="5" t="s">
        <v>2876</v>
      </c>
      <c r="D2697" t="str">
        <f ca="1">IFERROR(__xludf.DUMMYFUNCTION("split(A2697,""("")"),"Stevie and Zoya ")</f>
        <v xml:space="preserve">Stevie and Zoya </v>
      </c>
      <c r="E2697" t="str">
        <f ca="1">IFERROR(__xludf.DUMMYFUNCTION("""COMPUTED_VALUE"""),"TV Series 1987–1989)")</f>
        <v>TV Series 1987–1989)</v>
      </c>
    </row>
    <row r="2698" spans="1:5" ht="13" x14ac:dyDescent="0.15">
      <c r="A2698" s="5" t="s">
        <v>2877</v>
      </c>
      <c r="D2698" t="str">
        <f ca="1">IFERROR(__xludf.DUMMYFUNCTION("split(A2698,""("")"),"Still Open All Hours ")</f>
        <v xml:space="preserve">Still Open All Hours </v>
      </c>
      <c r="E2698" t="str">
        <f ca="1">IFERROR(__xludf.DUMMYFUNCTION("""COMPUTED_VALUE"""),"TV Series 2013– )")</f>
        <v>TV Series 2013– )</v>
      </c>
    </row>
    <row r="2699" spans="1:5" ht="13" x14ac:dyDescent="0.15">
      <c r="A2699" s="5" t="s">
        <v>2878</v>
      </c>
      <c r="D2699" t="str">
        <f ca="1">IFERROR(__xludf.DUMMYFUNCTION("split(A2699,""("")"),"Still Standing ")</f>
        <v xml:space="preserve">Still Standing </v>
      </c>
      <c r="E2699" t="str">
        <f ca="1">IFERROR(__xludf.DUMMYFUNCTION("""COMPUTED_VALUE"""),"TV Series 2002–2006)")</f>
        <v>TV Series 2002–2006)</v>
      </c>
    </row>
    <row r="2700" spans="1:5" ht="13" x14ac:dyDescent="0.15">
      <c r="A2700" s="5" t="s">
        <v>2879</v>
      </c>
      <c r="D2700" t="str">
        <f ca="1">IFERROR(__xludf.DUMMYFUNCTION("split(A2700,""("")"),"Stokes Twins ")</f>
        <v xml:space="preserve">Stokes Twins </v>
      </c>
      <c r="E2700" t="str">
        <f ca="1">IFERROR(__xludf.DUMMYFUNCTION("""COMPUTED_VALUE"""),"TV Series 2017– )")</f>
        <v>TV Series 2017– )</v>
      </c>
    </row>
    <row r="2701" spans="1:5" ht="13" x14ac:dyDescent="0.15">
      <c r="A2701" s="5" t="s">
        <v>2880</v>
      </c>
      <c r="D2701" t="str">
        <f ca="1">IFERROR(__xludf.DUMMYFUNCTION("split(A2701,""("")"),"Storage Hunters ")</f>
        <v xml:space="preserve">Storage Hunters </v>
      </c>
      <c r="E2701" t="str">
        <f ca="1">IFERROR(__xludf.DUMMYFUNCTION("""COMPUTED_VALUE"""),"TV Series 2011– )")</f>
        <v>TV Series 2011– )</v>
      </c>
    </row>
    <row r="2702" spans="1:5" ht="13" x14ac:dyDescent="0.15">
      <c r="A2702" s="5" t="s">
        <v>638</v>
      </c>
      <c r="D2702" t="str">
        <f ca="1">IFERROR(__xludf.DUMMYFUNCTION("split(A2702,""("")"),"Storage Hunters UK ")</f>
        <v xml:space="preserve">Storage Hunters UK </v>
      </c>
      <c r="E2702" t="str">
        <f ca="1">IFERROR(__xludf.DUMMYFUNCTION("""COMPUTED_VALUE"""),"TV Series 2014– )")</f>
        <v>TV Series 2014– )</v>
      </c>
    </row>
    <row r="2703" spans="1:5" ht="13" x14ac:dyDescent="0.15">
      <c r="A2703" s="5" t="s">
        <v>2881</v>
      </c>
      <c r="D2703" t="str">
        <f ca="1">IFERROR(__xludf.DUMMYFUNCTION("split(A2703,""("")"),"Storage Wars ")</f>
        <v xml:space="preserve">Storage Wars </v>
      </c>
      <c r="E2703" t="str">
        <f ca="1">IFERROR(__xludf.DUMMYFUNCTION("""COMPUTED_VALUE"""),"TV Series 2010– )")</f>
        <v>TV Series 2010– )</v>
      </c>
    </row>
    <row r="2704" spans="1:5" ht="13" x14ac:dyDescent="0.15">
      <c r="A2704" s="5" t="s">
        <v>2882</v>
      </c>
      <c r="D2704" t="str">
        <f ca="1">IFERROR(__xludf.DUMMYFUNCTION("split(A2704,""("")"),"Storm Chasers ")</f>
        <v xml:space="preserve">Storm Chasers </v>
      </c>
      <c r="E2704" t="str">
        <f ca="1">IFERROR(__xludf.DUMMYFUNCTION("""COMPUTED_VALUE"""),"TV Series 2007– )")</f>
        <v>TV Series 2007– )</v>
      </c>
    </row>
    <row r="2705" spans="1:5" ht="13" x14ac:dyDescent="0.15">
      <c r="A2705" s="5" t="s">
        <v>2883</v>
      </c>
      <c r="D2705" t="str">
        <f ca="1">IFERROR(__xludf.DUMMYFUNCTION("split(A2705,""("")"),"Strange Angel ")</f>
        <v xml:space="preserve">Strange Angel </v>
      </c>
      <c r="E2705" t="str">
        <f ca="1">IFERROR(__xludf.DUMMYFUNCTION("""COMPUTED_VALUE"""),"TV Series 2018– )")</f>
        <v>TV Series 2018– )</v>
      </c>
    </row>
    <row r="2706" spans="1:5" ht="13" x14ac:dyDescent="0.15">
      <c r="A2706" s="5" t="s">
        <v>2884</v>
      </c>
      <c r="D2706" t="str">
        <f ca="1">IFERROR(__xludf.DUMMYFUNCTION("split(A2706,""("")"),"Strange Love ")</f>
        <v xml:space="preserve">Strange Love </v>
      </c>
      <c r="E2706" t="str">
        <f ca="1">IFERROR(__xludf.DUMMYFUNCTION("""COMPUTED_VALUE"""),"TV Series 2005– )")</f>
        <v>TV Series 2005– )</v>
      </c>
    </row>
    <row r="2707" spans="1:5" ht="13" x14ac:dyDescent="0.15">
      <c r="A2707" s="5" t="s">
        <v>2885</v>
      </c>
      <c r="D2707" t="str">
        <f ca="1">IFERROR(__xludf.DUMMYFUNCTION("split(A2707,""("")"),"Strange World ")</f>
        <v xml:space="preserve">Strange World </v>
      </c>
      <c r="E2707" t="str">
        <f ca="1">IFERROR(__xludf.DUMMYFUNCTION("""COMPUTED_VALUE"""),"TV Series 1999–2002)")</f>
        <v>TV Series 1999–2002)</v>
      </c>
    </row>
    <row r="2708" spans="1:5" ht="13" x14ac:dyDescent="0.15">
      <c r="A2708" s="5" t="s">
        <v>253</v>
      </c>
      <c r="D2708" t="str">
        <f ca="1">IFERROR(__xludf.DUMMYFUNCTION("split(A2708,""("")"),"Stranger Things ")</f>
        <v xml:space="preserve">Stranger Things </v>
      </c>
      <c r="E2708" t="str">
        <f ca="1">IFERROR(__xludf.DUMMYFUNCTION("""COMPUTED_VALUE"""),"TV Series 2016– )")</f>
        <v>TV Series 2016– )</v>
      </c>
    </row>
    <row r="2709" spans="1:5" ht="13" x14ac:dyDescent="0.15">
      <c r="A2709" s="5" t="s">
        <v>2886</v>
      </c>
      <c r="D2709" t="str">
        <f ca="1">IFERROR(__xludf.DUMMYFUNCTION("split(A2709,""("")"),"Strangers ")</f>
        <v xml:space="preserve">Strangers </v>
      </c>
      <c r="E2709" t="str">
        <f ca="1">IFERROR(__xludf.DUMMYFUNCTION("""COMPUTED_VALUE"""),"TV Series 1996– )")</f>
        <v>TV Series 1996– )</v>
      </c>
    </row>
    <row r="2710" spans="1:5" ht="13" x14ac:dyDescent="0.15">
      <c r="A2710" s="5" t="s">
        <v>682</v>
      </c>
      <c r="D2710" t="str">
        <f ca="1">IFERROR(__xludf.DUMMYFUNCTION("split(A2710,""("")"),"Strangers ")</f>
        <v xml:space="preserve">Strangers </v>
      </c>
      <c r="E2710" t="str">
        <f ca="1">IFERROR(__xludf.DUMMYFUNCTION("""COMPUTED_VALUE"""),"TV Series 2018– )")</f>
        <v>TV Series 2018– )</v>
      </c>
    </row>
    <row r="2711" spans="1:5" ht="13" x14ac:dyDescent="0.15">
      <c r="A2711" s="5" t="s">
        <v>2887</v>
      </c>
      <c r="D2711" t="str">
        <f ca="1">IFERROR(__xludf.DUMMYFUNCTION("split(A2711,""("")"),"Strangers with Candy ")</f>
        <v xml:space="preserve">Strangers with Candy </v>
      </c>
      <c r="E2711" t="str">
        <f ca="1">IFERROR(__xludf.DUMMYFUNCTION("""COMPUTED_VALUE"""),"TV Series 1999–2000)")</f>
        <v>TV Series 1999–2000)</v>
      </c>
    </row>
    <row r="2712" spans="1:5" ht="13" x14ac:dyDescent="0.15">
      <c r="A2712" s="5" t="s">
        <v>2888</v>
      </c>
      <c r="D2712" t="str">
        <f ca="1">IFERROR(__xludf.DUMMYFUNCTION("split(A2712,""("")"),"Strawberry Night Saga ")</f>
        <v xml:space="preserve">Strawberry Night Saga </v>
      </c>
      <c r="E2712" t="str">
        <f ca="1">IFERROR(__xludf.DUMMYFUNCTION("""COMPUTED_VALUE"""),"TV Series 2019– )")</f>
        <v>TV Series 2019– )</v>
      </c>
    </row>
    <row r="2713" spans="1:5" ht="13" x14ac:dyDescent="0.15">
      <c r="A2713" s="5" t="s">
        <v>2889</v>
      </c>
      <c r="D2713" t="str">
        <f ca="1">IFERROR(__xludf.DUMMYFUNCTION("split(A2713,""("")"),"Street Hawk ")</f>
        <v xml:space="preserve">Street Hawk </v>
      </c>
      <c r="E2713" t="str">
        <f ca="1">IFERROR(__xludf.DUMMYFUNCTION("""COMPUTED_VALUE"""),"TV Series 1985)")</f>
        <v>TV Series 1985)</v>
      </c>
    </row>
    <row r="2714" spans="1:5" ht="13" x14ac:dyDescent="0.15">
      <c r="A2714" s="5" t="s">
        <v>2890</v>
      </c>
      <c r="D2714" t="str">
        <f ca="1">IFERROR(__xludf.DUMMYFUNCTION("split(A2714,""("")"),"Stretch Armstrong &amp; the Flex Fighters ")</f>
        <v xml:space="preserve">Stretch Armstrong &amp; the Flex Fighters </v>
      </c>
      <c r="E2714" t="str">
        <f ca="1">IFERROR(__xludf.DUMMYFUNCTION("""COMPUTED_VALUE"""),"TV Series 2017– )")</f>
        <v>TV Series 2017– )</v>
      </c>
    </row>
    <row r="2715" spans="1:5" ht="13" x14ac:dyDescent="0.15">
      <c r="A2715" s="5" t="s">
        <v>2891</v>
      </c>
      <c r="D2715" t="str">
        <f ca="1">IFERROR(__xludf.DUMMYFUNCTION("split(A2715,""("")"),"Strictly Confidential ")</f>
        <v xml:space="preserve">Strictly Confidential </v>
      </c>
      <c r="E2715" t="str">
        <f ca="1">IFERROR(__xludf.DUMMYFUNCTION("""COMPUTED_VALUE"""),"TV Series 2006– )")</f>
        <v>TV Series 2006– )</v>
      </c>
    </row>
    <row r="2716" spans="1:5" ht="13" x14ac:dyDescent="0.15">
      <c r="A2716" s="5" t="s">
        <v>2892</v>
      </c>
      <c r="D2716" t="str">
        <f ca="1">IFERROR(__xludf.DUMMYFUNCTION("split(A2716,""("")"),"Strike Back ")</f>
        <v xml:space="preserve">Strike Back </v>
      </c>
      <c r="E2716" t="str">
        <f ca="1">IFERROR(__xludf.DUMMYFUNCTION("""COMPUTED_VALUE"""),"TV Series 2010– )")</f>
        <v>TV Series 2010– )</v>
      </c>
    </row>
    <row r="2717" spans="1:5" ht="13" x14ac:dyDescent="0.15">
      <c r="A2717" s="5" t="s">
        <v>2893</v>
      </c>
      <c r="D2717" t="str">
        <f ca="1">IFERROR(__xludf.DUMMYFUNCTION("split(A2717,""("")"),"Stripperella ")</f>
        <v xml:space="preserve">Stripperella </v>
      </c>
      <c r="E2717" t="str">
        <f ca="1">IFERROR(__xludf.DUMMYFUNCTION("""COMPUTED_VALUE"""),"TV Series 2003–2004)")</f>
        <v>TV Series 2003–2004)</v>
      </c>
    </row>
    <row r="2718" spans="1:5" ht="13" x14ac:dyDescent="0.15">
      <c r="A2718" s="5" t="s">
        <v>2894</v>
      </c>
      <c r="D2718" t="str">
        <f ca="1">IFERROR(__xludf.DUMMYFUNCTION("split(A2718,""("")"),"Stroker and Hoop ")</f>
        <v xml:space="preserve">Stroker and Hoop </v>
      </c>
      <c r="E2718" t="str">
        <f ca="1">IFERROR(__xludf.DUMMYFUNCTION("""COMPUTED_VALUE"""),"TV Series 2004–2005)")</f>
        <v>TV Series 2004–2005)</v>
      </c>
    </row>
    <row r="2719" spans="1:5" ht="13" x14ac:dyDescent="0.15">
      <c r="A2719" s="5" t="s">
        <v>2895</v>
      </c>
      <c r="D2719" t="str">
        <f ca="1">IFERROR(__xludf.DUMMYFUNCTION("split(A2719,""("")"),"Student Abroad ")</f>
        <v xml:space="preserve">Student Abroad </v>
      </c>
      <c r="E2719" t="str">
        <f ca="1">IFERROR(__xludf.DUMMYFUNCTION("""COMPUTED_VALUE"""),"TV Series 2005–2006)")</f>
        <v>TV Series 2005–2006)</v>
      </c>
    </row>
    <row r="2720" spans="1:5" ht="13" x14ac:dyDescent="0.15">
      <c r="A2720" s="5" t="s">
        <v>2896</v>
      </c>
      <c r="D2720" t="str">
        <f ca="1">IFERROR(__xludf.DUMMYFUNCTION("split(A2720,""("")"),"Stupidface ")</f>
        <v xml:space="preserve">Stupidface </v>
      </c>
      <c r="E2720" t="str">
        <f ca="1">IFERROR(__xludf.DUMMYFUNCTION("""COMPUTED_VALUE"""),"TV Series 2007– )")</f>
        <v>TV Series 2007– )</v>
      </c>
    </row>
    <row r="2721" spans="1:5" ht="13" x14ac:dyDescent="0.15">
      <c r="A2721" s="5" t="s">
        <v>2897</v>
      </c>
      <c r="D2721" t="str">
        <f ca="1">IFERROR(__xludf.DUMMYFUNCTION("split(A2721,""("")"),"Submission ")</f>
        <v xml:space="preserve">Submission </v>
      </c>
      <c r="E2721" t="str">
        <f ca="1">IFERROR(__xludf.DUMMYFUNCTION("""COMPUTED_VALUE"""),"TV Series 2016– )")</f>
        <v>TV Series 2016– )</v>
      </c>
    </row>
    <row r="2722" spans="1:5" ht="13" x14ac:dyDescent="0.15">
      <c r="A2722" s="5" t="s">
        <v>2898</v>
      </c>
      <c r="D2722" t="str">
        <f ca="1">IFERROR(__xludf.DUMMYFUNCTION("split(A2722,""("")"),"Succession ")</f>
        <v xml:space="preserve">Succession </v>
      </c>
      <c r="E2722" t="str">
        <f ca="1">IFERROR(__xludf.DUMMYFUNCTION("""COMPUTED_VALUE"""),"TV Series 2018– )")</f>
        <v>TV Series 2018– )</v>
      </c>
    </row>
    <row r="2723" spans="1:5" ht="13" x14ac:dyDescent="0.15">
      <c r="A2723" s="5" t="s">
        <v>2899</v>
      </c>
      <c r="D2723" t="str">
        <f ca="1">IFERROR(__xludf.DUMMYFUNCTION("split(A2723,""("")"),"Sugar Rush ")</f>
        <v xml:space="preserve">Sugar Rush </v>
      </c>
      <c r="E2723" t="str">
        <f ca="1">IFERROR(__xludf.DUMMYFUNCTION("""COMPUTED_VALUE"""),"TV Series 2005–2006)")</f>
        <v>TV Series 2005–2006)</v>
      </c>
    </row>
    <row r="2724" spans="1:5" ht="13" x14ac:dyDescent="0.15">
      <c r="A2724" s="5" t="s">
        <v>2900</v>
      </c>
      <c r="D2724" t="str">
        <f ca="1">IFERROR(__xludf.DUMMYFUNCTION("split(A2724,""("")"),"Suits ")</f>
        <v xml:space="preserve">Suits </v>
      </c>
      <c r="E2724" t="str">
        <f ca="1">IFERROR(__xludf.DUMMYFUNCTION("""COMPUTED_VALUE"""),"TV Series 2011– )")</f>
        <v>TV Series 2011– )</v>
      </c>
    </row>
    <row r="2725" spans="1:5" ht="13" x14ac:dyDescent="0.15">
      <c r="A2725" s="5" t="s">
        <v>2901</v>
      </c>
      <c r="D2725" t="str">
        <f ca="1">IFERROR(__xludf.DUMMYFUNCTION("split(A2725,""("")"),"Summer Camp Island ")</f>
        <v xml:space="preserve">Summer Camp Island </v>
      </c>
      <c r="E2725" t="str">
        <f ca="1">IFERROR(__xludf.DUMMYFUNCTION("""COMPUTED_VALUE"""),"TV Series 2018– )")</f>
        <v>TV Series 2018– )</v>
      </c>
    </row>
    <row r="2726" spans="1:5" ht="13" x14ac:dyDescent="0.15">
      <c r="A2726" s="5" t="s">
        <v>2902</v>
      </c>
      <c r="D2726" t="str">
        <f ca="1">IFERROR(__xludf.DUMMYFUNCTION("split(A2726,""("")"),"Summer House ")</f>
        <v xml:space="preserve">Summer House </v>
      </c>
      <c r="E2726" t="str">
        <f ca="1">IFERROR(__xludf.DUMMYFUNCTION("""COMPUTED_VALUE"""),"TV Series 2017– )")</f>
        <v>TV Series 2017– )</v>
      </c>
    </row>
    <row r="2727" spans="1:5" ht="13" x14ac:dyDescent="0.15">
      <c r="A2727" s="5" t="s">
        <v>2903</v>
      </c>
      <c r="D2727" t="str">
        <f ca="1">IFERROR(__xludf.DUMMYFUNCTION("split(A2727,""("")"),"Sungkyunkwan Scandal ")</f>
        <v xml:space="preserve">Sungkyunkwan Scandal </v>
      </c>
      <c r="E2727" t="str">
        <f ca="1">IFERROR(__xludf.DUMMYFUNCTION("""COMPUTED_VALUE"""),"TV Series 2010– )")</f>
        <v>TV Series 2010– )</v>
      </c>
    </row>
    <row r="2728" spans="1:5" ht="13" x14ac:dyDescent="0.15">
      <c r="A2728" s="5" t="s">
        <v>2904</v>
      </c>
      <c r="D2728" t="str">
        <f ca="1">IFERROR(__xludf.DUMMYFUNCTION("split(A2728,""("")"),"Sunset Beach ")</f>
        <v xml:space="preserve">Sunset Beach </v>
      </c>
      <c r="E2728" t="str">
        <f ca="1">IFERROR(__xludf.DUMMYFUNCTION("""COMPUTED_VALUE"""),"TV Series 1997–1999)")</f>
        <v>TV Series 1997–1999)</v>
      </c>
    </row>
    <row r="2729" spans="1:5" ht="13" x14ac:dyDescent="0.15">
      <c r="A2729" s="5" t="s">
        <v>2905</v>
      </c>
      <c r="D2729" t="str">
        <f ca="1">IFERROR(__xludf.DUMMYFUNCTION("split(A2729,""("")"),"Super Dave ")</f>
        <v xml:space="preserve">Super Dave </v>
      </c>
      <c r="E2729" t="str">
        <f ca="1">IFERROR(__xludf.DUMMYFUNCTION("""COMPUTED_VALUE"""),"TV Series 1987–1999)")</f>
        <v>TV Series 1987–1999)</v>
      </c>
    </row>
    <row r="2730" spans="1:5" ht="13" x14ac:dyDescent="0.15">
      <c r="A2730" s="5" t="s">
        <v>2906</v>
      </c>
      <c r="D2730" t="str">
        <f ca="1">IFERROR(__xludf.DUMMYFUNCTION("split(A2730,""("")"),"Super Dimensional Fortress Macross ")</f>
        <v xml:space="preserve">Super Dimensional Fortress Macross </v>
      </c>
      <c r="E2730" t="str">
        <f ca="1">IFERROR(__xludf.DUMMYFUNCTION("""COMPUTED_VALUE"""),"TV Series 1982–1995)")</f>
        <v>TV Series 1982–1995)</v>
      </c>
    </row>
    <row r="2731" spans="1:5" ht="13" x14ac:dyDescent="0.15">
      <c r="A2731" s="5" t="s">
        <v>2907</v>
      </c>
      <c r="D2731" t="str">
        <f ca="1">IFERROR(__xludf.DUMMYFUNCTION("split(A2731,""("")"),"Super Girl ")</f>
        <v xml:space="preserve">Super Girl </v>
      </c>
      <c r="E2731" t="str">
        <f ca="1">IFERROR(__xludf.DUMMYFUNCTION("""COMPUTED_VALUE"""),"TV Series 2011– )")</f>
        <v>TV Series 2011– )</v>
      </c>
    </row>
    <row r="2732" spans="1:5" ht="13" x14ac:dyDescent="0.15">
      <c r="A2732" s="5" t="s">
        <v>2908</v>
      </c>
      <c r="D2732" t="str">
        <f ca="1">IFERROR(__xludf.DUMMYFUNCTION("split(A2732,""("")"),"Super Mario World ")</f>
        <v xml:space="preserve">Super Mario World </v>
      </c>
      <c r="E2732" t="str">
        <f ca="1">IFERROR(__xludf.DUMMYFUNCTION("""COMPUTED_VALUE"""),"TV Series 1991)")</f>
        <v>TV Series 1991)</v>
      </c>
    </row>
    <row r="2733" spans="1:5" ht="13" x14ac:dyDescent="0.15">
      <c r="A2733" s="5" t="s">
        <v>2909</v>
      </c>
      <c r="D2733" t="str">
        <f ca="1">IFERROR(__xludf.DUMMYFUNCTION("split(A2733,""("")"),"Supergirl ")</f>
        <v xml:space="preserve">Supergirl </v>
      </c>
      <c r="E2733" t="str">
        <f ca="1">IFERROR(__xludf.DUMMYFUNCTION("""COMPUTED_VALUE"""),"TV Series 2015– )")</f>
        <v>TV Series 2015– )</v>
      </c>
    </row>
    <row r="2734" spans="1:5" ht="13" x14ac:dyDescent="0.15">
      <c r="A2734" s="5" t="s">
        <v>2910</v>
      </c>
      <c r="D2734" t="str">
        <f ca="1">IFERROR(__xludf.DUMMYFUNCTION("split(A2734,""("")"),"Superior Donuts ")</f>
        <v xml:space="preserve">Superior Donuts </v>
      </c>
      <c r="E2734" t="str">
        <f ca="1">IFERROR(__xludf.DUMMYFUNCTION("""COMPUTED_VALUE"""),"TV Series 2017–2018)")</f>
        <v>TV Series 2017–2018)</v>
      </c>
    </row>
    <row r="2735" spans="1:5" ht="13" x14ac:dyDescent="0.15">
      <c r="A2735" s="5" t="s">
        <v>2911</v>
      </c>
      <c r="D2735" t="str">
        <f ca="1">IFERROR(__xludf.DUMMYFUNCTION("split(A2735,""("")"),"Superjail! ")</f>
        <v xml:space="preserve">Superjail! </v>
      </c>
      <c r="E2735" t="str">
        <f ca="1">IFERROR(__xludf.DUMMYFUNCTION("""COMPUTED_VALUE"""),"TV Series 2007–2014)")</f>
        <v>TV Series 2007–2014)</v>
      </c>
    </row>
    <row r="2736" spans="1:5" ht="13" x14ac:dyDescent="0.15">
      <c r="A2736" s="5" t="s">
        <v>78</v>
      </c>
      <c r="D2736" t="str">
        <f ca="1">IFERROR(__xludf.DUMMYFUNCTION("split(A2736,""("")"),"Superman: Red Son ")</f>
        <v xml:space="preserve">Superman: Red Son </v>
      </c>
      <c r="E2736" t="str">
        <f ca="1">IFERROR(__xludf.DUMMYFUNCTION("""COMPUTED_VALUE"""),"TV Series 2009– )")</f>
        <v>TV Series 2009– )</v>
      </c>
    </row>
    <row r="2737" spans="1:5" ht="13" x14ac:dyDescent="0.15">
      <c r="A2737" s="5" t="s">
        <v>79</v>
      </c>
      <c r="D2737" t="str">
        <f ca="1">IFERROR(__xludf.DUMMYFUNCTION("split(A2737,""("")"),"Superman: The Animated Series ")</f>
        <v xml:space="preserve">Superman: The Animated Series </v>
      </c>
      <c r="E2737" t="str">
        <f ca="1">IFERROR(__xludf.DUMMYFUNCTION("""COMPUTED_VALUE"""),"TV Series 1996–2000)")</f>
        <v>TV Series 1996–2000)</v>
      </c>
    </row>
    <row r="2738" spans="1:5" ht="13" x14ac:dyDescent="0.15">
      <c r="A2738" s="5" t="s">
        <v>2912</v>
      </c>
      <c r="D2738" t="str">
        <f ca="1">IFERROR(__xludf.DUMMYFUNCTION("split(A2738,""("")"),"Supermarket Sweep ")</f>
        <v xml:space="preserve">Supermarket Sweep </v>
      </c>
      <c r="E2738" t="str">
        <f ca="1">IFERROR(__xludf.DUMMYFUNCTION("""COMPUTED_VALUE"""),"TV Series 2019– )")</f>
        <v>TV Series 2019– )</v>
      </c>
    </row>
    <row r="2739" spans="1:5" ht="13" x14ac:dyDescent="0.15">
      <c r="A2739" s="5" t="s">
        <v>2913</v>
      </c>
      <c r="D2739" t="str">
        <f ca="1">IFERROR(__xludf.DUMMYFUNCTION("split(A2739,""("")"),"Supermax ")</f>
        <v xml:space="preserve">Supermax </v>
      </c>
      <c r="E2739" t="str">
        <f ca="1">IFERROR(__xludf.DUMMYFUNCTION("""COMPUTED_VALUE"""),"TV Series 2016– )")</f>
        <v>TV Series 2016– )</v>
      </c>
    </row>
    <row r="2740" spans="1:5" ht="13" x14ac:dyDescent="0.15">
      <c r="A2740" s="5" t="s">
        <v>2914</v>
      </c>
      <c r="D2740" t="str">
        <f ca="1">IFERROR(__xludf.DUMMYFUNCTION("split(A2740,""("")"),"Supernanny ")</f>
        <v xml:space="preserve">Supernanny </v>
      </c>
      <c r="E2740" t="str">
        <f ca="1">IFERROR(__xludf.DUMMYFUNCTION("""COMPUTED_VALUE"""),"TV Series 2005–2012)")</f>
        <v>TV Series 2005–2012)</v>
      </c>
    </row>
    <row r="2741" spans="1:5" ht="13" x14ac:dyDescent="0.15">
      <c r="A2741" s="5" t="s">
        <v>2915</v>
      </c>
      <c r="D2741" t="str">
        <f ca="1">IFERROR(__xludf.DUMMYFUNCTION("split(A2741,""("")"),"Supernatural ")</f>
        <v xml:space="preserve">Supernatural </v>
      </c>
      <c r="E2741" t="str">
        <f ca="1">IFERROR(__xludf.DUMMYFUNCTION("""COMPUTED_VALUE"""),"TV Series 2005– )")</f>
        <v>TV Series 2005– )</v>
      </c>
    </row>
    <row r="2742" spans="1:5" ht="13" x14ac:dyDescent="0.15">
      <c r="A2742" s="5" t="s">
        <v>233</v>
      </c>
      <c r="D2742" t="str">
        <f ca="1">IFERROR(__xludf.DUMMYFUNCTION("split(A2742,""("")"),"Superstore ")</f>
        <v xml:space="preserve">Superstore </v>
      </c>
      <c r="E2742" t="str">
        <f ca="1">IFERROR(__xludf.DUMMYFUNCTION("""COMPUTED_VALUE"""),"TV Series 2015– )")</f>
        <v>TV Series 2015– )</v>
      </c>
    </row>
    <row r="2743" spans="1:5" ht="13" x14ac:dyDescent="0.15">
      <c r="A2743" s="5" t="s">
        <v>2916</v>
      </c>
      <c r="D2743" t="str">
        <f ca="1">IFERROR(__xludf.DUMMYFUNCTION("split(A2743,""("")"),"SuperTed ")</f>
        <v xml:space="preserve">SuperTed </v>
      </c>
      <c r="E2743" t="str">
        <f ca="1">IFERROR(__xludf.DUMMYFUNCTION("""COMPUTED_VALUE"""),"TV Series 1983–1986)")</f>
        <v>TV Series 1983–1986)</v>
      </c>
    </row>
    <row r="2744" spans="1:5" ht="13" x14ac:dyDescent="0.15">
      <c r="A2744" s="5" t="s">
        <v>2917</v>
      </c>
      <c r="D2744" t="str">
        <f ca="1">IFERROR(__xludf.DUMMYFUNCTION("split(A2744,""("")"),"Supreme Court Oral Arguments ")</f>
        <v xml:space="preserve">Supreme Court Oral Arguments </v>
      </c>
      <c r="E2744" t="str">
        <f ca="1">IFERROR(__xludf.DUMMYFUNCTION("""COMPUTED_VALUE"""),"TV Series 2000– )")</f>
        <v>TV Series 2000– )</v>
      </c>
    </row>
    <row r="2745" spans="1:5" ht="13" x14ac:dyDescent="0.15">
      <c r="A2745" s="5" t="s">
        <v>2918</v>
      </c>
      <c r="D2745" t="str">
        <f ca="1">IFERROR(__xludf.DUMMYFUNCTION("split(A2745,""("")"),"Survival of the Fittest ")</f>
        <v xml:space="preserve">Survival of the Fittest </v>
      </c>
      <c r="E2745" t="str">
        <f ca="1">IFERROR(__xludf.DUMMYFUNCTION("""COMPUTED_VALUE"""),"TV Series 2018– )")</f>
        <v>TV Series 2018– )</v>
      </c>
    </row>
    <row r="2746" spans="1:5" ht="13" x14ac:dyDescent="0.15">
      <c r="A2746" s="5" t="s">
        <v>639</v>
      </c>
      <c r="D2746" t="str">
        <f ca="1">IFERROR(__xludf.DUMMYFUNCTION("split(A2746,""("")"),"Survivor ")</f>
        <v xml:space="preserve">Survivor </v>
      </c>
      <c r="E2746" t="str">
        <f ca="1">IFERROR(__xludf.DUMMYFUNCTION("""COMPUTED_VALUE"""),"TV Series 2000– )")</f>
        <v>TV Series 2000– )</v>
      </c>
    </row>
    <row r="2747" spans="1:5" ht="13" x14ac:dyDescent="0.15">
      <c r="A2747" s="5" t="s">
        <v>2919</v>
      </c>
      <c r="D2747" t="str">
        <f ca="1">IFERROR(__xludf.DUMMYFUNCTION("split(A2747,""("")"),"Survivor's Remorse ")</f>
        <v xml:space="preserve">Survivor's Remorse </v>
      </c>
      <c r="E2747" t="str">
        <f ca="1">IFERROR(__xludf.DUMMYFUNCTION("""COMPUTED_VALUE"""),"TV Series 2014– )")</f>
        <v>TV Series 2014– )</v>
      </c>
    </row>
    <row r="2748" spans="1:5" ht="13" x14ac:dyDescent="0.15">
      <c r="A2748" s="5" t="s">
        <v>2920</v>
      </c>
      <c r="D2748" t="str">
        <f ca="1">IFERROR(__xludf.DUMMYFUNCTION("split(A2748,""("")"),"Survivorman ")</f>
        <v xml:space="preserve">Survivorman </v>
      </c>
      <c r="E2748" t="str">
        <f ca="1">IFERROR(__xludf.DUMMYFUNCTION("""COMPUTED_VALUE"""),"TV Series 2004– )")</f>
        <v>TV Series 2004– )</v>
      </c>
    </row>
    <row r="2749" spans="1:5" ht="13" x14ac:dyDescent="0.15">
      <c r="A2749" s="5" t="s">
        <v>2921</v>
      </c>
      <c r="D2749" t="str">
        <f ca="1">IFERROR(__xludf.DUMMYFUNCTION("split(A2749,""("")"),"Sushant Pradhan ")</f>
        <v xml:space="preserve">Sushant Pradhan </v>
      </c>
      <c r="E2749" t="str">
        <f ca="1">IFERROR(__xludf.DUMMYFUNCTION("""COMPUTED_VALUE"""),"TV Series 2014– )")</f>
        <v>TV Series 2014– )</v>
      </c>
    </row>
    <row r="2750" spans="1:5" ht="13" x14ac:dyDescent="0.15">
      <c r="A2750" s="5" t="s">
        <v>2922</v>
      </c>
      <c r="D2750" t="str">
        <f ca="1">IFERROR(__xludf.DUMMYFUNCTION("split(A2750,""("")"),"Svédská trojka ")</f>
        <v xml:space="preserve">Svédská trojka </v>
      </c>
      <c r="E2750" t="str">
        <f ca="1">IFERROR(__xludf.DUMMYFUNCTION("""COMPUTED_VALUE"""),"TV Series 2013– )")</f>
        <v>TV Series 2013– )</v>
      </c>
    </row>
    <row r="2751" spans="1:5" ht="13" x14ac:dyDescent="0.15">
      <c r="A2751" s="5" t="s">
        <v>2923</v>
      </c>
      <c r="D2751" t="str">
        <f ca="1">IFERROR(__xludf.DUMMYFUNCTION("split(A2751,""("")"),"Svengoolie ")</f>
        <v xml:space="preserve">Svengoolie </v>
      </c>
      <c r="E2751" t="str">
        <f ca="1">IFERROR(__xludf.DUMMYFUNCTION("""COMPUTED_VALUE"""),"TV Series 1995– )")</f>
        <v>TV Series 1995– )</v>
      </c>
    </row>
    <row r="2752" spans="1:5" ht="13" x14ac:dyDescent="0.15">
      <c r="A2752" s="5" t="s">
        <v>2924</v>
      </c>
      <c r="D2752" t="str">
        <f ca="1">IFERROR(__xludf.DUMMYFUNCTION("split(A2752,""("")"),"Svet pod Hlavou ")</f>
        <v xml:space="preserve">Svet pod Hlavou </v>
      </c>
      <c r="E2752" t="str">
        <f ca="1">IFERROR(__xludf.DUMMYFUNCTION("""COMPUTED_VALUE"""),"TV Series 2017– )")</f>
        <v>TV Series 2017– )</v>
      </c>
    </row>
    <row r="2753" spans="1:5" ht="13" x14ac:dyDescent="0.15">
      <c r="A2753" s="5" t="s">
        <v>2925</v>
      </c>
      <c r="D2753" t="str">
        <f ca="1">IFERROR(__xludf.DUMMYFUNCTION("split(A2753,""("")"),"Svet podle Katky ")</f>
        <v xml:space="preserve">Svet podle Katky </v>
      </c>
      <c r="E2753" t="str">
        <f ca="1">IFERROR(__xludf.DUMMYFUNCTION("""COMPUTED_VALUE"""),"TV Series 2016– )")</f>
        <v>TV Series 2016– )</v>
      </c>
    </row>
    <row r="2754" spans="1:5" ht="13" x14ac:dyDescent="0.15">
      <c r="A2754" s="5" t="s">
        <v>2926</v>
      </c>
      <c r="D2754" t="str">
        <f ca="1">IFERROR(__xludf.DUMMYFUNCTION("split(A2754,""("")"),"Swamp Murders ")</f>
        <v xml:space="preserve">Swamp Murders </v>
      </c>
      <c r="E2754" t="str">
        <f ca="1">IFERROR(__xludf.DUMMYFUNCTION("""COMPUTED_VALUE"""),"TV Series 2013– )")</f>
        <v>TV Series 2013– )</v>
      </c>
    </row>
    <row r="2755" spans="1:5" ht="13" x14ac:dyDescent="0.15">
      <c r="A2755" s="5" t="s">
        <v>2927</v>
      </c>
      <c r="D2755" t="str">
        <f ca="1">IFERROR(__xludf.DUMMYFUNCTION("split(A2755,""("")"),"Swamp People ")</f>
        <v xml:space="preserve">Swamp People </v>
      </c>
      <c r="E2755" t="str">
        <f ca="1">IFERROR(__xludf.DUMMYFUNCTION("""COMPUTED_VALUE"""),"TV Series 2010– )")</f>
        <v>TV Series 2010– )</v>
      </c>
    </row>
    <row r="2756" spans="1:5" ht="13" x14ac:dyDescent="0.15">
      <c r="A2756" s="5" t="s">
        <v>2928</v>
      </c>
      <c r="D2756" t="str">
        <f ca="1">IFERROR(__xludf.DUMMYFUNCTION("split(A2756,""("")"),"Swedish Dicks ")</f>
        <v xml:space="preserve">Swedish Dicks </v>
      </c>
      <c r="E2756" t="str">
        <f ca="1">IFERROR(__xludf.DUMMYFUNCTION("""COMPUTED_VALUE"""),"TV Series 2016– )")</f>
        <v>TV Series 2016– )</v>
      </c>
    </row>
    <row r="2757" spans="1:5" ht="13" x14ac:dyDescent="0.15">
      <c r="A2757" s="5" t="s">
        <v>2929</v>
      </c>
      <c r="D2757" t="str">
        <f ca="1">IFERROR(__xludf.DUMMYFUNCTION("split(A2757,""("")"),"Sweet Blue Flowers ")</f>
        <v xml:space="preserve">Sweet Blue Flowers </v>
      </c>
      <c r="E2757" t="str">
        <f ca="1">IFERROR(__xludf.DUMMYFUNCTION("""COMPUTED_VALUE"""),"TV Series 2009)")</f>
        <v>TV Series 2009)</v>
      </c>
    </row>
    <row r="2758" spans="1:5" ht="13" x14ac:dyDescent="0.15">
      <c r="A2758" s="5" t="s">
        <v>2930</v>
      </c>
      <c r="D2758" t="str">
        <f ca="1">IFERROR(__xludf.DUMMYFUNCTION("split(A2758,""("")"),"Sweetbitter ")</f>
        <v xml:space="preserve">Sweetbitter </v>
      </c>
      <c r="E2758" t="str">
        <f ca="1">IFERROR(__xludf.DUMMYFUNCTION("""COMPUTED_VALUE"""),"TV Series 2018– )")</f>
        <v>TV Series 2018– )</v>
      </c>
    </row>
    <row r="2759" spans="1:5" ht="13" x14ac:dyDescent="0.15">
      <c r="A2759" s="5" t="s">
        <v>2931</v>
      </c>
      <c r="D2759" t="str">
        <f ca="1">IFERROR(__xludf.DUMMYFUNCTION("split(A2759,""("")"),"Sweethearts ")</f>
        <v xml:space="preserve">Sweethearts </v>
      </c>
      <c r="E2759" t="str">
        <f ca="1">IFERROR(__xludf.DUMMYFUNCTION("""COMPUTED_VALUE"""),"TV Series 2002–2004)")</f>
        <v>TV Series 2002–2004)</v>
      </c>
    </row>
    <row r="2760" spans="1:5" ht="13" x14ac:dyDescent="0.15">
      <c r="A2760" s="5" t="s">
        <v>2932</v>
      </c>
      <c r="D2760" t="str">
        <f ca="1">IFERROR(__xludf.DUMMYFUNCTION("split(A2760,""("")"),"Sweetiemarket ")</f>
        <v xml:space="preserve">Sweetiemarket </v>
      </c>
      <c r="E2760" t="str">
        <f ca="1">IFERROR(__xludf.DUMMYFUNCTION("""COMPUTED_VALUE"""),"TV Series 2016– )")</f>
        <v>TV Series 2016– )</v>
      </c>
    </row>
    <row r="2761" spans="1:5" ht="13" x14ac:dyDescent="0.15">
      <c r="A2761" s="5" t="s">
        <v>2933</v>
      </c>
      <c r="D2761" t="str">
        <f ca="1">IFERROR(__xludf.DUMMYFUNCTION("split(A2761,""("")"),"Swingtown ")</f>
        <v xml:space="preserve">Swingtown </v>
      </c>
      <c r="E2761" t="str">
        <f ca="1">IFERROR(__xludf.DUMMYFUNCTION("""COMPUTED_VALUE"""),"TV Series 2008)")</f>
        <v>TV Series 2008)</v>
      </c>
    </row>
    <row r="2762" spans="1:5" ht="13" x14ac:dyDescent="0.15">
      <c r="A2762" s="5" t="s">
        <v>2934</v>
      </c>
      <c r="D2762" t="str">
        <f ca="1">IFERROR(__xludf.DUMMYFUNCTION("split(A2762,""("")"),"Switched at Birth ")</f>
        <v xml:space="preserve">Switched at Birth </v>
      </c>
      <c r="E2762" t="str">
        <f ca="1">IFERROR(__xludf.DUMMYFUNCTION("""COMPUTED_VALUE"""),"TV Series 2011–2017)")</f>
        <v>TV Series 2011–2017)</v>
      </c>
    </row>
    <row r="2763" spans="1:5" ht="13" x14ac:dyDescent="0.15">
      <c r="A2763" s="5" t="s">
        <v>2935</v>
      </c>
      <c r="D2763" t="str">
        <f ca="1">IFERROR(__xludf.DUMMYFUNCTION("split(A2763,""("")"),"Sword Art Online ")</f>
        <v xml:space="preserve">Sword Art Online </v>
      </c>
      <c r="E2763" t="str">
        <f ca="1">IFERROR(__xludf.DUMMYFUNCTION("""COMPUTED_VALUE"""),"TV Series 2012– )")</f>
        <v>TV Series 2012– )</v>
      </c>
    </row>
    <row r="2764" spans="1:5" ht="13" x14ac:dyDescent="0.15">
      <c r="A2764" s="5" t="s">
        <v>2936</v>
      </c>
      <c r="D2764" t="str">
        <f ca="1">IFERROR(__xludf.DUMMYFUNCTION("split(A2764,""("")"),"Sym-Bionic Titan ")</f>
        <v xml:space="preserve">Sym-Bionic Titan </v>
      </c>
      <c r="E2764" t="str">
        <f ca="1">IFERROR(__xludf.DUMMYFUNCTION("""COMPUTED_VALUE"""),"TV Series 2010–2011)")</f>
        <v>TV Series 2010–2011)</v>
      </c>
    </row>
    <row r="2765" spans="1:5" ht="13" x14ac:dyDescent="0.15">
      <c r="A2765" s="5" t="s">
        <v>2937</v>
      </c>
      <c r="D2765" t="str">
        <f ca="1">IFERROR(__xludf.DUMMYFUNCTION("split(A2765,""("")"),"T.U.F.F. Puppy ")</f>
        <v xml:space="preserve">T.U.F.F. Puppy </v>
      </c>
      <c r="E2765" t="str">
        <f ca="1">IFERROR(__xludf.DUMMYFUNCTION("""COMPUTED_VALUE"""),"TV Series 2010–2015)")</f>
        <v>TV Series 2010–2015)</v>
      </c>
    </row>
    <row r="2766" spans="1:5" ht="13" x14ac:dyDescent="0.15">
      <c r="A2766" s="5" t="s">
        <v>2938</v>
      </c>
      <c r="D2766" t="str">
        <f ca="1">IFERROR(__xludf.DUMMYFUNCTION("split(A2766,""("")"),"Taboo ")</f>
        <v xml:space="preserve">Taboo </v>
      </c>
      <c r="E2766" t="str">
        <f ca="1">IFERROR(__xludf.DUMMYFUNCTION("""COMPUTED_VALUE"""),"TV Series 2017– )")</f>
        <v>TV Series 2017– )</v>
      </c>
    </row>
    <row r="2767" spans="1:5" ht="13" x14ac:dyDescent="0.15">
      <c r="A2767" s="5" t="s">
        <v>2939</v>
      </c>
      <c r="D2767" t="str">
        <f ca="1">IFERROR(__xludf.DUMMYFUNCTION("split(A2767,""("")"),"Taken ")</f>
        <v xml:space="preserve">Taken </v>
      </c>
      <c r="E2767" t="str">
        <f ca="1">IFERROR(__xludf.DUMMYFUNCTION("""COMPUTED_VALUE"""),"TV Series 2017–2018)")</f>
        <v>TV Series 2017–2018)</v>
      </c>
    </row>
    <row r="2768" spans="1:5" ht="13" x14ac:dyDescent="0.15">
      <c r="A2768" s="5" t="s">
        <v>2940</v>
      </c>
      <c r="D2768" t="str">
        <f ca="1">IFERROR(__xludf.DUMMYFUNCTION("split(A2768,""("")"),"Takkay Ki Ayegi Baraat ")</f>
        <v xml:space="preserve">Takkay Ki Ayegi Baraat </v>
      </c>
      <c r="E2768" t="str">
        <f ca="1">IFERROR(__xludf.DUMMYFUNCTION("""COMPUTED_VALUE"""),"TV Series 2011)")</f>
        <v>TV Series 2011)</v>
      </c>
    </row>
    <row r="2769" spans="1:5" ht="13" x14ac:dyDescent="0.15">
      <c r="A2769" s="5" t="s">
        <v>2941</v>
      </c>
      <c r="D2769" t="str">
        <f ca="1">IFERROR(__xludf.DUMMYFUNCTION("split(A2769,""("")"),"Tales by Light ")</f>
        <v xml:space="preserve">Tales by Light </v>
      </c>
      <c r="E2769" t="str">
        <f ca="1">IFERROR(__xludf.DUMMYFUNCTION("""COMPUTED_VALUE"""),"TV Series 2015– )")</f>
        <v>TV Series 2015– )</v>
      </c>
    </row>
    <row r="2770" spans="1:5" ht="13" x14ac:dyDescent="0.15">
      <c r="A2770" s="5" t="s">
        <v>38</v>
      </c>
      <c r="D2770" t="str">
        <f ca="1">IFERROR(__xludf.DUMMYFUNCTION("split(A2770,""("")"),"Tales from the Crypt ")</f>
        <v xml:space="preserve">Tales from the Crypt </v>
      </c>
      <c r="E2770" t="str">
        <f ca="1">IFERROR(__xludf.DUMMYFUNCTION("""COMPUTED_VALUE"""),"TV Series 1989–1996)")</f>
        <v>TV Series 1989–1996)</v>
      </c>
    </row>
    <row r="2771" spans="1:5" ht="13" x14ac:dyDescent="0.15">
      <c r="A2771" s="5" t="s">
        <v>2942</v>
      </c>
      <c r="D2771" t="str">
        <f ca="1">IFERROR(__xludf.DUMMYFUNCTION("split(A2771,""("")"),"Tales from the Cryptkeeper ")</f>
        <v xml:space="preserve">Tales from the Cryptkeeper </v>
      </c>
      <c r="E2771" t="str">
        <f ca="1">IFERROR(__xludf.DUMMYFUNCTION("""COMPUTED_VALUE"""),"TV Series 1993–1999)")</f>
        <v>TV Series 1993–1999)</v>
      </c>
    </row>
    <row r="2772" spans="1:5" ht="13" x14ac:dyDescent="0.15">
      <c r="A2772" s="5" t="s">
        <v>2943</v>
      </c>
      <c r="D2772" t="str">
        <f ca="1">IFERROR(__xludf.DUMMYFUNCTION("split(A2772,""("")"),"Tales from the Neverending Story ")</f>
        <v xml:space="preserve">Tales from the Neverending Story </v>
      </c>
      <c r="E2772" t="str">
        <f ca="1">IFERROR(__xludf.DUMMYFUNCTION("""COMPUTED_VALUE"""),"TV Series 2001– )")</f>
        <v>TV Series 2001– )</v>
      </c>
    </row>
    <row r="2773" spans="1:5" ht="13" x14ac:dyDescent="0.15">
      <c r="A2773" s="5" t="s">
        <v>2944</v>
      </c>
      <c r="D2773" t="str">
        <f ca="1">IFERROR(__xludf.DUMMYFUNCTION("split(A2773,""("")"),"Tales of the Gold Monkey ")</f>
        <v xml:space="preserve">Tales of the Gold Monkey </v>
      </c>
      <c r="E2773" t="str">
        <f ca="1">IFERROR(__xludf.DUMMYFUNCTION("""COMPUTED_VALUE"""),"TV Series 1982–1983)")</f>
        <v>TV Series 1982–1983)</v>
      </c>
    </row>
    <row r="2774" spans="1:5" ht="13" x14ac:dyDescent="0.15">
      <c r="A2774" s="5" t="s">
        <v>2945</v>
      </c>
      <c r="D2774" t="str">
        <f ca="1">IFERROR(__xludf.DUMMYFUNCTION("split(A2774,""("")"),"TaleSpin ")</f>
        <v xml:space="preserve">TaleSpin </v>
      </c>
      <c r="E2774" t="str">
        <f ca="1">IFERROR(__xludf.DUMMYFUNCTION("""COMPUTED_VALUE"""),"TV Series 1990–1991)")</f>
        <v>TV Series 1990–1991)</v>
      </c>
    </row>
    <row r="2775" spans="1:5" ht="13" x14ac:dyDescent="0.15">
      <c r="A2775" s="5" t="s">
        <v>2946</v>
      </c>
      <c r="D2775" t="str">
        <f ca="1">IFERROR(__xludf.DUMMYFUNCTION("split(A2775,""("")"),"Talk to Me ")</f>
        <v xml:space="preserve">Talk to Me </v>
      </c>
      <c r="E2775" t="str">
        <f ca="1">IFERROR(__xludf.DUMMYFUNCTION("""COMPUTED_VALUE"""),"TV Series 2007– )")</f>
        <v>TV Series 2007– )</v>
      </c>
    </row>
    <row r="2776" spans="1:5" ht="13" x14ac:dyDescent="0.15">
      <c r="A2776" s="5" t="s">
        <v>2947</v>
      </c>
      <c r="D2776" t="str">
        <f ca="1">IFERROR(__xludf.DUMMYFUNCTION("split(A2776,""("")"),"Talking Tom and Friends ")</f>
        <v xml:space="preserve">Talking Tom and Friends </v>
      </c>
      <c r="E2776" t="str">
        <f ca="1">IFERROR(__xludf.DUMMYFUNCTION("""COMPUTED_VALUE"""),"TV Series 2014– )")</f>
        <v>TV Series 2014– )</v>
      </c>
    </row>
    <row r="2777" spans="1:5" ht="13" x14ac:dyDescent="0.15">
      <c r="A2777" s="5" t="s">
        <v>80</v>
      </c>
      <c r="D2777" t="str">
        <f ca="1">IFERROR(__xludf.DUMMYFUNCTION("split(A2777,""("")"),"Tarzan: The Epic Adventures ")</f>
        <v xml:space="preserve">Tarzan: The Epic Adventures </v>
      </c>
      <c r="E2777" t="str">
        <f ca="1">IFERROR(__xludf.DUMMYFUNCTION("""COMPUTED_VALUE"""),"TV Series 1996– )")</f>
        <v>TV Series 1996– )</v>
      </c>
    </row>
    <row r="2778" spans="1:5" ht="13" x14ac:dyDescent="0.15">
      <c r="A2778" s="5" t="s">
        <v>2948</v>
      </c>
      <c r="D2778" t="str">
        <f ca="1">IFERROR(__xludf.DUMMYFUNCTION("split(A2778,""("")"),"Taylor ASMR ")</f>
        <v xml:space="preserve">Taylor ASMR </v>
      </c>
      <c r="E2778" t="str">
        <f ca="1">IFERROR(__xludf.DUMMYFUNCTION("""COMPUTED_VALUE"""),"TV Series 2016– )")</f>
        <v>TV Series 2016– )</v>
      </c>
    </row>
    <row r="2779" spans="1:5" ht="13" x14ac:dyDescent="0.15">
      <c r="A2779" s="5" t="s">
        <v>2949</v>
      </c>
      <c r="D2779" t="str">
        <f ca="1">IFERROR(__xludf.DUMMYFUNCTION("split(A2779,""("")"),"Teachers ")</f>
        <v xml:space="preserve">Teachers </v>
      </c>
      <c r="E2779" t="str">
        <f ca="1">IFERROR(__xludf.DUMMYFUNCTION("""COMPUTED_VALUE"""),"TV Series 2001–2004)")</f>
        <v>TV Series 2001–2004)</v>
      </c>
    </row>
    <row r="2780" spans="1:5" ht="13" x14ac:dyDescent="0.15">
      <c r="A2780" s="5" t="s">
        <v>2950</v>
      </c>
      <c r="D2780" t="str">
        <f ca="1">IFERROR(__xludf.DUMMYFUNCTION("split(A2780,""("")"),"Team Umizoomi ")</f>
        <v xml:space="preserve">Team Umizoomi </v>
      </c>
      <c r="E2780" t="str">
        <f ca="1">IFERROR(__xludf.DUMMYFUNCTION("""COMPUTED_VALUE"""),"TV Series 2010–2015)")</f>
        <v>TV Series 2010–2015)</v>
      </c>
    </row>
    <row r="2781" spans="1:5" ht="13" x14ac:dyDescent="0.15">
      <c r="A2781" s="5" t="s">
        <v>2951</v>
      </c>
      <c r="D2781" t="str">
        <f ca="1">IFERROR(__xludf.DUMMYFUNCTION("split(A2781,""("")"),"Technic Players ")</f>
        <v xml:space="preserve">Technic Players </v>
      </c>
      <c r="E2781" t="str">
        <f ca="1">IFERROR(__xludf.DUMMYFUNCTION("""COMPUTED_VALUE"""),"TV Series 2013– )")</f>
        <v>TV Series 2013– )</v>
      </c>
    </row>
    <row r="2782" spans="1:5" ht="13" x14ac:dyDescent="0.15">
      <c r="A2782" s="5" t="s">
        <v>2952</v>
      </c>
      <c r="D2782" t="str">
        <f ca="1">IFERROR(__xludf.DUMMYFUNCTION("split(A2782,""("")"),"Teen Mom ")</f>
        <v xml:space="preserve">Teen Mom </v>
      </c>
      <c r="E2782" t="str">
        <f ca="1">IFERROR(__xludf.DUMMYFUNCTION("""COMPUTED_VALUE"""),"TV Series 2009– )")</f>
        <v>TV Series 2009– )</v>
      </c>
    </row>
    <row r="2783" spans="1:5" ht="13" x14ac:dyDescent="0.15">
      <c r="A2783" s="5" t="s">
        <v>2953</v>
      </c>
      <c r="D2783" t="str">
        <f ca="1">IFERROR(__xludf.DUMMYFUNCTION("split(A2783,""("")"),"Teen Mom 2 ")</f>
        <v xml:space="preserve">Teen Mom 2 </v>
      </c>
      <c r="E2783" t="str">
        <f ca="1">IFERROR(__xludf.DUMMYFUNCTION("""COMPUTED_VALUE"""),"TV Series 2011– )")</f>
        <v>TV Series 2011– )</v>
      </c>
    </row>
    <row r="2784" spans="1:5" ht="13" x14ac:dyDescent="0.15">
      <c r="A2784" s="5" t="s">
        <v>149</v>
      </c>
      <c r="D2784" t="str">
        <f ca="1">IFERROR(__xludf.DUMMYFUNCTION("split(A2784,""("")"),"Teen Titans ")</f>
        <v xml:space="preserve">Teen Titans </v>
      </c>
      <c r="E2784" t="str">
        <f ca="1">IFERROR(__xludf.DUMMYFUNCTION("""COMPUTED_VALUE"""),"TV Series 2003–2006)")</f>
        <v>TV Series 2003–2006)</v>
      </c>
    </row>
    <row r="2785" spans="1:5" ht="13" x14ac:dyDescent="0.15">
      <c r="A2785" s="5" t="s">
        <v>150</v>
      </c>
      <c r="D2785" t="str">
        <f ca="1">IFERROR(__xludf.DUMMYFUNCTION("split(A2785,""("")"),"Teen Titans Go! ")</f>
        <v xml:space="preserve">Teen Titans Go! </v>
      </c>
      <c r="E2785" t="str">
        <f ca="1">IFERROR(__xludf.DUMMYFUNCTION("""COMPUTED_VALUE"""),"TV Series 2013– )")</f>
        <v>TV Series 2013– )</v>
      </c>
    </row>
    <row r="2786" spans="1:5" ht="13" x14ac:dyDescent="0.15">
      <c r="A2786" s="5" t="s">
        <v>448</v>
      </c>
      <c r="D2786" t="str">
        <f ca="1">IFERROR(__xludf.DUMMYFUNCTION("split(A2786,""("")"),"Teen Wolf ")</f>
        <v xml:space="preserve">Teen Wolf </v>
      </c>
      <c r="E2786" t="str">
        <f ca="1">IFERROR(__xludf.DUMMYFUNCTION("""COMPUTED_VALUE"""),"TV Series 2011–2017)")</f>
        <v>TV Series 2011–2017)</v>
      </c>
    </row>
    <row r="2787" spans="1:5" ht="13" x14ac:dyDescent="0.15">
      <c r="A2787" s="5" t="s">
        <v>81</v>
      </c>
      <c r="D2787" t="str">
        <f ca="1">IFERROR(__xludf.DUMMYFUNCTION("split(A2787,""("")"),"Teenage Mutant Ninja Turtles ")</f>
        <v xml:space="preserve">Teenage Mutant Ninja Turtles </v>
      </c>
      <c r="E2787" t="str">
        <f ca="1">IFERROR(__xludf.DUMMYFUNCTION("""COMPUTED_VALUE"""),"TV Series 1987–1996)")</f>
        <v>TV Series 1987–1996)</v>
      </c>
    </row>
    <row r="2788" spans="1:5" ht="13" x14ac:dyDescent="0.15">
      <c r="A2788" s="5" t="s">
        <v>82</v>
      </c>
      <c r="D2788" t="str">
        <f ca="1">IFERROR(__xludf.DUMMYFUNCTION("split(A2788,""("")"),"Teenage Mutant Ninja Turtles ")</f>
        <v xml:space="preserve">Teenage Mutant Ninja Turtles </v>
      </c>
      <c r="E2788" t="str">
        <f ca="1">IFERROR(__xludf.DUMMYFUNCTION("""COMPUTED_VALUE"""),"TV Series 2003–2010)")</f>
        <v>TV Series 2003–2010)</v>
      </c>
    </row>
    <row r="2789" spans="1:5" ht="13" x14ac:dyDescent="0.15">
      <c r="A2789" s="5" t="s">
        <v>83</v>
      </c>
      <c r="D2789" t="str">
        <f ca="1">IFERROR(__xludf.DUMMYFUNCTION("split(A2789,""("")"),"Teenage Mutant Ninja Turtles ")</f>
        <v xml:space="preserve">Teenage Mutant Ninja Turtles </v>
      </c>
      <c r="E2789" t="str">
        <f ca="1">IFERROR(__xludf.DUMMYFUNCTION("""COMPUTED_VALUE"""),"TV Series 2012–2017)")</f>
        <v>TV Series 2012–2017)</v>
      </c>
    </row>
    <row r="2790" spans="1:5" ht="13" x14ac:dyDescent="0.15">
      <c r="A2790" s="5" t="s">
        <v>2954</v>
      </c>
      <c r="D2790" t="str">
        <f ca="1">IFERROR(__xludf.DUMMYFUNCTION("split(A2790,""("")"),"Tell Me a Story ")</f>
        <v xml:space="preserve">Tell Me a Story </v>
      </c>
      <c r="E2790" t="str">
        <f ca="1">IFERROR(__xludf.DUMMYFUNCTION("""COMPUTED_VALUE"""),"TV Series 2018– )")</f>
        <v>TV Series 2018– )</v>
      </c>
    </row>
    <row r="2791" spans="1:5" ht="13" x14ac:dyDescent="0.15">
      <c r="A2791" s="5" t="s">
        <v>2955</v>
      </c>
      <c r="D2791" t="str">
        <f ca="1">IFERROR(__xludf.DUMMYFUNCTION("split(A2791,""("")"),"Tell Me You Love Me ")</f>
        <v xml:space="preserve">Tell Me You Love Me </v>
      </c>
      <c r="E2791" t="str">
        <f ca="1">IFERROR(__xludf.DUMMYFUNCTION("""COMPUTED_VALUE"""),"TV Series 2007)")</f>
        <v>TV Series 2007)</v>
      </c>
    </row>
    <row r="2792" spans="1:5" ht="13" x14ac:dyDescent="0.15">
      <c r="A2792" s="5" t="s">
        <v>2956</v>
      </c>
      <c r="D2792" t="str">
        <f ca="1">IFERROR(__xludf.DUMMYFUNCTION("split(A2792,""("")"),"Temný kraj ")</f>
        <v xml:space="preserve">Temný kraj </v>
      </c>
      <c r="E2792" t="str">
        <f ca="1">IFERROR(__xludf.DUMMYFUNCTION("""COMPUTED_VALUE"""),"TV Series 2017– )")</f>
        <v>TV Series 2017– )</v>
      </c>
    </row>
    <row r="2793" spans="1:5" ht="13" x14ac:dyDescent="0.15">
      <c r="A2793" s="5" t="s">
        <v>2957</v>
      </c>
      <c r="D2793" t="str">
        <f ca="1">IFERROR(__xludf.DUMMYFUNCTION("split(A2793,""("")"),"Temptation Island ")</f>
        <v xml:space="preserve">Temptation Island </v>
      </c>
      <c r="E2793" t="str">
        <f ca="1">IFERROR(__xludf.DUMMYFUNCTION("""COMPUTED_VALUE"""),"TV Series 2001–2003)")</f>
        <v>TV Series 2001–2003)</v>
      </c>
    </row>
    <row r="2794" spans="1:5" ht="13" x14ac:dyDescent="0.15">
      <c r="A2794" s="5" t="s">
        <v>2958</v>
      </c>
      <c r="D2794" t="str">
        <f ca="1">IFERROR(__xludf.DUMMYFUNCTION("split(A2794,""("")"),"Tenchi Muyô! ")</f>
        <v xml:space="preserve">Tenchi Muyô! </v>
      </c>
      <c r="E2794" t="str">
        <f ca="1">IFERROR(__xludf.DUMMYFUNCTION("""COMPUTED_VALUE"""),"TV Series 1992– )")</f>
        <v>TV Series 1992– )</v>
      </c>
    </row>
    <row r="2795" spans="1:5" ht="13" x14ac:dyDescent="0.15">
      <c r="A2795" s="5" t="s">
        <v>2959</v>
      </c>
      <c r="D2795" t="str">
        <f ca="1">IFERROR(__xludf.DUMMYFUNCTION("split(A2795,""("")"),"Tengen toppa gurren lagann ")</f>
        <v xml:space="preserve">Tengen toppa gurren lagann </v>
      </c>
      <c r="E2795" t="str">
        <f ca="1">IFERROR(__xludf.DUMMYFUNCTION("""COMPUTED_VALUE"""),"TV Series 2007–2008)")</f>
        <v>TV Series 2007–2008)</v>
      </c>
    </row>
    <row r="2796" spans="1:5" ht="13" x14ac:dyDescent="0.15">
      <c r="A2796" s="5" t="s">
        <v>2960</v>
      </c>
      <c r="D2796" t="str">
        <f ca="1">IFERROR(__xludf.DUMMYFUNCTION("split(A2796,""("")"),"Tenko ")</f>
        <v xml:space="preserve">Tenko </v>
      </c>
      <c r="E2796" t="str">
        <f ca="1">IFERROR(__xludf.DUMMYFUNCTION("""COMPUTED_VALUE"""),"TV Series 1981–1984)")</f>
        <v>TV Series 1981–1984)</v>
      </c>
    </row>
    <row r="2797" spans="1:5" ht="13" x14ac:dyDescent="0.15">
      <c r="A2797" s="5" t="s">
        <v>2961</v>
      </c>
      <c r="D2797" t="str">
        <f ca="1">IFERROR(__xludf.DUMMYFUNCTION("split(A2797,""("")"),"Tequila and Bonetti ")</f>
        <v xml:space="preserve">Tequila and Bonetti </v>
      </c>
      <c r="E2797" t="str">
        <f ca="1">IFERROR(__xludf.DUMMYFUNCTION("""COMPUTED_VALUE"""),"TV Series 1992– )")</f>
        <v>TV Series 1992– )</v>
      </c>
    </row>
    <row r="2798" spans="1:5" ht="13" x14ac:dyDescent="0.15">
      <c r="A2798" s="5" t="s">
        <v>2962</v>
      </c>
      <c r="D2798" t="str">
        <f ca="1">IFERROR(__xludf.DUMMYFUNCTION("split(A2798,""("")"),"Teri ")</f>
        <v xml:space="preserve">Teri </v>
      </c>
      <c r="E2798" t="str">
        <f ca="1">IFERROR(__xludf.DUMMYFUNCTION("""COMPUTED_VALUE"""),"TV Series 2017– )")</f>
        <v>TV Series 2017– )</v>
      </c>
    </row>
    <row r="2799" spans="1:5" ht="13" x14ac:dyDescent="0.15">
      <c r="A2799" s="5" t="s">
        <v>2963</v>
      </c>
      <c r="D2799" t="str">
        <f ca="1">IFERROR(__xludf.DUMMYFUNCTION("split(A2799,""("")"),"Teri Blitzen ")</f>
        <v xml:space="preserve">Teri Blitzen </v>
      </c>
      <c r="E2799" t="str">
        <f ca="1">IFERROR(__xludf.DUMMYFUNCTION("""COMPUTED_VALUE"""),"TV Series 2013– )")</f>
        <v>TV Series 2013– )</v>
      </c>
    </row>
    <row r="2800" spans="1:5" ht="13" x14ac:dyDescent="0.15">
      <c r="A2800" s="5" t="s">
        <v>449</v>
      </c>
      <c r="D2800" t="str">
        <f ca="1">IFERROR(__xludf.DUMMYFUNCTION("split(A2800,""("")"),"Terminator Salvation: The Machinima Series ")</f>
        <v xml:space="preserve">Terminator Salvation: The Machinima Series </v>
      </c>
      <c r="E2800" t="str">
        <f ca="1">IFERROR(__xludf.DUMMYFUNCTION("""COMPUTED_VALUE"""),"TV Series 2009– )")</f>
        <v>TV Series 2009– )</v>
      </c>
    </row>
    <row r="2801" spans="1:5" ht="13" x14ac:dyDescent="0.15">
      <c r="A2801" s="5" t="s">
        <v>413</v>
      </c>
      <c r="D2801" t="str">
        <f ca="1">IFERROR(__xludf.DUMMYFUNCTION("split(A2801,""("")"),"Terminator: The Sarah Connor Chronicles ")</f>
        <v xml:space="preserve">Terminator: The Sarah Connor Chronicles </v>
      </c>
      <c r="E2801" t="str">
        <f ca="1">IFERROR(__xludf.DUMMYFUNCTION("""COMPUTED_VALUE"""),"TV Series 2008–2009)")</f>
        <v>TV Series 2008–2009)</v>
      </c>
    </row>
    <row r="2802" spans="1:5" ht="13" x14ac:dyDescent="0.15">
      <c r="A2802" s="5" t="s">
        <v>2964</v>
      </c>
      <c r="D2802" t="str">
        <f ca="1">IFERROR(__xludf.DUMMYFUNCTION("split(A2802,""("")"),"Terra Nova ")</f>
        <v xml:space="preserve">Terra Nova </v>
      </c>
      <c r="E2802" t="str">
        <f ca="1">IFERROR(__xludf.DUMMYFUNCTION("""COMPUTED_VALUE"""),"TV Series 2011)")</f>
        <v>TV Series 2011)</v>
      </c>
    </row>
    <row r="2803" spans="1:5" ht="13" x14ac:dyDescent="0.15">
      <c r="A2803" s="5" t="s">
        <v>2965</v>
      </c>
      <c r="D2803" t="str">
        <f ca="1">IFERROR(__xludf.DUMMYFUNCTION("split(A2803,""("")"),"Terriers ")</f>
        <v xml:space="preserve">Terriers </v>
      </c>
      <c r="E2803" t="str">
        <f ca="1">IFERROR(__xludf.DUMMYFUNCTION("""COMPUTED_VALUE"""),"TV Series 2010)")</f>
        <v>TV Series 2010)</v>
      </c>
    </row>
    <row r="2804" spans="1:5" ht="13" x14ac:dyDescent="0.15">
      <c r="A2804" s="5" t="s">
        <v>2966</v>
      </c>
      <c r="D2804" t="str">
        <f ca="1">IFERROR(__xludf.DUMMYFUNCTION("split(A2804,""("")"),"Terry Crews Saves Christmas ")</f>
        <v xml:space="preserve">Terry Crews Saves Christmas </v>
      </c>
      <c r="E2804" t="str">
        <f ca="1">IFERROR(__xludf.DUMMYFUNCTION("""COMPUTED_VALUE"""),"TV Series 2016)")</f>
        <v>TV Series 2016)</v>
      </c>
    </row>
    <row r="2805" spans="1:5" ht="13" x14ac:dyDescent="0.15">
      <c r="A2805" s="5" t="s">
        <v>2967</v>
      </c>
      <c r="D2805" t="str">
        <f ca="1">IFERROR(__xludf.DUMMYFUNCTION("split(A2805,""("")"),"Texhnolyze ")</f>
        <v xml:space="preserve">Texhnolyze </v>
      </c>
      <c r="E2805" t="str">
        <f ca="1">IFERROR(__xludf.DUMMYFUNCTION("""COMPUTED_VALUE"""),"TV Series 2003– )")</f>
        <v>TV Series 2003– )</v>
      </c>
    </row>
    <row r="2806" spans="1:5" ht="13" x14ac:dyDescent="0.15">
      <c r="A2806" s="5" t="s">
        <v>2968</v>
      </c>
      <c r="D2806" t="str">
        <f ca="1">IFERROR(__xludf.DUMMYFUNCTION("split(A2806,""("")"),"That '70s Show ")</f>
        <v xml:space="preserve">That '70s Show </v>
      </c>
      <c r="E2806" t="str">
        <f ca="1">IFERROR(__xludf.DUMMYFUNCTION("""COMPUTED_VALUE"""),"TV Series 1998–2006)")</f>
        <v>TV Series 1998–2006)</v>
      </c>
    </row>
    <row r="2807" spans="1:5" ht="13" x14ac:dyDescent="0.15">
      <c r="A2807" s="5" t="s">
        <v>2969</v>
      </c>
      <c r="D2807" t="str">
        <f ca="1">IFERROR(__xludf.DUMMYFUNCTION("split(A2807,""("")"),"That's My Bush! ")</f>
        <v xml:space="preserve">That's My Bush! </v>
      </c>
      <c r="E2807" t="str">
        <f ca="1">IFERROR(__xludf.DUMMYFUNCTION("""COMPUTED_VALUE"""),"TV Series 2001)")</f>
        <v>TV Series 2001)</v>
      </c>
    </row>
    <row r="2808" spans="1:5" ht="13" x14ac:dyDescent="0.15">
      <c r="A2808" s="5" t="s">
        <v>2970</v>
      </c>
      <c r="D2808" t="str">
        <f ca="1">IFERROR(__xludf.DUMMYFUNCTION("split(A2808,""("")"),"That's So Raven ")</f>
        <v xml:space="preserve">That's So Raven </v>
      </c>
      <c r="E2808" t="str">
        <f ca="1">IFERROR(__xludf.DUMMYFUNCTION("""COMPUTED_VALUE"""),"TV Series 2003–2007)")</f>
        <v>TV Series 2003–2007)</v>
      </c>
    </row>
    <row r="2809" spans="1:5" ht="13" x14ac:dyDescent="0.15">
      <c r="A2809" s="5" t="s">
        <v>2971</v>
      </c>
      <c r="D2809" t="str">
        <f ca="1">IFERROR(__xludf.DUMMYFUNCTION("split(A2809,""("")"),"That's Warner Bros.! ")</f>
        <v xml:space="preserve">That's Warner Bros.! </v>
      </c>
      <c r="E2809" t="str">
        <f ca="1">IFERROR(__xludf.DUMMYFUNCTION("""COMPUTED_VALUE"""),"TV Series 1995– )")</f>
        <v>TV Series 1995– )</v>
      </c>
    </row>
    <row r="2810" spans="1:5" ht="13" x14ac:dyDescent="0.15">
      <c r="A2810" s="5" t="s">
        <v>640</v>
      </c>
      <c r="D2810" t="str">
        <f ca="1">IFERROR(__xludf.DUMMYFUNCTION("split(A2810,""("")"),"The $100,000 Pyramid ")</f>
        <v xml:space="preserve">The $100,000 Pyramid </v>
      </c>
      <c r="E2810" t="str">
        <f ca="1">IFERROR(__xludf.DUMMYFUNCTION("""COMPUTED_VALUE"""),"TV Series 2016– )")</f>
        <v>TV Series 2016– )</v>
      </c>
    </row>
    <row r="2811" spans="1:5" ht="13" x14ac:dyDescent="0.15">
      <c r="A2811" s="5" t="s">
        <v>2972</v>
      </c>
      <c r="D2811" t="str">
        <f ca="1">IFERROR(__xludf.DUMMYFUNCTION("split(A2811,""("")"),"The 1980s: The Deadliest Decade ")</f>
        <v xml:space="preserve">The 1980s: The Deadliest Decade </v>
      </c>
      <c r="E2811" t="str">
        <f ca="1">IFERROR(__xludf.DUMMYFUNCTION("""COMPUTED_VALUE"""),"TV Series 2016–2017)")</f>
        <v>TV Series 2016–2017)</v>
      </c>
    </row>
    <row r="2812" spans="1:5" ht="13" x14ac:dyDescent="0.15">
      <c r="A2812" s="5" t="s">
        <v>2973</v>
      </c>
      <c r="D2812" t="str">
        <f ca="1">IFERROR(__xludf.DUMMYFUNCTION("split(A2812,""("")"),"The 1st Shop of Coffee Prince ")</f>
        <v xml:space="preserve">The 1st Shop of Coffee Prince </v>
      </c>
      <c r="E2812" t="str">
        <f ca="1">IFERROR(__xludf.DUMMYFUNCTION("""COMPUTED_VALUE"""),"TV Series 2007– )")</f>
        <v>TV Series 2007– )</v>
      </c>
    </row>
    <row r="2813" spans="1:5" ht="13" x14ac:dyDescent="0.15">
      <c r="A2813" s="5" t="s">
        <v>151</v>
      </c>
      <c r="D2813" t="str">
        <f ca="1">IFERROR(__xludf.DUMMYFUNCTION("split(A2813,""("")"),"The 4 Musketeers ")</f>
        <v xml:space="preserve">The 4 Musketeers </v>
      </c>
      <c r="E2813" t="str">
        <f ca="1">IFERROR(__xludf.DUMMYFUNCTION("""COMPUTED_VALUE"""),"TV Series 2005– )")</f>
        <v>TV Series 2005– )</v>
      </c>
    </row>
    <row r="2814" spans="1:5" ht="13" x14ac:dyDescent="0.15">
      <c r="A2814" s="5" t="s">
        <v>2974</v>
      </c>
      <c r="D2814" t="str">
        <f ca="1">IFERROR(__xludf.DUMMYFUNCTION("split(A2814,""("")"),"The 4400 ")</f>
        <v xml:space="preserve">The 4400 </v>
      </c>
      <c r="E2814" t="str">
        <f ca="1">IFERROR(__xludf.DUMMYFUNCTION("""COMPUTED_VALUE"""),"TV Series 2004–2007)")</f>
        <v>TV Series 2004–2007)</v>
      </c>
    </row>
    <row r="2815" spans="1:5" ht="13" x14ac:dyDescent="0.15">
      <c r="A2815" s="5" t="s">
        <v>2975</v>
      </c>
      <c r="D2815" t="str">
        <f ca="1">IFERROR(__xludf.DUMMYFUNCTION("split(A2815,""("")"),"The 5th Quadrant ")</f>
        <v xml:space="preserve">The 5th Quadrant </v>
      </c>
      <c r="E2815" t="str">
        <f ca="1">IFERROR(__xludf.DUMMYFUNCTION("""COMPUTED_VALUE"""),"TV Series 2002– )")</f>
        <v>TV Series 2002– )</v>
      </c>
    </row>
    <row r="2816" spans="1:5" ht="13" x14ac:dyDescent="0.15">
      <c r="A2816" s="5" t="s">
        <v>2976</v>
      </c>
      <c r="D2816" t="str">
        <f ca="1">IFERROR(__xludf.DUMMYFUNCTION("split(A2816,""("")"),"The 7D ")</f>
        <v xml:space="preserve">The 7D </v>
      </c>
      <c r="E2816" t="str">
        <f ca="1">IFERROR(__xludf.DUMMYFUNCTION("""COMPUTED_VALUE"""),"TV Series 2014–2016)")</f>
        <v>TV Series 2014–2016)</v>
      </c>
    </row>
    <row r="2817" spans="1:5" ht="13" x14ac:dyDescent="0.15">
      <c r="A2817" s="5" t="s">
        <v>2977</v>
      </c>
      <c r="D2817" t="str">
        <f ca="1">IFERROR(__xludf.DUMMYFUNCTION("split(A2817,""("")"),"The A Word ")</f>
        <v xml:space="preserve">The A Word </v>
      </c>
      <c r="E2817" t="str">
        <f ca="1">IFERROR(__xludf.DUMMYFUNCTION("""COMPUTED_VALUE"""),"TV Series 2016– )")</f>
        <v>TV Series 2016– )</v>
      </c>
    </row>
    <row r="2818" spans="1:5" ht="13" x14ac:dyDescent="0.15">
      <c r="A2818" s="5" t="s">
        <v>2978</v>
      </c>
      <c r="D2818" t="str">
        <f ca="1">IFERROR(__xludf.DUMMYFUNCTION("split(A2818,""("")"),"The A-List: Dallas ")</f>
        <v xml:space="preserve">The A-List: Dallas </v>
      </c>
      <c r="E2818" t="str">
        <f ca="1">IFERROR(__xludf.DUMMYFUNCTION("""COMPUTED_VALUE"""),"TV Series 2011– )")</f>
        <v>TV Series 2011– )</v>
      </c>
    </row>
    <row r="2819" spans="1:5" ht="13" x14ac:dyDescent="0.15">
      <c r="A2819" s="5" t="s">
        <v>2979</v>
      </c>
      <c r="D2819" t="str">
        <f ca="1">IFERROR(__xludf.DUMMYFUNCTION("split(A2819,""("")"),"The A-List: New York ")</f>
        <v xml:space="preserve">The A-List: New York </v>
      </c>
      <c r="E2819" t="str">
        <f ca="1">IFERROR(__xludf.DUMMYFUNCTION("""COMPUTED_VALUE"""),"TV Series 2010–2011)")</f>
        <v>TV Series 2010–2011)</v>
      </c>
    </row>
    <row r="2820" spans="1:5" ht="13" x14ac:dyDescent="0.15">
      <c r="A2820" s="5" t="s">
        <v>2980</v>
      </c>
      <c r="D2820" t="str">
        <f ca="1">IFERROR(__xludf.DUMMYFUNCTION("split(A2820,""("")"),"The A-Team ")</f>
        <v xml:space="preserve">The A-Team </v>
      </c>
      <c r="E2820" t="str">
        <f ca="1">IFERROR(__xludf.DUMMYFUNCTION("""COMPUTED_VALUE"""),"TV Series 1983–1987)")</f>
        <v>TV Series 1983–1987)</v>
      </c>
    </row>
    <row r="2821" spans="1:5" ht="13" x14ac:dyDescent="0.15">
      <c r="A2821" s="5" t="s">
        <v>2981</v>
      </c>
      <c r="D2821" t="str">
        <f ca="1">IFERROR(__xludf.DUMMYFUNCTION("split(A2821,""("")"),"The Act ")</f>
        <v xml:space="preserve">The Act </v>
      </c>
      <c r="E2821" t="str">
        <f ca="1">IFERROR(__xludf.DUMMYFUNCTION("""COMPUTED_VALUE"""),"TV Series 2019– )")</f>
        <v>TV Series 2019– )</v>
      </c>
    </row>
    <row r="2822" spans="1:5" ht="13" x14ac:dyDescent="0.15">
      <c r="A2822" s="5" t="s">
        <v>2982</v>
      </c>
      <c r="D2822" t="str">
        <f ca="1">IFERROR(__xludf.DUMMYFUNCTION("split(A2822,""("")"),"The Adventures of Brisco County, Jr. ")</f>
        <v xml:space="preserve">The Adventures of Brisco County, Jr. </v>
      </c>
      <c r="E2822" t="str">
        <f ca="1">IFERROR(__xludf.DUMMYFUNCTION("""COMPUTED_VALUE"""),"TV Series 1993–1994)")</f>
        <v>TV Series 1993–1994)</v>
      </c>
    </row>
    <row r="2823" spans="1:5" ht="13" x14ac:dyDescent="0.15">
      <c r="A2823" s="5" t="s">
        <v>404</v>
      </c>
      <c r="D2823" t="str">
        <f ca="1">IFERROR(__xludf.DUMMYFUNCTION("split(A2823,""("")"),"The Adventures of Jimmy Neutron: Boy Genius ")</f>
        <v xml:space="preserve">The Adventures of Jimmy Neutron: Boy Genius </v>
      </c>
      <c r="E2823" t="str">
        <f ca="1">IFERROR(__xludf.DUMMYFUNCTION("""COMPUTED_VALUE"""),"TV Series 1998–2006)")</f>
        <v>TV Series 1998–2006)</v>
      </c>
    </row>
    <row r="2824" spans="1:5" ht="13" x14ac:dyDescent="0.15">
      <c r="A2824" s="5" t="s">
        <v>2983</v>
      </c>
      <c r="D2824" t="str">
        <f ca="1">IFERROR(__xludf.DUMMYFUNCTION("split(A2824,""("")"),"The Adventures of Pete &amp; Pete ")</f>
        <v xml:space="preserve">The Adventures of Pete &amp; Pete </v>
      </c>
      <c r="E2824" t="str">
        <f ca="1">IFERROR(__xludf.DUMMYFUNCTION("""COMPUTED_VALUE"""),"TV Series 1992–1996)")</f>
        <v>TV Series 1992–1996)</v>
      </c>
    </row>
    <row r="2825" spans="1:5" ht="13" x14ac:dyDescent="0.15">
      <c r="A2825" s="5" t="s">
        <v>234</v>
      </c>
      <c r="D2825" t="str">
        <f ca="1">IFERROR(__xludf.DUMMYFUNCTION("split(A2825,""("")"),"The Adventures of Sinbad ")</f>
        <v xml:space="preserve">The Adventures of Sinbad </v>
      </c>
      <c r="E2825" t="str">
        <f ca="1">IFERROR(__xludf.DUMMYFUNCTION("""COMPUTED_VALUE"""),"TV Series 1996–1998)")</f>
        <v>TV Series 1996–1998)</v>
      </c>
    </row>
    <row r="2826" spans="1:5" ht="13" x14ac:dyDescent="0.15">
      <c r="A2826" s="5" t="s">
        <v>517</v>
      </c>
      <c r="D2826" t="str">
        <f ca="1">IFERROR(__xludf.DUMMYFUNCTION("split(A2826,""("")"),"The Adventures of Super Mario Bros. 3 ")</f>
        <v xml:space="preserve">The Adventures of Super Mario Bros. 3 </v>
      </c>
      <c r="E2826" t="str">
        <f ca="1">IFERROR(__xludf.DUMMYFUNCTION("""COMPUTED_VALUE"""),"TV Series 1990)")</f>
        <v>TV Series 1990)</v>
      </c>
    </row>
    <row r="2827" spans="1:5" ht="13" x14ac:dyDescent="0.15">
      <c r="A2827" s="5" t="s">
        <v>152</v>
      </c>
      <c r="D2827" t="str">
        <f ca="1">IFERROR(__xludf.DUMMYFUNCTION("split(A2827,""("")"),"The Adventures of Swiss Family Robinson ")</f>
        <v xml:space="preserve">The Adventures of Swiss Family Robinson </v>
      </c>
      <c r="E2827" t="str">
        <f ca="1">IFERROR(__xludf.DUMMYFUNCTION("""COMPUTED_VALUE"""),"TV Series 1998– )")</f>
        <v>TV Series 1998– )</v>
      </c>
    </row>
    <row r="2828" spans="1:5" ht="13" x14ac:dyDescent="0.15">
      <c r="A2828" s="5" t="s">
        <v>2984</v>
      </c>
      <c r="D2828" t="str">
        <f ca="1">IFERROR(__xludf.DUMMYFUNCTION("split(A2828,""("")"),"The Adventures of Young Hillary ")</f>
        <v xml:space="preserve">The Adventures of Young Hillary </v>
      </c>
      <c r="E2828" t="str">
        <f ca="1">IFERROR(__xludf.DUMMYFUNCTION("""COMPUTED_VALUE"""),"TV Series 2015– )")</f>
        <v>TV Series 2015– )</v>
      </c>
    </row>
    <row r="2829" spans="1:5" ht="13" x14ac:dyDescent="0.15">
      <c r="A2829" s="5" t="s">
        <v>2985</v>
      </c>
      <c r="D2829" t="str">
        <f ca="1">IFERROR(__xludf.DUMMYFUNCTION("split(A2829,""("")"),"The Advocates ")</f>
        <v xml:space="preserve">The Advocates </v>
      </c>
      <c r="E2829" t="str">
        <f ca="1">IFERROR(__xludf.DUMMYFUNCTION("""COMPUTED_VALUE"""),"TV Mini-Series 1991– )")</f>
        <v>TV Mini-Series 1991– )</v>
      </c>
    </row>
    <row r="2830" spans="1:5" ht="13" x14ac:dyDescent="0.15">
      <c r="A2830" s="5" t="s">
        <v>2986</v>
      </c>
      <c r="D2830" t="str">
        <f ca="1">IFERROR(__xludf.DUMMYFUNCTION("split(A2830,""("")"),"The Affair ")</f>
        <v xml:space="preserve">The Affair </v>
      </c>
      <c r="E2830" t="str">
        <f ca="1">IFERROR(__xludf.DUMMYFUNCTION("""COMPUTED_VALUE"""),"TV Series 2014– )")</f>
        <v>TV Series 2014– )</v>
      </c>
    </row>
    <row r="2831" spans="1:5" ht="13" x14ac:dyDescent="0.15">
      <c r="A2831" s="5" t="s">
        <v>2987</v>
      </c>
      <c r="D2831" t="str">
        <f ca="1">IFERROR(__xludf.DUMMYFUNCTION("split(A2831,""("")"),"The Alienist ")</f>
        <v xml:space="preserve">The Alienist </v>
      </c>
      <c r="E2831" t="str">
        <f ca="1">IFERROR(__xludf.DUMMYFUNCTION("""COMPUTED_VALUE"""),"TV Series 2018)")</f>
        <v>TV Series 2018)</v>
      </c>
    </row>
    <row r="2832" spans="1:5" ht="13" x14ac:dyDescent="0.15">
      <c r="A2832" s="5" t="s">
        <v>2988</v>
      </c>
      <c r="D2832" t="str">
        <f ca="1">IFERROR(__xludf.DUMMYFUNCTION("split(A2832,""("")"),"The Allen and Craig Show ")</f>
        <v xml:space="preserve">The Allen and Craig Show </v>
      </c>
      <c r="E2832" t="str">
        <f ca="1">IFERROR(__xludf.DUMMYFUNCTION("""COMPUTED_VALUE"""),"TV Series 2008–2010)")</f>
        <v>TV Series 2008–2010)</v>
      </c>
    </row>
    <row r="2833" spans="1:5" ht="13" x14ac:dyDescent="0.15">
      <c r="A2833" s="5" t="s">
        <v>2989</v>
      </c>
      <c r="D2833" t="str">
        <f ca="1">IFERROR(__xludf.DUMMYFUNCTION("split(A2833,""("")"),"The Amazing Race ")</f>
        <v xml:space="preserve">The Amazing Race </v>
      </c>
      <c r="E2833" t="str">
        <f ca="1">IFERROR(__xludf.DUMMYFUNCTION("""COMPUTED_VALUE"""),"TV Series 2001– )")</f>
        <v>TV Series 2001– )</v>
      </c>
    </row>
    <row r="2834" spans="1:5" ht="13" x14ac:dyDescent="0.15">
      <c r="A2834" s="5" t="s">
        <v>2990</v>
      </c>
      <c r="D2834" t="str">
        <f ca="1">IFERROR(__xludf.DUMMYFUNCTION("split(A2834,""("")"),"The Amazing World of Gumball ")</f>
        <v xml:space="preserve">The Amazing World of Gumball </v>
      </c>
      <c r="E2834" t="str">
        <f ca="1">IFERROR(__xludf.DUMMYFUNCTION("""COMPUTED_VALUE"""),"TV Series 2011–2019)")</f>
        <v>TV Series 2011–2019)</v>
      </c>
    </row>
    <row r="2835" spans="1:5" ht="13" x14ac:dyDescent="0.15">
      <c r="A2835" s="5" t="s">
        <v>2991</v>
      </c>
      <c r="D2835" t="str">
        <f ca="1">IFERROR(__xludf.DUMMYFUNCTION("split(A2835,""("")"),"The American Baking Competition ")</f>
        <v xml:space="preserve">The American Baking Competition </v>
      </c>
      <c r="E2835" t="str">
        <f ca="1">IFERROR(__xludf.DUMMYFUNCTION("""COMPUTED_VALUE"""),"TV Series 2013– )")</f>
        <v>TV Series 2013– )</v>
      </c>
    </row>
    <row r="2836" spans="1:5" ht="13" x14ac:dyDescent="0.15">
      <c r="A2836" s="5" t="s">
        <v>2992</v>
      </c>
      <c r="D2836" t="str">
        <f ca="1">IFERROR(__xludf.DUMMYFUNCTION("split(A2836,""("")"),"The Americans ")</f>
        <v xml:space="preserve">The Americans </v>
      </c>
      <c r="E2836" t="str">
        <f ca="1">IFERROR(__xludf.DUMMYFUNCTION("""COMPUTED_VALUE"""),"TV Series 2013–2018)")</f>
        <v>TV Series 2013–2018)</v>
      </c>
    </row>
    <row r="2837" spans="1:5" ht="13" x14ac:dyDescent="0.15">
      <c r="A2837" s="5" t="s">
        <v>2993</v>
      </c>
      <c r="D2837" t="str">
        <f ca="1">IFERROR(__xludf.DUMMYFUNCTION("split(A2837,""("")"),"The Angered Beast Reviewer ")</f>
        <v xml:space="preserve">The Angered Beast Reviewer </v>
      </c>
      <c r="E2837" t="str">
        <f ca="1">IFERROR(__xludf.DUMMYFUNCTION("""COMPUTED_VALUE"""),"TV Series 2013– )")</f>
        <v>TV Series 2013– )</v>
      </c>
    </row>
    <row r="2838" spans="1:5" ht="13" x14ac:dyDescent="0.15">
      <c r="A2838" s="5" t="s">
        <v>2994</v>
      </c>
      <c r="D2838" t="str">
        <f ca="1">IFERROR(__xludf.DUMMYFUNCTION("split(A2838,""("")"),"The Angry Video Game Nerd ")</f>
        <v xml:space="preserve">The Angry Video Game Nerd </v>
      </c>
      <c r="E2838" t="str">
        <f ca="1">IFERROR(__xludf.DUMMYFUNCTION("""COMPUTED_VALUE"""),"TV Series 2004– )")</f>
        <v>TV Series 2004– )</v>
      </c>
    </row>
    <row r="2839" spans="1:5" ht="13" x14ac:dyDescent="0.15">
      <c r="A2839" s="5" t="s">
        <v>2995</v>
      </c>
      <c r="D2839" t="str">
        <f ca="1">IFERROR(__xludf.DUMMYFUNCTION("split(A2839,""("")"),"The Animals of Farthing Wood ")</f>
        <v xml:space="preserve">The Animals of Farthing Wood </v>
      </c>
      <c r="E2839" t="str">
        <f ca="1">IFERROR(__xludf.DUMMYFUNCTION("""COMPUTED_VALUE"""),"TV Series 1993–1995)")</f>
        <v>TV Series 1993–1995)</v>
      </c>
    </row>
    <row r="2840" spans="1:5" ht="13" x14ac:dyDescent="0.15">
      <c r="A2840" s="5" t="s">
        <v>2996</v>
      </c>
      <c r="D2840" t="str">
        <f ca="1">IFERROR(__xludf.DUMMYFUNCTION("split(A2840,""("")"),"The Anna Nicole Show ")</f>
        <v xml:space="preserve">The Anna Nicole Show </v>
      </c>
      <c r="E2840" t="str">
        <f ca="1">IFERROR(__xludf.DUMMYFUNCTION("""COMPUTED_VALUE"""),"TV Series 2002–2004)")</f>
        <v>TV Series 2002–2004)</v>
      </c>
    </row>
    <row r="2841" spans="1:5" ht="13" x14ac:dyDescent="0.15">
      <c r="A2841" s="5" t="s">
        <v>373</v>
      </c>
      <c r="D2841" t="str">
        <f ca="1">IFERROR(__xludf.DUMMYFUNCTION("split(A2841,""("")"),"The Apprentice ")</f>
        <v xml:space="preserve">The Apprentice </v>
      </c>
      <c r="E2841" t="str">
        <f ca="1">IFERROR(__xludf.DUMMYFUNCTION("""COMPUTED_VALUE"""),"TV Series 2004–2017)")</f>
        <v>TV Series 2004–2017)</v>
      </c>
    </row>
    <row r="2842" spans="1:5" ht="13" x14ac:dyDescent="0.15">
      <c r="A2842" s="5" t="s">
        <v>2997</v>
      </c>
      <c r="D2842" t="str">
        <f ca="1">IFERROR(__xludf.DUMMYFUNCTION("split(A2842,""("")"),"The Arrangement ")</f>
        <v xml:space="preserve">The Arrangement </v>
      </c>
      <c r="E2842" t="str">
        <f ca="1">IFERROR(__xludf.DUMMYFUNCTION("""COMPUTED_VALUE"""),"TV Series 2017–2018)")</f>
        <v>TV Series 2017–2018)</v>
      </c>
    </row>
    <row r="2843" spans="1:5" ht="13" x14ac:dyDescent="0.15">
      <c r="A2843" s="5" t="s">
        <v>2998</v>
      </c>
      <c r="D2843" t="str">
        <f ca="1">IFERROR(__xludf.DUMMYFUNCTION("split(A2843,""("")"),"The Atheism Tapes ")</f>
        <v xml:space="preserve">The Atheism Tapes </v>
      </c>
      <c r="E2843" t="str">
        <f ca="1">IFERROR(__xludf.DUMMYFUNCTION("""COMPUTED_VALUE"""),"TV Series 2004– )")</f>
        <v>TV Series 2004– )</v>
      </c>
    </row>
    <row r="2844" spans="1:5" ht="13" x14ac:dyDescent="0.15">
      <c r="A2844" s="5" t="s">
        <v>84</v>
      </c>
      <c r="D2844" t="str">
        <f ca="1">IFERROR(__xludf.DUMMYFUNCTION("split(A2844,""("")"),"The Avengers: Earth's Mightiest Heroes ")</f>
        <v xml:space="preserve">The Avengers: Earth's Mightiest Heroes </v>
      </c>
      <c r="E2844" t="str">
        <f ca="1">IFERROR(__xludf.DUMMYFUNCTION("""COMPUTED_VALUE"""),"TV Series 2010–2012)")</f>
        <v>TV Series 2010–2012)</v>
      </c>
    </row>
    <row r="2845" spans="1:5" ht="13" x14ac:dyDescent="0.15">
      <c r="A2845" s="5" t="s">
        <v>2999</v>
      </c>
      <c r="D2845" t="str">
        <f ca="1">IFERROR(__xludf.DUMMYFUNCTION("split(A2845,""("")"),"The Awesomes ")</f>
        <v xml:space="preserve">The Awesomes </v>
      </c>
      <c r="E2845" t="str">
        <f ca="1">IFERROR(__xludf.DUMMYFUNCTION("""COMPUTED_VALUE"""),"TV Series 2013–2015)")</f>
        <v>TV Series 2013–2015)</v>
      </c>
    </row>
    <row r="2846" spans="1:5" ht="13" x14ac:dyDescent="0.15">
      <c r="A2846" s="5" t="s">
        <v>3000</v>
      </c>
      <c r="D2846" t="str">
        <f ca="1">IFERROR(__xludf.DUMMYFUNCTION("split(A2846,""("")"),"The Bachelor ")</f>
        <v xml:space="preserve">The Bachelor </v>
      </c>
      <c r="E2846" t="str">
        <f ca="1">IFERROR(__xludf.DUMMYFUNCTION("""COMPUTED_VALUE"""),"TV Series 2002– )")</f>
        <v>TV Series 2002– )</v>
      </c>
    </row>
    <row r="2847" spans="1:5" ht="13" x14ac:dyDescent="0.15">
      <c r="A2847" s="5" t="s">
        <v>450</v>
      </c>
      <c r="D2847" t="str">
        <f ca="1">IFERROR(__xludf.DUMMYFUNCTION("split(A2847,""("")"),"The Bachelorette ")</f>
        <v xml:space="preserve">The Bachelorette </v>
      </c>
      <c r="E2847" t="str">
        <f ca="1">IFERROR(__xludf.DUMMYFUNCTION("""COMPUTED_VALUE"""),"TV Series 2003– )")</f>
        <v>TV Series 2003– )</v>
      </c>
    </row>
    <row r="2848" spans="1:5" ht="13" x14ac:dyDescent="0.15">
      <c r="A2848" s="5" t="s">
        <v>85</v>
      </c>
      <c r="D2848" t="str">
        <f ca="1">IFERROR(__xludf.DUMMYFUNCTION("split(A2848,""("")"),"The Batman ")</f>
        <v xml:space="preserve">The Batman </v>
      </c>
      <c r="E2848" t="str">
        <f ca="1">IFERROR(__xludf.DUMMYFUNCTION("""COMPUTED_VALUE"""),"TV Series 2004–2008)")</f>
        <v>TV Series 2004–2008)</v>
      </c>
    </row>
    <row r="2849" spans="1:5" ht="13" x14ac:dyDescent="0.15">
      <c r="A2849" s="5" t="s">
        <v>3001</v>
      </c>
      <c r="D2849" t="str">
        <f ca="1">IFERROR(__xludf.DUMMYFUNCTION("split(A2849,""("")"),"The Ben Stiller Show ")</f>
        <v xml:space="preserve">The Ben Stiller Show </v>
      </c>
      <c r="E2849" t="str">
        <f ca="1">IFERROR(__xludf.DUMMYFUNCTION("""COMPUTED_VALUE"""),"TV Series 1992–1995)")</f>
        <v>TV Series 1992–1995)</v>
      </c>
    </row>
    <row r="2850" spans="1:5" ht="13" x14ac:dyDescent="0.15">
      <c r="A2850" s="5" t="s">
        <v>235</v>
      </c>
      <c r="D2850" t="str">
        <f ca="1">IFERROR(__xludf.DUMMYFUNCTION("split(A2850,""("")"),"The Bernie Mac Show ")</f>
        <v xml:space="preserve">The Bernie Mac Show </v>
      </c>
      <c r="E2850" t="str">
        <f ca="1">IFERROR(__xludf.DUMMYFUNCTION("""COMPUTED_VALUE"""),"TV Series 2001–2006)")</f>
        <v>TV Series 2001–2006)</v>
      </c>
    </row>
    <row r="2851" spans="1:5" ht="13" x14ac:dyDescent="0.15">
      <c r="A2851" s="5" t="s">
        <v>3002</v>
      </c>
      <c r="D2851" t="str">
        <f ca="1">IFERROR(__xludf.DUMMYFUNCTION("split(A2851,""("")"),"The Bible ")</f>
        <v xml:space="preserve">The Bible </v>
      </c>
      <c r="E2851" t="str">
        <f ca="1">IFERROR(__xludf.DUMMYFUNCTION("""COMPUTED_VALUE"""),"TV Series 2018– )")</f>
        <v>TV Series 2018– )</v>
      </c>
    </row>
    <row r="2852" spans="1:5" ht="13" x14ac:dyDescent="0.15">
      <c r="A2852" s="5" t="s">
        <v>374</v>
      </c>
      <c r="D2852" t="str">
        <f ca="1">IFERROR(__xludf.DUMMYFUNCTION("split(A2852,""("")"),"The Big Bang Theory ")</f>
        <v xml:space="preserve">The Big Bang Theory </v>
      </c>
      <c r="E2852" t="str">
        <f ca="1">IFERROR(__xludf.DUMMYFUNCTION("""COMPUTED_VALUE"""),"TV Series 2007–2019)")</f>
        <v>TV Series 2007–2019)</v>
      </c>
    </row>
    <row r="2853" spans="1:5" ht="13" x14ac:dyDescent="0.15">
      <c r="A2853" s="5" t="s">
        <v>3003</v>
      </c>
      <c r="D2853" t="str">
        <f ca="1">IFERROR(__xludf.DUMMYFUNCTION("split(A2853,""("")"),"The Big O ")</f>
        <v xml:space="preserve">The Big O </v>
      </c>
      <c r="E2853" t="str">
        <f ca="1">IFERROR(__xludf.DUMMYFUNCTION("""COMPUTED_VALUE"""),"TV Series 1999–2003)")</f>
        <v>TV Series 1999–2003)</v>
      </c>
    </row>
    <row r="2854" spans="1:5" ht="13" x14ac:dyDescent="0.15">
      <c r="A2854" s="5" t="s">
        <v>3004</v>
      </c>
      <c r="D2854" t="str">
        <f ca="1">IFERROR(__xludf.DUMMYFUNCTION("split(A2854,""("")"),"The Biggest Loser ")</f>
        <v xml:space="preserve">The Biggest Loser </v>
      </c>
      <c r="E2854" t="str">
        <f ca="1">IFERROR(__xludf.DUMMYFUNCTION("""COMPUTED_VALUE"""),"TV Series 2004– )")</f>
        <v>TV Series 2004– )</v>
      </c>
    </row>
    <row r="2855" spans="1:5" ht="13" x14ac:dyDescent="0.15">
      <c r="A2855" s="5" t="s">
        <v>3005</v>
      </c>
      <c r="D2855" t="str">
        <f ca="1">IFERROR(__xludf.DUMMYFUNCTION("split(A2855,""("")"),"The Bill ")</f>
        <v xml:space="preserve">The Bill </v>
      </c>
      <c r="E2855" t="str">
        <f ca="1">IFERROR(__xludf.DUMMYFUNCTION("""COMPUTED_VALUE"""),"TV Series 1984–2010)")</f>
        <v>TV Series 1984–2010)</v>
      </c>
    </row>
    <row r="2856" spans="1:5" ht="13" x14ac:dyDescent="0.15">
      <c r="A2856" s="5" t="s">
        <v>3006</v>
      </c>
      <c r="D2856" t="str">
        <f ca="1">IFERROR(__xludf.DUMMYFUNCTION("split(A2856,""("")"),"The Bionic Vet ")</f>
        <v xml:space="preserve">The Bionic Vet </v>
      </c>
      <c r="E2856" t="str">
        <f ca="1">IFERROR(__xludf.DUMMYFUNCTION("""COMPUTED_VALUE"""),"TV Series 2010– )")</f>
        <v>TV Series 2010– )</v>
      </c>
    </row>
    <row r="2857" spans="1:5" ht="13" x14ac:dyDescent="0.15">
      <c r="A2857" s="5" t="s">
        <v>3007</v>
      </c>
      <c r="D2857" t="str">
        <f ca="1">IFERROR(__xludf.DUMMYFUNCTION("split(A2857,""("")"),"The Birthday Boys ")</f>
        <v xml:space="preserve">The Birthday Boys </v>
      </c>
      <c r="E2857" t="str">
        <f ca="1">IFERROR(__xludf.DUMMYFUNCTION("""COMPUTED_VALUE"""),"TV Series 2013– )")</f>
        <v>TV Series 2013– )</v>
      </c>
    </row>
    <row r="2858" spans="1:5" ht="13" x14ac:dyDescent="0.15">
      <c r="A2858" s="5" t="s">
        <v>3008</v>
      </c>
      <c r="D2858" t="str">
        <f ca="1">IFERROR(__xludf.DUMMYFUNCTION("split(A2858,""("")"),"The Bisexual ")</f>
        <v xml:space="preserve">The Bisexual </v>
      </c>
      <c r="E2858" t="str">
        <f ca="1">IFERROR(__xludf.DUMMYFUNCTION("""COMPUTED_VALUE"""),"TV Series 2018– )")</f>
        <v>TV Series 2018– )</v>
      </c>
    </row>
    <row r="2859" spans="1:5" ht="13" x14ac:dyDescent="0.15">
      <c r="A2859" s="5" t="s">
        <v>3009</v>
      </c>
      <c r="D2859" t="str">
        <f ca="1">IFERROR(__xludf.DUMMYFUNCTION("split(A2859,""("")"),"The Biskitts ")</f>
        <v xml:space="preserve">The Biskitts </v>
      </c>
      <c r="E2859" t="str">
        <f ca="1">IFERROR(__xludf.DUMMYFUNCTION("""COMPUTED_VALUE"""),"TV Series 1983– )")</f>
        <v>TV Series 1983– )</v>
      </c>
    </row>
    <row r="2860" spans="1:5" ht="13" x14ac:dyDescent="0.15">
      <c r="A2860" s="5" t="s">
        <v>3010</v>
      </c>
      <c r="D2860" t="str">
        <f ca="1">IFERROR(__xludf.DUMMYFUNCTION("split(A2860,""("")"),"The Black Adder ")</f>
        <v xml:space="preserve">The Black Adder </v>
      </c>
      <c r="E2860" t="str">
        <f ca="1">IFERROR(__xludf.DUMMYFUNCTION("""COMPUTED_VALUE"""),"TV Series 1982–1983)")</f>
        <v>TV Series 1982–1983)</v>
      </c>
    </row>
    <row r="2861" spans="1:5" ht="13" x14ac:dyDescent="0.15">
      <c r="A2861" s="5" t="s">
        <v>3011</v>
      </c>
      <c r="D2861" t="str">
        <f ca="1">IFERROR(__xludf.DUMMYFUNCTION("split(A2861,""("")"),"The Black Donnellys ")</f>
        <v xml:space="preserve">The Black Donnellys </v>
      </c>
      <c r="E2861" t="str">
        <f ca="1">IFERROR(__xludf.DUMMYFUNCTION("""COMPUTED_VALUE"""),"TV Series 2007– )")</f>
        <v>TV Series 2007– )</v>
      </c>
    </row>
    <row r="2862" spans="1:5" ht="13" x14ac:dyDescent="0.15">
      <c r="A2862" s="5" t="s">
        <v>3012</v>
      </c>
      <c r="D2862" t="str">
        <f ca="1">IFERROR(__xludf.DUMMYFUNCTION("split(A2862,""("")"),"The Black Forest Clinic ")</f>
        <v xml:space="preserve">The Black Forest Clinic </v>
      </c>
      <c r="E2862" t="str">
        <f ca="1">IFERROR(__xludf.DUMMYFUNCTION("""COMPUTED_VALUE"""),"TV Series 1985–1989)")</f>
        <v>TV Series 1985–1989)</v>
      </c>
    </row>
    <row r="2863" spans="1:5" ht="13" x14ac:dyDescent="0.15">
      <c r="A2863" s="5" t="s">
        <v>294</v>
      </c>
      <c r="D2863" t="str">
        <f ca="1">IFERROR(__xludf.DUMMYFUNCTION("split(A2863,""("")"),"The Blacklist ")</f>
        <v xml:space="preserve">The Blacklist </v>
      </c>
      <c r="E2863" t="str">
        <f ca="1">IFERROR(__xludf.DUMMYFUNCTION("""COMPUTED_VALUE"""),"TV Series 2013– )")</f>
        <v>TV Series 2013– )</v>
      </c>
    </row>
    <row r="2864" spans="1:5" ht="13" x14ac:dyDescent="0.15">
      <c r="A2864" s="5" t="s">
        <v>641</v>
      </c>
      <c r="D2864" t="str">
        <f ca="1">IFERROR(__xludf.DUMMYFUNCTION("split(A2864,""("")"),"The Blacklist: Redemption ")</f>
        <v xml:space="preserve">The Blacklist: Redemption </v>
      </c>
      <c r="E2864" t="str">
        <f ca="1">IFERROR(__xludf.DUMMYFUNCTION("""COMPUTED_VALUE"""),"TV Series 2017)")</f>
        <v>TV Series 2017)</v>
      </c>
    </row>
    <row r="2865" spans="1:5" ht="13" x14ac:dyDescent="0.15">
      <c r="A2865" s="5" t="s">
        <v>3013</v>
      </c>
      <c r="D2865" t="str">
        <f ca="1">IFERROR(__xludf.DUMMYFUNCTION("split(A2865,""("")"),"The Bletchley Circle ")</f>
        <v xml:space="preserve">The Bletchley Circle </v>
      </c>
      <c r="E2865" t="str">
        <f ca="1">IFERROR(__xludf.DUMMYFUNCTION("""COMPUTED_VALUE"""),"TV Series 2012–2014)")</f>
        <v>TV Series 2012–2014)</v>
      </c>
    </row>
    <row r="2866" spans="1:5" ht="13" x14ac:dyDescent="0.15">
      <c r="A2866" s="5" t="s">
        <v>642</v>
      </c>
      <c r="D2866" t="str">
        <f ca="1">IFERROR(__xludf.DUMMYFUNCTION("split(A2866,""("")"),"The Bletchley Circle: San Francisco ")</f>
        <v xml:space="preserve">The Bletchley Circle: San Francisco </v>
      </c>
      <c r="E2866" t="str">
        <f ca="1">IFERROR(__xludf.DUMMYFUNCTION("""COMPUTED_VALUE"""),"TV Series 2018– )")</f>
        <v>TV Series 2018– )</v>
      </c>
    </row>
    <row r="2867" spans="1:5" ht="13" x14ac:dyDescent="0.15">
      <c r="A2867" s="5" t="s">
        <v>3014</v>
      </c>
      <c r="D2867" t="str">
        <f ca="1">IFERROR(__xludf.DUMMYFUNCTION("split(A2867,""("")"),"The Blubburbs ")</f>
        <v xml:space="preserve">The Blubburbs </v>
      </c>
      <c r="E2867" t="str">
        <f ca="1">IFERROR(__xludf.DUMMYFUNCTION("""COMPUTED_VALUE"""),"TV Series 2018– )")</f>
        <v>TV Series 2018– )</v>
      </c>
    </row>
    <row r="2868" spans="1:5" ht="13" x14ac:dyDescent="0.15">
      <c r="A2868" s="5" t="s">
        <v>3015</v>
      </c>
      <c r="D2868" t="str">
        <f ca="1">IFERROR(__xludf.DUMMYFUNCTION("split(A2868,""("")"),"The Boat ")</f>
        <v xml:space="preserve">The Boat </v>
      </c>
      <c r="E2868" t="str">
        <f ca="1">IFERROR(__xludf.DUMMYFUNCTION("""COMPUTED_VALUE"""),"TV Series 2011–2013)")</f>
        <v>TV Series 2011–2013)</v>
      </c>
    </row>
    <row r="2869" spans="1:5" ht="13" x14ac:dyDescent="0.15">
      <c r="A2869" s="5" t="s">
        <v>236</v>
      </c>
      <c r="D2869" t="str">
        <f ca="1">IFERROR(__xludf.DUMMYFUNCTION("split(A2869,""("")"),"The Bobby Brown Story ")</f>
        <v xml:space="preserve">The Bobby Brown Story </v>
      </c>
      <c r="E2869" t="str">
        <f ca="1">IFERROR(__xludf.DUMMYFUNCTION("""COMPUTED_VALUE"""),"TV Series 2018– )")</f>
        <v>TV Series 2018– )</v>
      </c>
    </row>
    <row r="2870" spans="1:5" ht="13" x14ac:dyDescent="0.15">
      <c r="A2870" s="5" t="s">
        <v>3016</v>
      </c>
      <c r="D2870" t="str">
        <f ca="1">IFERROR(__xludf.DUMMYFUNCTION("split(A2870,""("")"),"The Bobroom ")</f>
        <v xml:space="preserve">The Bobroom </v>
      </c>
      <c r="E2870" t="str">
        <f ca="1">IFERROR(__xludf.DUMMYFUNCTION("""COMPUTED_VALUE"""),"TV Series 2004– )")</f>
        <v>TV Series 2004– )</v>
      </c>
    </row>
    <row r="2871" spans="1:5" ht="13" x14ac:dyDescent="0.15">
      <c r="A2871" s="5" t="s">
        <v>3017</v>
      </c>
      <c r="D2871" t="str">
        <f ca="1">IFERROR(__xludf.DUMMYFUNCTION("split(A2871,""("")"),"The Bold and the Beautiful ")</f>
        <v xml:space="preserve">The Bold and the Beautiful </v>
      </c>
      <c r="E2871" t="str">
        <f ca="1">IFERROR(__xludf.DUMMYFUNCTION("""COMPUTED_VALUE"""),"TV Series 1987– )")</f>
        <v>TV Series 1987– )</v>
      </c>
    </row>
    <row r="2872" spans="1:5" ht="13" x14ac:dyDescent="0.15">
      <c r="A2872" s="5" t="s">
        <v>3018</v>
      </c>
      <c r="D2872" t="str">
        <f ca="1">IFERROR(__xludf.DUMMYFUNCTION("split(A2872,""("")"),"The Bold Type ")</f>
        <v xml:space="preserve">The Bold Type </v>
      </c>
      <c r="E2872" t="str">
        <f ca="1">IFERROR(__xludf.DUMMYFUNCTION("""COMPUTED_VALUE"""),"TV Series 2017– )")</f>
        <v>TV Series 2017– )</v>
      </c>
    </row>
    <row r="2873" spans="1:5" ht="13" x14ac:dyDescent="0.15">
      <c r="A2873" s="5" t="s">
        <v>3019</v>
      </c>
      <c r="D2873" t="str">
        <f ca="1">IFERROR(__xludf.DUMMYFUNCTION("split(A2873,""("")"),"The Book of Revelation ")</f>
        <v xml:space="preserve">The Book of Revelation </v>
      </c>
      <c r="E2873" t="str">
        <f ca="1">IFERROR(__xludf.DUMMYFUNCTION("""COMPUTED_VALUE"""),"TV Series 2013– )")</f>
        <v>TV Series 2013– )</v>
      </c>
    </row>
    <row r="2874" spans="1:5" ht="13" x14ac:dyDescent="0.15">
      <c r="A2874" s="5" t="s">
        <v>3020</v>
      </c>
      <c r="D2874" t="str">
        <f ca="1">IFERROR(__xludf.DUMMYFUNCTION("split(A2874,""("")"),"The Book of the Three Hans ")</f>
        <v xml:space="preserve">The Book of the Three Hans </v>
      </c>
      <c r="E2874" t="str">
        <f ca="1">IFERROR(__xludf.DUMMYFUNCTION("""COMPUTED_VALUE"""),"TV Series 2006–2007)")</f>
        <v>TV Series 2006–2007)</v>
      </c>
    </row>
    <row r="2875" spans="1:5" ht="13" x14ac:dyDescent="0.15">
      <c r="A2875" s="5" t="s">
        <v>3021</v>
      </c>
      <c r="D2875" t="str">
        <f ca="1">IFERROR(__xludf.DUMMYFUNCTION("split(A2875,""("")"),"The Boondocks ")</f>
        <v xml:space="preserve">The Boondocks </v>
      </c>
      <c r="E2875" t="str">
        <f ca="1">IFERROR(__xludf.DUMMYFUNCTION("""COMPUTED_VALUE"""),"TV Series 2005–2014)")</f>
        <v>TV Series 2005–2014)</v>
      </c>
    </row>
    <row r="2876" spans="1:5" ht="13" x14ac:dyDescent="0.15">
      <c r="A2876" s="5" t="s">
        <v>3022</v>
      </c>
      <c r="D2876" t="str">
        <f ca="1">IFERROR(__xludf.DUMMYFUNCTION("split(A2876,""("")"),"The Border ")</f>
        <v xml:space="preserve">The Border </v>
      </c>
      <c r="E2876" t="str">
        <f ca="1">IFERROR(__xludf.DUMMYFUNCTION("""COMPUTED_VALUE"""),"TV Series 2014– )")</f>
        <v>TV Series 2014– )</v>
      </c>
    </row>
    <row r="2877" spans="1:5" ht="13" x14ac:dyDescent="0.15">
      <c r="A2877" s="5" t="s">
        <v>3023</v>
      </c>
      <c r="D2877" t="str">
        <f ca="1">IFERROR(__xludf.DUMMYFUNCTION("split(A2877,""("")"),"The Borgias ")</f>
        <v xml:space="preserve">The Borgias </v>
      </c>
      <c r="E2877" t="str">
        <f ca="1">IFERROR(__xludf.DUMMYFUNCTION("""COMPUTED_VALUE"""),"TV Series 2011–2013)")</f>
        <v>TV Series 2011–2013)</v>
      </c>
    </row>
    <row r="2878" spans="1:5" ht="13" x14ac:dyDescent="0.15">
      <c r="A2878" s="5" t="s">
        <v>108</v>
      </c>
      <c r="D2878" t="str">
        <f ca="1">IFERROR(__xludf.DUMMYFUNCTION("split(A2878,""("")"),"The Boys ")</f>
        <v xml:space="preserve">The Boys </v>
      </c>
      <c r="E2878" t="str">
        <f ca="1">IFERROR(__xludf.DUMMYFUNCTION("""COMPUTED_VALUE"""),"TV Series 2019– )")</f>
        <v>TV Series 2019– )</v>
      </c>
    </row>
    <row r="2879" spans="1:5" ht="13" x14ac:dyDescent="0.15">
      <c r="A2879" s="5" t="s">
        <v>3024</v>
      </c>
      <c r="D2879" t="str">
        <f ca="1">IFERROR(__xludf.DUMMYFUNCTION("split(A2879,""("")"),"The Brak Show ")</f>
        <v xml:space="preserve">The Brak Show </v>
      </c>
      <c r="E2879" t="str">
        <f ca="1">IFERROR(__xludf.DUMMYFUNCTION("""COMPUTED_VALUE"""),"TV Series 2000–2007)")</f>
        <v>TV Series 2000–2007)</v>
      </c>
    </row>
    <row r="2880" spans="1:5" ht="13" x14ac:dyDescent="0.15">
      <c r="A2880" s="5" t="s">
        <v>3025</v>
      </c>
      <c r="D2880" t="str">
        <f ca="1">IFERROR(__xludf.DUMMYFUNCTION("split(A2880,""("")"),"The Bridge ")</f>
        <v xml:space="preserve">The Bridge </v>
      </c>
      <c r="E2880" t="str">
        <f ca="1">IFERROR(__xludf.DUMMYFUNCTION("""COMPUTED_VALUE"""),"TV Series 2010– )")</f>
        <v>TV Series 2010– )</v>
      </c>
    </row>
    <row r="2881" spans="1:5" ht="13" x14ac:dyDescent="0.15">
      <c r="A2881" s="5" t="s">
        <v>3026</v>
      </c>
      <c r="D2881" t="str">
        <f ca="1">IFERROR(__xludf.DUMMYFUNCTION("split(A2881,""("")"),"The Bridge ")</f>
        <v xml:space="preserve">The Bridge </v>
      </c>
      <c r="E2881" t="str">
        <f ca="1">IFERROR(__xludf.DUMMYFUNCTION("""COMPUTED_VALUE"""),"TV Series 2013–2014)")</f>
        <v>TV Series 2013–2014)</v>
      </c>
    </row>
    <row r="2882" spans="1:5" ht="13" x14ac:dyDescent="0.15">
      <c r="A2882" s="5" t="s">
        <v>3027</v>
      </c>
      <c r="D2882" t="str">
        <f ca="1">IFERROR(__xludf.DUMMYFUNCTION("split(A2882,""("")"),"The Briefcase ")</f>
        <v xml:space="preserve">The Briefcase </v>
      </c>
      <c r="E2882" t="str">
        <f ca="1">IFERROR(__xludf.DUMMYFUNCTION("""COMPUTED_VALUE"""),"TV Series 2015– )")</f>
        <v>TV Series 2015– )</v>
      </c>
    </row>
    <row r="2883" spans="1:5" ht="13" x14ac:dyDescent="0.15">
      <c r="A2883" s="5" t="s">
        <v>3028</v>
      </c>
      <c r="D2883" t="str">
        <f ca="1">IFERROR(__xludf.DUMMYFUNCTION("split(A2883,""("")"),"The Brokenwood Mysteries ")</f>
        <v xml:space="preserve">The Brokenwood Mysteries </v>
      </c>
      <c r="E2883" t="str">
        <f ca="1">IFERROR(__xludf.DUMMYFUNCTION("""COMPUTED_VALUE"""),"TV Series 2014– )")</f>
        <v>TV Series 2014– )</v>
      </c>
    </row>
    <row r="2884" spans="1:5" ht="13" x14ac:dyDescent="0.15">
      <c r="A2884" s="5" t="s">
        <v>3029</v>
      </c>
      <c r="D2884" t="str">
        <f ca="1">IFERROR(__xludf.DUMMYFUNCTION("split(A2884,""("")"),"The Bronx Zoo ")</f>
        <v xml:space="preserve">The Bronx Zoo </v>
      </c>
      <c r="E2884" t="str">
        <f ca="1">IFERROR(__xludf.DUMMYFUNCTION("""COMPUTED_VALUE"""),"TV Series 1987–1988)")</f>
        <v>TV Series 1987–1988)</v>
      </c>
    </row>
    <row r="2885" spans="1:5" ht="13" x14ac:dyDescent="0.15">
      <c r="A2885" s="5" t="s">
        <v>3030</v>
      </c>
      <c r="D2885" t="str">
        <f ca="1">IFERROR(__xludf.DUMMYFUNCTION("split(A2885,""("")"),"The Business ")</f>
        <v xml:space="preserve">The Business </v>
      </c>
      <c r="E2885" t="str">
        <f ca="1">IFERROR(__xludf.DUMMYFUNCTION("""COMPUTED_VALUE"""),"TV Series 2013–2018)")</f>
        <v>TV Series 2013–2018)</v>
      </c>
    </row>
    <row r="2886" spans="1:5" ht="13" x14ac:dyDescent="0.15">
      <c r="A2886" s="5" t="s">
        <v>3031</v>
      </c>
      <c r="D2886" t="str">
        <f ca="1">IFERROR(__xludf.DUMMYFUNCTION("split(A2886,""("")"),"The Call Girl ")</f>
        <v xml:space="preserve">The Call Girl </v>
      </c>
      <c r="E2886" t="str">
        <f ca="1">IFERROR(__xludf.DUMMYFUNCTION("""COMPUTED_VALUE"""),"TV Series 2017)")</f>
        <v>TV Series 2017)</v>
      </c>
    </row>
    <row r="2887" spans="1:5" ht="13" x14ac:dyDescent="0.15">
      <c r="A2887" s="5" t="s">
        <v>3032</v>
      </c>
      <c r="D2887" t="str">
        <f ca="1">IFERROR(__xludf.DUMMYFUNCTION("split(A2887,""("")"),"The Campbells ")</f>
        <v xml:space="preserve">The Campbells </v>
      </c>
      <c r="E2887" t="str">
        <f ca="1">IFERROR(__xludf.DUMMYFUNCTION("""COMPUTED_VALUE"""),"TV Series 1986–1990)")</f>
        <v>TV Series 1986–1990)</v>
      </c>
    </row>
    <row r="2888" spans="1:5" ht="13" x14ac:dyDescent="0.15">
      <c r="A2888" s="5" t="s">
        <v>19</v>
      </c>
      <c r="D2888" t="str">
        <f ca="1">IFERROR(__xludf.DUMMYFUNCTION("split(A2888,""("")"),"The Carrie Diaries ")</f>
        <v xml:space="preserve">The Carrie Diaries </v>
      </c>
      <c r="E2888" t="str">
        <f ca="1">IFERROR(__xludf.DUMMYFUNCTION("""COMPUTED_VALUE"""),"TV Series 2013–2014)")</f>
        <v>TV Series 2013–2014)</v>
      </c>
    </row>
    <row r="2889" spans="1:5" ht="13" x14ac:dyDescent="0.15">
      <c r="A2889" s="5" t="s">
        <v>3033</v>
      </c>
      <c r="D2889" t="str">
        <f ca="1">IFERROR(__xludf.DUMMYFUNCTION("split(A2889,""("")"),"The Catalina ")</f>
        <v xml:space="preserve">The Catalina </v>
      </c>
      <c r="E2889" t="str">
        <f ca="1">IFERROR(__xludf.DUMMYFUNCTION("""COMPUTED_VALUE"""),"TV Series 2012– )")</f>
        <v>TV Series 2012– )</v>
      </c>
    </row>
    <row r="2890" spans="1:5" ht="13" x14ac:dyDescent="0.15">
      <c r="A2890" s="5" t="s">
        <v>375</v>
      </c>
      <c r="D2890" t="str">
        <f ca="1">IFERROR(__xludf.DUMMYFUNCTION("split(A2890,""("")"),"The Catch ")</f>
        <v xml:space="preserve">The Catch </v>
      </c>
      <c r="E2890" t="str">
        <f ca="1">IFERROR(__xludf.DUMMYFUNCTION("""COMPUTED_VALUE"""),"TV Series 2016–2017)")</f>
        <v>TV Series 2016–2017)</v>
      </c>
    </row>
    <row r="2891" spans="1:5" ht="13" x14ac:dyDescent="0.15">
      <c r="A2891" s="5" t="s">
        <v>3034</v>
      </c>
      <c r="D2891" t="str">
        <f ca="1">IFERROR(__xludf.DUMMYFUNCTION("split(A2891,""("")"),"The Catlins ")</f>
        <v xml:space="preserve">The Catlins </v>
      </c>
      <c r="E2891" t="str">
        <f ca="1">IFERROR(__xludf.DUMMYFUNCTION("""COMPUTED_VALUE"""),"TV Series 1982–1985)")</f>
        <v>TV Series 1982–1985)</v>
      </c>
    </row>
    <row r="2892" spans="1:5" ht="13" x14ac:dyDescent="0.15">
      <c r="A2892" s="5" t="s">
        <v>3035</v>
      </c>
      <c r="D2892" t="str">
        <f ca="1">IFERROR(__xludf.DUMMYFUNCTION("split(A2892,""("")"),"The Chalet ")</f>
        <v xml:space="preserve">The Chalet </v>
      </c>
      <c r="E2892" t="str">
        <f ca="1">IFERROR(__xludf.DUMMYFUNCTION("""COMPUTED_VALUE"""),"TV Series 2017– )")</f>
        <v>TV Series 2017– )</v>
      </c>
    </row>
    <row r="2893" spans="1:5" ht="13" x14ac:dyDescent="0.15">
      <c r="A2893" s="5" t="s">
        <v>3036</v>
      </c>
      <c r="D2893" t="str">
        <f ca="1">IFERROR(__xludf.DUMMYFUNCTION("split(A2893,""("")"),"The Challenge ")</f>
        <v xml:space="preserve">The Challenge </v>
      </c>
      <c r="E2893" t="str">
        <f ca="1">IFERROR(__xludf.DUMMYFUNCTION("""COMPUTED_VALUE"""),"TV Series 1998– )")</f>
        <v>TV Series 1998– )</v>
      </c>
    </row>
    <row r="2894" spans="1:5" ht="13" x14ac:dyDescent="0.15">
      <c r="A2894" s="5" t="s">
        <v>3037</v>
      </c>
      <c r="D2894" t="str">
        <f ca="1">IFERROR(__xludf.DUMMYFUNCTION("split(A2894,""("")"),"The Chef Show ")</f>
        <v xml:space="preserve">The Chef Show </v>
      </c>
      <c r="E2894" t="str">
        <f ca="1">IFERROR(__xludf.DUMMYFUNCTION("""COMPUTED_VALUE"""),"TV Series 2019– )")</f>
        <v>TV Series 2019– )</v>
      </c>
    </row>
    <row r="2895" spans="1:5" ht="13" x14ac:dyDescent="0.15">
      <c r="A2895" s="5" t="s">
        <v>237</v>
      </c>
      <c r="D2895" t="str">
        <f ca="1">IFERROR(__xludf.DUMMYFUNCTION("split(A2895,""("")"),"The Chi ")</f>
        <v xml:space="preserve">The Chi </v>
      </c>
      <c r="E2895" t="str">
        <f ca="1">IFERROR(__xludf.DUMMYFUNCTION("""COMPUTED_VALUE"""),"TV Series 2018– )")</f>
        <v>TV Series 2018– )</v>
      </c>
    </row>
    <row r="2896" spans="1:5" ht="13" x14ac:dyDescent="0.15">
      <c r="A2896" s="5" t="s">
        <v>3038</v>
      </c>
      <c r="D2896" t="str">
        <f ca="1">IFERROR(__xludf.DUMMYFUNCTION("split(A2896,""("")"),"The Choice ")</f>
        <v xml:space="preserve">The Choice </v>
      </c>
      <c r="E2896" t="str">
        <f ca="1">IFERROR(__xludf.DUMMYFUNCTION("""COMPUTED_VALUE"""),"TV Series 2012– )")</f>
        <v>TV Series 2012– )</v>
      </c>
    </row>
    <row r="2897" spans="1:5" ht="13" x14ac:dyDescent="0.15">
      <c r="A2897" s="5" t="s">
        <v>3039</v>
      </c>
      <c r="D2897" t="str">
        <f ca="1">IFERROR(__xludf.DUMMYFUNCTION("split(A2897,""("")"),"The Cinema Snob ")</f>
        <v xml:space="preserve">The Cinema Snob </v>
      </c>
      <c r="E2897" t="str">
        <f ca="1">IFERROR(__xludf.DUMMYFUNCTION("""COMPUTED_VALUE"""),"TV Series 2007– )")</f>
        <v>TV Series 2007– )</v>
      </c>
    </row>
    <row r="2898" spans="1:5" ht="13" x14ac:dyDescent="0.15">
      <c r="A2898" s="5" t="s">
        <v>3040</v>
      </c>
      <c r="D2898" t="str">
        <f ca="1">IFERROR(__xludf.DUMMYFUNCTION("split(A2898,""("")"),"The Class ")</f>
        <v xml:space="preserve">The Class </v>
      </c>
      <c r="E2898" t="str">
        <f ca="1">IFERROR(__xludf.DUMMYFUNCTION("""COMPUTED_VALUE"""),"TV Series 2006–2007)")</f>
        <v>TV Series 2006–2007)</v>
      </c>
    </row>
    <row r="2899" spans="1:5" ht="13" x14ac:dyDescent="0.15">
      <c r="A2899" s="5" t="s">
        <v>3041</v>
      </c>
      <c r="D2899" t="str">
        <f ca="1">IFERROR(__xludf.DUMMYFUNCTION("split(A2899,""("")"),"The Cleveland Show ")</f>
        <v xml:space="preserve">The Cleveland Show </v>
      </c>
      <c r="E2899" t="str">
        <f ca="1">IFERROR(__xludf.DUMMYFUNCTION("""COMPUTED_VALUE"""),"TV Series 2009–2013)")</f>
        <v>TV Series 2009–2013)</v>
      </c>
    </row>
    <row r="2900" spans="1:5" ht="13" x14ac:dyDescent="0.15">
      <c r="A2900" s="5" t="s">
        <v>3042</v>
      </c>
      <c r="D2900" t="str">
        <f ca="1">IFERROR(__xludf.DUMMYFUNCTION("split(A2900,""("")"),"The Clone ")</f>
        <v xml:space="preserve">The Clone </v>
      </c>
      <c r="E2900" t="str">
        <f ca="1">IFERROR(__xludf.DUMMYFUNCTION("""COMPUTED_VALUE"""),"TV Series 2001–2002)")</f>
        <v>TV Series 2001–2002)</v>
      </c>
    </row>
    <row r="2901" spans="1:5" ht="13" x14ac:dyDescent="0.15">
      <c r="A2901" s="5" t="s">
        <v>3043</v>
      </c>
      <c r="D2901" t="str">
        <f ca="1">IFERROR(__xludf.DUMMYFUNCTION("split(A2901,""("")"),"The Closer ")</f>
        <v xml:space="preserve">The Closer </v>
      </c>
      <c r="E2901" t="str">
        <f ca="1">IFERROR(__xludf.DUMMYFUNCTION("""COMPUTED_VALUE"""),"TV Series 2005–2012)")</f>
        <v>TV Series 2005–2012)</v>
      </c>
    </row>
    <row r="2902" spans="1:5" ht="13" x14ac:dyDescent="0.15">
      <c r="A2902" s="5" t="s">
        <v>3044</v>
      </c>
      <c r="D2902" t="str">
        <f ca="1">IFERROR(__xludf.DUMMYFUNCTION("split(A2902,""("")"),"The Code ")</f>
        <v xml:space="preserve">The Code </v>
      </c>
      <c r="E2902" t="str">
        <f ca="1">IFERROR(__xludf.DUMMYFUNCTION("""COMPUTED_VALUE"""),"TV Series 2018– )")</f>
        <v>TV Series 2018– )</v>
      </c>
    </row>
    <row r="2903" spans="1:5" ht="13" x14ac:dyDescent="0.15">
      <c r="A2903" s="5" t="s">
        <v>3045</v>
      </c>
      <c r="D2903" t="str">
        <f ca="1">IFERROR(__xludf.DUMMYFUNCTION("split(A2903,""("")"),"The Colbys ")</f>
        <v xml:space="preserve">The Colbys </v>
      </c>
      <c r="E2903" t="str">
        <f ca="1">IFERROR(__xludf.DUMMYFUNCTION("""COMPUTED_VALUE"""),"TV Series 1985–1987)")</f>
        <v>TV Series 1985–1987)</v>
      </c>
    </row>
    <row r="2904" spans="1:5" ht="13" x14ac:dyDescent="0.15">
      <c r="A2904" s="5" t="s">
        <v>3046</v>
      </c>
      <c r="D2904" t="str">
        <f ca="1">IFERROR(__xludf.DUMMYFUNCTION("split(A2904,""("")"),"The Collection ")</f>
        <v xml:space="preserve">The Collection </v>
      </c>
      <c r="E2904" t="str">
        <f ca="1">IFERROR(__xludf.DUMMYFUNCTION("""COMPUTED_VALUE"""),"TV Series 2016– )")</f>
        <v>TV Series 2016– )</v>
      </c>
    </row>
    <row r="2905" spans="1:5" ht="13" x14ac:dyDescent="0.15">
      <c r="A2905" s="5" t="s">
        <v>3047</v>
      </c>
      <c r="D2905" t="str">
        <f ca="1">IFERROR(__xludf.DUMMYFUNCTION("split(A2905,""("")"),"The Comeback ")</f>
        <v xml:space="preserve">The Comeback </v>
      </c>
      <c r="E2905" t="str">
        <f ca="1">IFERROR(__xludf.DUMMYFUNCTION("""COMPUTED_VALUE"""),"TV Series 2005–2014)")</f>
        <v>TV Series 2005–2014)</v>
      </c>
    </row>
    <row r="2906" spans="1:5" ht="13" x14ac:dyDescent="0.15">
      <c r="A2906" s="5" t="s">
        <v>3048</v>
      </c>
      <c r="D2906" t="str">
        <f ca="1">IFERROR(__xludf.DUMMYFUNCTION("split(A2906,""("")"),"The Comix Scrutinizer ")</f>
        <v xml:space="preserve">The Comix Scrutinizer </v>
      </c>
      <c r="E2906" t="str">
        <f ca="1">IFERROR(__xludf.DUMMYFUNCTION("""COMPUTED_VALUE"""),"TV Series 2012– )")</f>
        <v>TV Series 2012– )</v>
      </c>
    </row>
    <row r="2907" spans="1:5" ht="13" x14ac:dyDescent="0.15">
      <c r="A2907" s="5" t="s">
        <v>3049</v>
      </c>
      <c r="D2907" t="str">
        <f ca="1">IFERROR(__xludf.DUMMYFUNCTION("split(A2907,""("")"),"The Confession Tapes ")</f>
        <v xml:space="preserve">The Confession Tapes </v>
      </c>
      <c r="E2907" t="str">
        <f ca="1">IFERROR(__xludf.DUMMYFUNCTION("""COMPUTED_VALUE"""),"TV Series 2017– )")</f>
        <v>TV Series 2017– )</v>
      </c>
    </row>
    <row r="2908" spans="1:5" ht="13" x14ac:dyDescent="0.15">
      <c r="A2908" s="5" t="s">
        <v>643</v>
      </c>
      <c r="D2908" t="str">
        <f ca="1">IFERROR(__xludf.DUMMYFUNCTION("split(A2908,""("")"),"The Conners ")</f>
        <v xml:space="preserve">The Conners </v>
      </c>
      <c r="E2908" t="str">
        <f ca="1">IFERROR(__xludf.DUMMYFUNCTION("""COMPUTED_VALUE"""),"TV Series 2018– )")</f>
        <v>TV Series 2018– )</v>
      </c>
    </row>
    <row r="2909" spans="1:5" ht="13" x14ac:dyDescent="0.15">
      <c r="A2909" s="5" t="s">
        <v>238</v>
      </c>
      <c r="D2909" t="str">
        <f ca="1">IFERROR(__xludf.DUMMYFUNCTION("split(A2909,""("")"),"The Cool Kids ")</f>
        <v xml:space="preserve">The Cool Kids </v>
      </c>
      <c r="E2909" t="str">
        <f ca="1">IFERROR(__xludf.DUMMYFUNCTION("""COMPUTED_VALUE"""),"TV Series 2018–2019)")</f>
        <v>TV Series 2018–2019)</v>
      </c>
    </row>
    <row r="2910" spans="1:5" ht="13" x14ac:dyDescent="0.15">
      <c r="A2910" s="5" t="s">
        <v>3050</v>
      </c>
      <c r="D2910" t="str">
        <f ca="1">IFERROR(__xludf.DUMMYFUNCTION("split(A2910,""("")"),"The Cosby Show ")</f>
        <v xml:space="preserve">The Cosby Show </v>
      </c>
      <c r="E2910" t="str">
        <f ca="1">IFERROR(__xludf.DUMMYFUNCTION("""COMPUTED_VALUE"""),"TV Series 1984–1992)")</f>
        <v>TV Series 1984–1992)</v>
      </c>
    </row>
    <row r="2911" spans="1:5" ht="13" x14ac:dyDescent="0.15">
      <c r="A2911" s="5" t="s">
        <v>3051</v>
      </c>
      <c r="D2911" t="str">
        <f ca="1">IFERROR(__xludf.DUMMYFUNCTION("split(A2911,""("")"),"The Country Diary of an Edwardian Lady ")</f>
        <v xml:space="preserve">The Country Diary of an Edwardian Lady </v>
      </c>
      <c r="E2911" t="str">
        <f ca="1">IFERROR(__xludf.DUMMYFUNCTION("""COMPUTED_VALUE"""),"TV Series 1984– )")</f>
        <v>TV Series 1984– )</v>
      </c>
    </row>
    <row r="2912" spans="1:5" ht="13" x14ac:dyDescent="0.15">
      <c r="A2912" s="5" t="s">
        <v>3052</v>
      </c>
      <c r="D2912" t="str">
        <f ca="1">IFERROR(__xludf.DUMMYFUNCTION("split(A2912,""("")"),"The Crimson Field ")</f>
        <v xml:space="preserve">The Crimson Field </v>
      </c>
      <c r="E2912" t="str">
        <f ca="1">IFERROR(__xludf.DUMMYFUNCTION("""COMPUTED_VALUE"""),"TV Series 2014)")</f>
        <v>TV Series 2014)</v>
      </c>
    </row>
    <row r="2913" spans="1:5" ht="13" x14ac:dyDescent="0.15">
      <c r="A2913" s="5" t="s">
        <v>3053</v>
      </c>
      <c r="D2913" t="str">
        <f ca="1">IFERROR(__xludf.DUMMYFUNCTION("split(A2913,""("")"),"The Critic ")</f>
        <v xml:space="preserve">The Critic </v>
      </c>
      <c r="E2913" t="str">
        <f ca="1">IFERROR(__xludf.DUMMYFUNCTION("""COMPUTED_VALUE"""),"TV Series 1994–2001)")</f>
        <v>TV Series 1994–2001)</v>
      </c>
    </row>
    <row r="2914" spans="1:5" ht="13" x14ac:dyDescent="0.15">
      <c r="A2914" s="5" t="s">
        <v>3054</v>
      </c>
      <c r="D2914" t="str">
        <f ca="1">IFERROR(__xludf.DUMMYFUNCTION("split(A2914,""("")"),"The Crossing ")</f>
        <v xml:space="preserve">The Crossing </v>
      </c>
      <c r="E2914" t="str">
        <f ca="1">IFERROR(__xludf.DUMMYFUNCTION("""COMPUTED_VALUE"""),"TV Series 2018)")</f>
        <v>TV Series 2018)</v>
      </c>
    </row>
    <row r="2915" spans="1:5" ht="13" x14ac:dyDescent="0.15">
      <c r="A2915" s="5" t="s">
        <v>153</v>
      </c>
      <c r="D2915" t="str">
        <f ca="1">IFERROR(__xludf.DUMMYFUNCTION("split(A2915,""("")"),"The Crow: Stairway to Heaven ")</f>
        <v xml:space="preserve">The Crow: Stairway to Heaven </v>
      </c>
      <c r="E2915" t="str">
        <f ca="1">IFERROR(__xludf.DUMMYFUNCTION("""COMPUTED_VALUE"""),"TV Series 1998–1999)")</f>
        <v>TV Series 1998–1999)</v>
      </c>
    </row>
    <row r="2916" spans="1:5" ht="13" x14ac:dyDescent="0.15">
      <c r="A2916" s="5" t="s">
        <v>3055</v>
      </c>
      <c r="D2916" t="str">
        <f ca="1">IFERROR(__xludf.DUMMYFUNCTION("split(A2916,""("")"),"The Crown of the Kings ")</f>
        <v xml:space="preserve">The Crown of the Kings </v>
      </c>
      <c r="E2916" t="str">
        <f ca="1">IFERROR(__xludf.DUMMYFUNCTION("""COMPUTED_VALUE"""),"TV Series 2018– )")</f>
        <v>TV Series 2018– )</v>
      </c>
    </row>
    <row r="2917" spans="1:5" ht="13" x14ac:dyDescent="0.15">
      <c r="A2917" s="5" t="s">
        <v>3056</v>
      </c>
      <c r="D2917" t="str">
        <f ca="1">IFERROR(__xludf.DUMMYFUNCTION("split(A2917,""("")"),"The Crystal Maze ")</f>
        <v xml:space="preserve">The Crystal Maze </v>
      </c>
      <c r="E2917" t="str">
        <f ca="1">IFERROR(__xludf.DUMMYFUNCTION("""COMPUTED_VALUE"""),"TV Series 1990–2018)")</f>
        <v>TV Series 1990–2018)</v>
      </c>
    </row>
    <row r="2918" spans="1:5" ht="13" x14ac:dyDescent="0.15">
      <c r="A2918" s="5" t="s">
        <v>3057</v>
      </c>
      <c r="D2918" t="str">
        <f ca="1">IFERROR(__xludf.DUMMYFUNCTION("split(A2918,""("")"),"The Curse of Oak Island ")</f>
        <v xml:space="preserve">The Curse of Oak Island </v>
      </c>
      <c r="E2918" t="str">
        <f ca="1">IFERROR(__xludf.DUMMYFUNCTION("""COMPUTED_VALUE"""),"TV Series 2014– )")</f>
        <v>TV Series 2014– )</v>
      </c>
    </row>
    <row r="2919" spans="1:5" ht="13" x14ac:dyDescent="0.15">
      <c r="A2919" s="5" t="s">
        <v>414</v>
      </c>
      <c r="D2919" t="str">
        <f ca="1">IFERROR(__xludf.DUMMYFUNCTION("split(A2919,""("")"),"The Dark Crystal: Age of Resistance ")</f>
        <v xml:space="preserve">The Dark Crystal: Age of Resistance </v>
      </c>
      <c r="E2919" t="str">
        <f ca="1">IFERROR(__xludf.DUMMYFUNCTION("""COMPUTED_VALUE"""),"TV Series 2019– )")</f>
        <v>TV Series 2019– )</v>
      </c>
    </row>
    <row r="2920" spans="1:5" ht="13" x14ac:dyDescent="0.15">
      <c r="A2920" s="5" t="s">
        <v>3058</v>
      </c>
      <c r="D2920" t="str">
        <f ca="1">IFERROR(__xludf.DUMMYFUNCTION("split(A2920,""("")"),"The Day My Butt Went Psycho! ")</f>
        <v xml:space="preserve">The Day My Butt Went Psycho! </v>
      </c>
      <c r="E2920" t="str">
        <f ca="1">IFERROR(__xludf.DUMMYFUNCTION("""COMPUTED_VALUE"""),"TV Series 2013–2015)")</f>
        <v>TV Series 2013–2015)</v>
      </c>
    </row>
    <row r="2921" spans="1:5" ht="13" x14ac:dyDescent="0.15">
      <c r="A2921" s="5" t="s">
        <v>3059</v>
      </c>
      <c r="D2921" t="str">
        <f ca="1">IFERROR(__xludf.DUMMYFUNCTION("split(A2921,""("")"),"The Days ")</f>
        <v xml:space="preserve">The Days </v>
      </c>
      <c r="E2921" t="str">
        <f ca="1">IFERROR(__xludf.DUMMYFUNCTION("""COMPUTED_VALUE"""),"TV Series 2004– )")</f>
        <v>TV Series 2004– )</v>
      </c>
    </row>
    <row r="2922" spans="1:5" ht="13" x14ac:dyDescent="0.15">
      <c r="A2922" s="5" t="s">
        <v>261</v>
      </c>
      <c r="D2922" t="str">
        <f ca="1">IFERROR(__xludf.DUMMYFUNCTION("split(A2922,""("")"),"The Deuce ")</f>
        <v xml:space="preserve">The Deuce </v>
      </c>
      <c r="E2922" t="str">
        <f ca="1">IFERROR(__xludf.DUMMYFUNCTION("""COMPUTED_VALUE"""),"TV Series 2017– )")</f>
        <v>TV Series 2017– )</v>
      </c>
    </row>
    <row r="2923" spans="1:5" ht="13" x14ac:dyDescent="0.15">
      <c r="A2923" s="5" t="s">
        <v>3060</v>
      </c>
      <c r="D2923" t="str">
        <f ca="1">IFERROR(__xludf.DUMMYFUNCTION("split(A2923,""("")"),"The Disappearance of Madeleine McCann ")</f>
        <v xml:space="preserve">The Disappearance of Madeleine McCann </v>
      </c>
      <c r="E2923" t="str">
        <f ca="1">IFERROR(__xludf.DUMMYFUNCTION("""COMPUTED_VALUE"""),"TV Series 2019– )")</f>
        <v>TV Series 2019– )</v>
      </c>
    </row>
    <row r="2924" spans="1:5" ht="13" x14ac:dyDescent="0.15">
      <c r="A2924" s="5" t="s">
        <v>3061</v>
      </c>
      <c r="D2924" t="str">
        <f ca="1">IFERROR(__xludf.DUMMYFUNCTION("split(A2924,""("")"),"The Disguiser ")</f>
        <v xml:space="preserve">The Disguiser </v>
      </c>
      <c r="E2924" t="str">
        <f ca="1">IFERROR(__xludf.DUMMYFUNCTION("""COMPUTED_VALUE"""),"TV Series 2015– )")</f>
        <v>TV Series 2015– )</v>
      </c>
    </row>
    <row r="2925" spans="1:5" ht="13" x14ac:dyDescent="0.15">
      <c r="A2925" s="5" t="s">
        <v>3062</v>
      </c>
      <c r="D2925" t="str">
        <f ca="1">IFERROR(__xludf.DUMMYFUNCTION("split(A2925,""("")"),"The Dream Team ")</f>
        <v xml:space="preserve">The Dream Team </v>
      </c>
      <c r="E2925" t="str">
        <f ca="1">IFERROR(__xludf.DUMMYFUNCTION("""COMPUTED_VALUE"""),"TV Series 1999– )")</f>
        <v>TV Series 1999– )</v>
      </c>
    </row>
    <row r="2926" spans="1:5" ht="13" x14ac:dyDescent="0.15">
      <c r="A2926" s="5" t="s">
        <v>3063</v>
      </c>
      <c r="D2926" t="str">
        <f ca="1">IFERROR(__xludf.DUMMYFUNCTION("split(A2926,""("")"),"The Dreamstone ")</f>
        <v xml:space="preserve">The Dreamstone </v>
      </c>
      <c r="E2926" t="str">
        <f ca="1">IFERROR(__xludf.DUMMYFUNCTION("""COMPUTED_VALUE"""),"TV Series 1990–1995)")</f>
        <v>TV Series 1990–1995)</v>
      </c>
    </row>
    <row r="2927" spans="1:5" ht="13" x14ac:dyDescent="0.15">
      <c r="A2927" s="5" t="s">
        <v>3064</v>
      </c>
      <c r="D2927" t="str">
        <f ca="1">IFERROR(__xludf.DUMMYFUNCTION("split(A2927,""("")"),"The Drew Carey Show ")</f>
        <v xml:space="preserve">The Drew Carey Show </v>
      </c>
      <c r="E2927" t="str">
        <f ca="1">IFERROR(__xludf.DUMMYFUNCTION("""COMPUTED_VALUE"""),"TV Series 1995–2004)")</f>
        <v>TV Series 1995–2004)</v>
      </c>
    </row>
    <row r="2928" spans="1:5" ht="13" x14ac:dyDescent="0.15">
      <c r="A2928" s="5" t="s">
        <v>3065</v>
      </c>
      <c r="D2928" t="str">
        <f ca="1">IFERROR(__xludf.DUMMYFUNCTION("split(A2928,""("")"),"The Electric Company ")</f>
        <v xml:space="preserve">The Electric Company </v>
      </c>
      <c r="E2928" t="str">
        <f ca="1">IFERROR(__xludf.DUMMYFUNCTION("""COMPUTED_VALUE"""),"TV Series 2006– )")</f>
        <v>TV Series 2006– )</v>
      </c>
    </row>
    <row r="2929" spans="1:5" ht="13" x14ac:dyDescent="0.15">
      <c r="A2929" s="5" t="s">
        <v>3066</v>
      </c>
      <c r="D2929" t="str">
        <f ca="1">IFERROR(__xludf.DUMMYFUNCTION("split(A2929,""("")"),"The Emperor of Taste ")</f>
        <v xml:space="preserve">The Emperor of Taste </v>
      </c>
      <c r="E2929" t="str">
        <f ca="1">IFERROR(__xludf.DUMMYFUNCTION("""COMPUTED_VALUE"""),"TV Series 2008–2009)")</f>
        <v>TV Series 2008–2009)</v>
      </c>
    </row>
    <row r="2930" spans="1:5" ht="13" x14ac:dyDescent="0.15">
      <c r="A2930" s="5" t="s">
        <v>3067</v>
      </c>
      <c r="D2930" t="str">
        <f ca="1">IFERROR(__xludf.DUMMYFUNCTION("split(A2930,""("")"),"The End of the F***ing World ")</f>
        <v xml:space="preserve">The End of the F***ing World </v>
      </c>
      <c r="E2930" t="str">
        <f ca="1">IFERROR(__xludf.DUMMYFUNCTION("""COMPUTED_VALUE"""),"TV Series 2017– )")</f>
        <v>TV Series 2017– )</v>
      </c>
    </row>
    <row r="2931" spans="1:5" ht="13" x14ac:dyDescent="0.15">
      <c r="A2931" s="5" t="s">
        <v>3068</v>
      </c>
      <c r="D2931" t="str">
        <f ca="1">IFERROR(__xludf.DUMMYFUNCTION("split(A2931,""("")"),"The Enemy Within ")</f>
        <v xml:space="preserve">The Enemy Within </v>
      </c>
      <c r="E2931" t="str">
        <f ca="1">IFERROR(__xludf.DUMMYFUNCTION("""COMPUTED_VALUE"""),"TV Series 2018– )")</f>
        <v>TV Series 2018– )</v>
      </c>
    </row>
    <row r="2932" spans="1:5" ht="13" x14ac:dyDescent="0.15">
      <c r="A2932" s="5" t="s">
        <v>3069</v>
      </c>
      <c r="D2932" t="str">
        <f ca="1">IFERROR(__xludf.DUMMYFUNCTION("split(A2932,""("")"),"The Equalizer ")</f>
        <v xml:space="preserve">The Equalizer </v>
      </c>
      <c r="E2932" t="str">
        <f ca="1">IFERROR(__xludf.DUMMYFUNCTION("""COMPUTED_VALUE"""),"TV Series 1985–1989)")</f>
        <v>TV Series 1985–1989)</v>
      </c>
    </row>
    <row r="2933" spans="1:5" ht="13" x14ac:dyDescent="0.15">
      <c r="A2933" s="5" t="s">
        <v>3070</v>
      </c>
      <c r="D2933" t="str">
        <f ca="1">IFERROR(__xludf.DUMMYFUNCTION("split(A2933,""("")"),"The Event ")</f>
        <v xml:space="preserve">The Event </v>
      </c>
      <c r="E2933" t="str">
        <f ca="1">IFERROR(__xludf.DUMMYFUNCTION("""COMPUTED_VALUE"""),"TV Series 2010–2011)")</f>
        <v>TV Series 2010–2011)</v>
      </c>
    </row>
    <row r="2934" spans="1:5" ht="13" x14ac:dyDescent="0.15">
      <c r="A2934" s="5" t="s">
        <v>3071</v>
      </c>
      <c r="D2934" t="str">
        <f ca="1">IFERROR(__xludf.DUMMYFUNCTION("split(A2934,""("")"),"The Ex List ")</f>
        <v xml:space="preserve">The Ex List </v>
      </c>
      <c r="E2934" t="str">
        <f ca="1">IFERROR(__xludf.DUMMYFUNCTION("""COMPUTED_VALUE"""),"TV Series 2008–2009)")</f>
        <v>TV Series 2008–2009)</v>
      </c>
    </row>
    <row r="2935" spans="1:5" ht="13" x14ac:dyDescent="0.15">
      <c r="A2935" s="5" t="s">
        <v>39</v>
      </c>
      <c r="D2935" t="str">
        <f ca="1">IFERROR(__xludf.DUMMYFUNCTION("split(A2935,""("")"),"The Exorcist ")</f>
        <v xml:space="preserve">The Exorcist </v>
      </c>
      <c r="E2935" t="str">
        <f ca="1">IFERROR(__xludf.DUMMYFUNCTION("""COMPUTED_VALUE"""),"TV Series 2016–2018)")</f>
        <v>TV Series 2016–2018)</v>
      </c>
    </row>
    <row r="2936" spans="1:5" ht="13" x14ac:dyDescent="0.15">
      <c r="A2936" s="5" t="s">
        <v>683</v>
      </c>
      <c r="D2936" t="str">
        <f ca="1">IFERROR(__xludf.DUMMYFUNCTION("split(A2936,""("")"),"The Expanse ")</f>
        <v xml:space="preserve">The Expanse </v>
      </c>
      <c r="E2936" t="str">
        <f ca="1">IFERROR(__xludf.DUMMYFUNCTION("""COMPUTED_VALUE"""),"TV Series 2015– )")</f>
        <v>TV Series 2015– )</v>
      </c>
    </row>
    <row r="2937" spans="1:5" ht="13" x14ac:dyDescent="0.15">
      <c r="A2937" s="5" t="s">
        <v>3072</v>
      </c>
      <c r="D2937" t="str">
        <f ca="1">IFERROR(__xludf.DUMMYFUNCTION("split(A2937,""("")"),"The Fairly OddParents ")</f>
        <v xml:space="preserve">The Fairly OddParents </v>
      </c>
      <c r="E2937" t="str">
        <f ca="1">IFERROR(__xludf.DUMMYFUNCTION("""COMPUTED_VALUE"""),"TV Series 2001–2017)")</f>
        <v>TV Series 2001–2017)</v>
      </c>
    </row>
    <row r="2938" spans="1:5" ht="13" x14ac:dyDescent="0.15">
      <c r="A2938" s="5" t="s">
        <v>3073</v>
      </c>
      <c r="D2938" t="str">
        <f ca="1">IFERROR(__xludf.DUMMYFUNCTION("split(A2938,""("")"),"The Fall ")</f>
        <v xml:space="preserve">The Fall </v>
      </c>
      <c r="E2938" t="str">
        <f ca="1">IFERROR(__xludf.DUMMYFUNCTION("""COMPUTED_VALUE"""),"TV Series 2013–2016)")</f>
        <v>TV Series 2013–2016)</v>
      </c>
    </row>
    <row r="2939" spans="1:5" ht="13" x14ac:dyDescent="0.15">
      <c r="A2939" s="5" t="s">
        <v>3074</v>
      </c>
      <c r="D2939" t="str">
        <f ca="1">IFERROR(__xludf.DUMMYFUNCTION("split(A2939,""("")"),"The Family ")</f>
        <v xml:space="preserve">The Family </v>
      </c>
      <c r="E2939" t="str">
        <f ca="1">IFERROR(__xludf.DUMMYFUNCTION("""COMPUTED_VALUE"""),"TV Series 2019– )")</f>
        <v>TV Series 2019– )</v>
      </c>
    </row>
    <row r="2940" spans="1:5" ht="13" x14ac:dyDescent="0.15">
      <c r="A2940" s="5" t="s">
        <v>3075</v>
      </c>
      <c r="D2940" t="str">
        <f ca="1">IFERROR(__xludf.DUMMYFUNCTION("split(A2940,""("")"),"The Favorite ")</f>
        <v xml:space="preserve">The Favorite </v>
      </c>
      <c r="E2940" t="str">
        <f ca="1">IFERROR(__xludf.DUMMYFUNCTION("""COMPUTED_VALUE"""),"TV Series 2008–2009)")</f>
        <v>TV Series 2008–2009)</v>
      </c>
    </row>
    <row r="2941" spans="1:5" ht="13" x14ac:dyDescent="0.15">
      <c r="A2941" s="5" t="s">
        <v>3076</v>
      </c>
      <c r="D2941" t="str">
        <f ca="1">IFERROR(__xludf.DUMMYFUNCTION("split(A2941,""("")"),"The Finder ")</f>
        <v xml:space="preserve">The Finder </v>
      </c>
      <c r="E2941" t="str">
        <f ca="1">IFERROR(__xludf.DUMMYFUNCTION("""COMPUTED_VALUE"""),"TV Series 2012)")</f>
        <v>TV Series 2012)</v>
      </c>
    </row>
    <row r="2942" spans="1:5" ht="13" x14ac:dyDescent="0.15">
      <c r="A2942" s="5" t="s">
        <v>3077</v>
      </c>
      <c r="D2942" t="str">
        <f ca="1">IFERROR(__xludf.DUMMYFUNCTION("split(A2942,""("")"),"The Firm ")</f>
        <v xml:space="preserve">The Firm </v>
      </c>
      <c r="E2942" t="str">
        <f ca="1">IFERROR(__xludf.DUMMYFUNCTION("""COMPUTED_VALUE"""),"TV Series 2012)")</f>
        <v>TV Series 2012)</v>
      </c>
    </row>
    <row r="2943" spans="1:5" ht="13" x14ac:dyDescent="0.15">
      <c r="A2943" s="5" t="s">
        <v>3078</v>
      </c>
      <c r="D2943" t="str">
        <f ca="1">IFERROR(__xludf.DUMMYFUNCTION("split(A2943,""("")"),"The First 48 ")</f>
        <v xml:space="preserve">The First 48 </v>
      </c>
      <c r="E2943" t="str">
        <f ca="1">IFERROR(__xludf.DUMMYFUNCTION("""COMPUTED_VALUE"""),"TV Series 2004– )")</f>
        <v>TV Series 2004– )</v>
      </c>
    </row>
    <row r="2944" spans="1:5" ht="13" x14ac:dyDescent="0.15">
      <c r="A2944" s="5" t="s">
        <v>3079</v>
      </c>
      <c r="D2944" t="str">
        <f ca="1">IFERROR(__xludf.DUMMYFUNCTION("split(A2944,""("")"),"The Fix ")</f>
        <v xml:space="preserve">The Fix </v>
      </c>
      <c r="E2944" t="str">
        <f ca="1">IFERROR(__xludf.DUMMYFUNCTION("""COMPUTED_VALUE"""),"TV Series 2018– )")</f>
        <v>TV Series 2018– )</v>
      </c>
    </row>
    <row r="2945" spans="1:5" ht="13" x14ac:dyDescent="0.15">
      <c r="A2945" s="5" t="s">
        <v>3080</v>
      </c>
      <c r="D2945" t="str">
        <f ca="1">IFERROR(__xludf.DUMMYFUNCTION("split(A2945,""("")"),"The Fixer ")</f>
        <v xml:space="preserve">The Fixer </v>
      </c>
      <c r="E2945" t="str">
        <f ca="1">IFERROR(__xludf.DUMMYFUNCTION("""COMPUTED_VALUE"""),"TV Series 2008–2009)")</f>
        <v>TV Series 2008–2009)</v>
      </c>
    </row>
    <row r="2946" spans="1:5" ht="13" x14ac:dyDescent="0.15">
      <c r="A2946" s="5" t="s">
        <v>16</v>
      </c>
      <c r="D2946" t="str">
        <f ca="1">IFERROR(__xludf.DUMMYFUNCTION("split(A2946,""("")"),"The Flash ")</f>
        <v xml:space="preserve">The Flash </v>
      </c>
      <c r="E2946" t="str">
        <f ca="1">IFERROR(__xludf.DUMMYFUNCTION("""COMPUTED_VALUE"""),"TV Series 2014– )")</f>
        <v>TV Series 2014– )</v>
      </c>
    </row>
    <row r="2947" spans="1:5" ht="13" x14ac:dyDescent="0.15">
      <c r="A2947" s="5" t="s">
        <v>479</v>
      </c>
      <c r="D2947" t="str">
        <f ca="1">IFERROR(__xludf.DUMMYFUNCTION("split(A2947,""("")"),"The Flintstone Comedy Show ")</f>
        <v xml:space="preserve">The Flintstone Comedy Show </v>
      </c>
      <c r="E2947" t="str">
        <f ca="1">IFERROR(__xludf.DUMMYFUNCTION("""COMPUTED_VALUE"""),"TV Series 1980– )")</f>
        <v>TV Series 1980– )</v>
      </c>
    </row>
    <row r="2948" spans="1:5" ht="13" x14ac:dyDescent="0.15">
      <c r="A2948" s="5" t="s">
        <v>3081</v>
      </c>
      <c r="D2948" t="str">
        <f ca="1">IFERROR(__xludf.DUMMYFUNCTION("split(A2948,""("")"),"The Flying Doctors ")</f>
        <v xml:space="preserve">The Flying Doctors </v>
      </c>
      <c r="E2948" t="str">
        <f ca="1">IFERROR(__xludf.DUMMYFUNCTION("""COMPUTED_VALUE"""),"TV Series 1986–1992)")</f>
        <v>TV Series 1986–1992)</v>
      </c>
    </row>
    <row r="2949" spans="1:5" ht="13" x14ac:dyDescent="0.15">
      <c r="A2949" s="5" t="s">
        <v>3082</v>
      </c>
      <c r="D2949" t="str">
        <f ca="1">IFERROR(__xludf.DUMMYFUNCTION("split(A2949,""("")"),"The Following ")</f>
        <v xml:space="preserve">The Following </v>
      </c>
      <c r="E2949" t="str">
        <f ca="1">IFERROR(__xludf.DUMMYFUNCTION("""COMPUTED_VALUE"""),"TV Series 2013–2015)")</f>
        <v>TV Series 2013–2015)</v>
      </c>
    </row>
    <row r="2950" spans="1:5" ht="13" x14ac:dyDescent="0.15">
      <c r="A2950" s="5" t="s">
        <v>451</v>
      </c>
      <c r="D2950" t="str">
        <f ca="1">IFERROR(__xludf.DUMMYFUNCTION("split(A2950,""("")"),"The Fonz and the Happy Days Gang ")</f>
        <v xml:space="preserve">The Fonz and the Happy Days Gang </v>
      </c>
      <c r="E2950" t="str">
        <f ca="1">IFERROR(__xludf.DUMMYFUNCTION("""COMPUTED_VALUE"""),"TV Series 1980–1981)")</f>
        <v>TV Series 1980–1981)</v>
      </c>
    </row>
    <row r="2951" spans="1:5" ht="13" x14ac:dyDescent="0.15">
      <c r="A2951" s="5" t="s">
        <v>3083</v>
      </c>
      <c r="D2951" t="str">
        <f ca="1">IFERROR(__xludf.DUMMYFUNCTION("split(A2951,""("")"),"The Forgotten ")</f>
        <v xml:space="preserve">The Forgotten </v>
      </c>
      <c r="E2951" t="str">
        <f ca="1">IFERROR(__xludf.DUMMYFUNCTION("""COMPUTED_VALUE"""),"TV Series 2009–2010)")</f>
        <v>TV Series 2009–2010)</v>
      </c>
    </row>
    <row r="2952" spans="1:5" ht="13" x14ac:dyDescent="0.15">
      <c r="A2952" s="5" t="s">
        <v>3084</v>
      </c>
      <c r="D2952" t="str">
        <f ca="1">IFERROR(__xludf.DUMMYFUNCTION("split(A2952,""("")"),"The Forsyte Saga ")</f>
        <v xml:space="preserve">The Forsyte Saga </v>
      </c>
      <c r="E2952" t="str">
        <f ca="1">IFERROR(__xludf.DUMMYFUNCTION("""COMPUTED_VALUE"""),"TV Mini-Series 2002– )")</f>
        <v>TV Mini-Series 2002– )</v>
      </c>
    </row>
    <row r="2953" spans="1:5" ht="13" x14ac:dyDescent="0.15">
      <c r="A2953" s="5" t="s">
        <v>239</v>
      </c>
      <c r="D2953" t="str">
        <f ca="1">IFERROR(__xludf.DUMMYFUNCTION("split(A2953,""("")"),"The Fosters ")</f>
        <v xml:space="preserve">The Fosters </v>
      </c>
      <c r="E2953" t="str">
        <f ca="1">IFERROR(__xludf.DUMMYFUNCTION("""COMPUTED_VALUE"""),"TV Series 2013–2018)")</f>
        <v>TV Series 2013–2018)</v>
      </c>
    </row>
    <row r="2954" spans="1:5" ht="13" x14ac:dyDescent="0.15">
      <c r="A2954" s="5" t="s">
        <v>240</v>
      </c>
      <c r="D2954" t="str">
        <f ca="1">IFERROR(__xludf.DUMMYFUNCTION("split(A2954,""("")"),"The Four: Battle for Stardom ")</f>
        <v xml:space="preserve">The Four: Battle for Stardom </v>
      </c>
      <c r="E2954" t="str">
        <f ca="1">IFERROR(__xludf.DUMMYFUNCTION("""COMPUTED_VALUE"""),"TV Series 2018– )")</f>
        <v>TV Series 2018– )</v>
      </c>
    </row>
    <row r="2955" spans="1:5" ht="13" x14ac:dyDescent="0.15">
      <c r="A2955" s="5" t="s">
        <v>518</v>
      </c>
      <c r="D2955" t="str">
        <f ca="1">IFERROR(__xludf.DUMMYFUNCTION("split(A2955,""("")"),"The Frankenstein Chronicles ")</f>
        <v xml:space="preserve">The Frankenstein Chronicles </v>
      </c>
      <c r="E2955" t="str">
        <f ca="1">IFERROR(__xludf.DUMMYFUNCTION("""COMPUTED_VALUE"""),"TV Series 2015– )")</f>
        <v>TV Series 2015– )</v>
      </c>
    </row>
    <row r="2956" spans="1:5" ht="13" x14ac:dyDescent="0.15">
      <c r="A2956" s="5" t="s">
        <v>3085</v>
      </c>
      <c r="D2956" t="str">
        <f ca="1">IFERROR(__xludf.DUMMYFUNCTION("split(A2956,""("")"),"The Fresh Prince of Bel-Air ")</f>
        <v xml:space="preserve">The Fresh Prince of Bel-Air </v>
      </c>
      <c r="E2956" t="str">
        <f ca="1">IFERROR(__xludf.DUMMYFUNCTION("""COMPUTED_VALUE"""),"TV Series 1990–1996)")</f>
        <v>TV Series 1990–1996)</v>
      </c>
    </row>
    <row r="2957" spans="1:5" ht="13" x14ac:dyDescent="0.15">
      <c r="A2957" s="5" t="s">
        <v>3086</v>
      </c>
      <c r="D2957" t="str">
        <f ca="1">IFERROR(__xludf.DUMMYFUNCTION("split(A2957,""("")"),"The Game ")</f>
        <v xml:space="preserve">The Game </v>
      </c>
      <c r="E2957" t="str">
        <f ca="1">IFERROR(__xludf.DUMMYFUNCTION("""COMPUTED_VALUE"""),"TV Series 2006–2015)")</f>
        <v>TV Series 2006–2015)</v>
      </c>
    </row>
    <row r="2958" spans="1:5" ht="13" x14ac:dyDescent="0.15">
      <c r="A2958" s="5" t="s">
        <v>154</v>
      </c>
      <c r="D2958" t="str">
        <f ca="1">IFERROR(__xludf.DUMMYFUNCTION("split(A2958,""("")"),"The Garfield Show ")</f>
        <v xml:space="preserve">The Garfield Show </v>
      </c>
      <c r="E2958" t="str">
        <f ca="1">IFERROR(__xludf.DUMMYFUNCTION("""COMPUTED_VALUE"""),"TV Series 2008–2016)")</f>
        <v>TV Series 2008–2016)</v>
      </c>
    </row>
    <row r="2959" spans="1:5" ht="13" x14ac:dyDescent="0.15">
      <c r="A2959" s="5" t="s">
        <v>3087</v>
      </c>
      <c r="D2959" t="str">
        <f ca="1">IFERROR(__xludf.DUMMYFUNCTION("split(A2959,""("")"),"The Gates ")</f>
        <v xml:space="preserve">The Gates </v>
      </c>
      <c r="E2959" t="str">
        <f ca="1">IFERROR(__xludf.DUMMYFUNCTION("""COMPUTED_VALUE"""),"TV Series 2010)")</f>
        <v>TV Series 2010)</v>
      </c>
    </row>
    <row r="2960" spans="1:5" ht="13" x14ac:dyDescent="0.15">
      <c r="A2960" s="5" t="s">
        <v>3088</v>
      </c>
      <c r="D2960" t="str">
        <f ca="1">IFERROR(__xludf.DUMMYFUNCTION("split(A2960,""("")"),"The Gavin Crawford Show ")</f>
        <v xml:space="preserve">The Gavin Crawford Show </v>
      </c>
      <c r="E2960" t="str">
        <f ca="1">IFERROR(__xludf.DUMMYFUNCTION("""COMPUTED_VALUE"""),"TV Series 2000–2003)")</f>
        <v>TV Series 2000–2003)</v>
      </c>
    </row>
    <row r="2961" spans="1:5" ht="13" x14ac:dyDescent="0.15">
      <c r="A2961" s="5" t="s">
        <v>3089</v>
      </c>
      <c r="D2961" t="str">
        <f ca="1">IFERROR(__xludf.DUMMYFUNCTION("split(A2961,""("")"),"The Gay Riviera ")</f>
        <v xml:space="preserve">The Gay Riviera </v>
      </c>
      <c r="E2961" t="str">
        <f ca="1">IFERROR(__xludf.DUMMYFUNCTION("""COMPUTED_VALUE"""),"TV Series 2001– )")</f>
        <v>TV Series 2001– )</v>
      </c>
    </row>
    <row r="2962" spans="1:5" ht="13" x14ac:dyDescent="0.15">
      <c r="A2962" s="5" t="s">
        <v>3090</v>
      </c>
      <c r="D2962" t="str">
        <f ca="1">IFERROR(__xludf.DUMMYFUNCTION("split(A2962,""("")"),"The Gentle Touch ")</f>
        <v xml:space="preserve">The Gentle Touch </v>
      </c>
      <c r="E2962" t="str">
        <f ca="1">IFERROR(__xludf.DUMMYFUNCTION("""COMPUTED_VALUE"""),"TV Series 1980–1984)")</f>
        <v>TV Series 1980–1984)</v>
      </c>
    </row>
    <row r="2963" spans="1:5" ht="13" x14ac:dyDescent="0.15">
      <c r="A2963" s="5" t="s">
        <v>3091</v>
      </c>
      <c r="D2963" t="str">
        <f ca="1">IFERROR(__xludf.DUMMYFUNCTION("split(A2963,""("")"),"The Get Along Gang ")</f>
        <v xml:space="preserve">The Get Along Gang </v>
      </c>
      <c r="E2963" t="str">
        <f ca="1">IFERROR(__xludf.DUMMYFUNCTION("""COMPUTED_VALUE"""),"TV Series 1984–1986)")</f>
        <v>TV Series 1984–1986)</v>
      </c>
    </row>
    <row r="2964" spans="1:5" ht="13" x14ac:dyDescent="0.15">
      <c r="A2964" s="5" t="s">
        <v>198</v>
      </c>
      <c r="D2964" t="str">
        <f ca="1">IFERROR(__xludf.DUMMYFUNCTION("split(A2964,""("")"),"The Get Down ")</f>
        <v xml:space="preserve">The Get Down </v>
      </c>
      <c r="E2964" t="str">
        <f ca="1">IFERROR(__xludf.DUMMYFUNCTION("""COMPUTED_VALUE"""),"TV Series 2016–2017)")</f>
        <v>TV Series 2016–2017)</v>
      </c>
    </row>
    <row r="2965" spans="1:5" ht="13" x14ac:dyDescent="0.15">
      <c r="A2965" s="5" t="s">
        <v>3092</v>
      </c>
      <c r="D2965" t="str">
        <f ca="1">IFERROR(__xludf.DUMMYFUNCTION("split(A2965,""("")"),"The Ghost Inside My Child ")</f>
        <v xml:space="preserve">The Ghost Inside My Child </v>
      </c>
      <c r="E2965" t="str">
        <f ca="1">IFERROR(__xludf.DUMMYFUNCTION("""COMPUTED_VALUE"""),"TV Series 2013– )")</f>
        <v>TV Series 2013– )</v>
      </c>
    </row>
    <row r="2966" spans="1:5" ht="13" x14ac:dyDescent="0.15">
      <c r="A2966" s="5" t="s">
        <v>3093</v>
      </c>
      <c r="D2966" t="str">
        <f ca="1">IFERROR(__xludf.DUMMYFUNCTION("split(A2966,""("")"),"The Girlfriend Experience ")</f>
        <v xml:space="preserve">The Girlfriend Experience </v>
      </c>
      <c r="E2966" t="str">
        <f ca="1">IFERROR(__xludf.DUMMYFUNCTION("""COMPUTED_VALUE"""),"TV Series 2016– )")</f>
        <v>TV Series 2016– )</v>
      </c>
    </row>
    <row r="2967" spans="1:5" ht="13" x14ac:dyDescent="0.15">
      <c r="A2967" s="5" t="s">
        <v>3094</v>
      </c>
      <c r="D2967" t="str">
        <f ca="1">IFERROR(__xludf.DUMMYFUNCTION("split(A2967,""("")"),"The Girls Next Door ")</f>
        <v xml:space="preserve">The Girls Next Door </v>
      </c>
      <c r="E2967" t="str">
        <f ca="1">IFERROR(__xludf.DUMMYFUNCTION("""COMPUTED_VALUE"""),"TV Series 2005– )")</f>
        <v>TV Series 2005– )</v>
      </c>
    </row>
    <row r="2968" spans="1:5" ht="13" x14ac:dyDescent="0.15">
      <c r="A2968" s="5" t="s">
        <v>3095</v>
      </c>
      <c r="D2968" t="str">
        <f ca="1">IFERROR(__xludf.DUMMYFUNCTION("split(A2968,""("")"),"The Glades ")</f>
        <v xml:space="preserve">The Glades </v>
      </c>
      <c r="E2968" t="str">
        <f ca="1">IFERROR(__xludf.DUMMYFUNCTION("""COMPUTED_VALUE"""),"TV Series 2010–2013)")</f>
        <v>TV Series 2010–2013)</v>
      </c>
    </row>
    <row r="2969" spans="1:5" ht="13" x14ac:dyDescent="0.15">
      <c r="A2969" s="5" t="s">
        <v>3096</v>
      </c>
      <c r="D2969" t="str">
        <f ca="1">IFERROR(__xludf.DUMMYFUNCTION("split(A2969,""("")"),"The Godfather of Harlem ")</f>
        <v xml:space="preserve">The Godfather of Harlem </v>
      </c>
      <c r="E2969" t="str">
        <f ca="1">IFERROR(__xludf.DUMMYFUNCTION("""COMPUTED_VALUE"""),"TV Series 2019– )")</f>
        <v>TV Series 2019– )</v>
      </c>
    </row>
    <row r="2970" spans="1:5" ht="13" x14ac:dyDescent="0.15">
      <c r="A2970" s="5" t="s">
        <v>3097</v>
      </c>
      <c r="D2970" t="str">
        <f ca="1">IFERROR(__xludf.DUMMYFUNCTION("split(A2970,""("")"),"The Goldbergs ")</f>
        <v xml:space="preserve">The Goldbergs </v>
      </c>
      <c r="E2970" t="str">
        <f ca="1">IFERROR(__xludf.DUMMYFUNCTION("""COMPUTED_VALUE"""),"TV Series 2013– )")</f>
        <v>TV Series 2013– )</v>
      </c>
    </row>
    <row r="2971" spans="1:5" ht="13" x14ac:dyDescent="0.15">
      <c r="A2971" s="5" t="s">
        <v>3098</v>
      </c>
      <c r="D2971" t="str">
        <f ca="1">IFERROR(__xludf.DUMMYFUNCTION("split(A2971,""("")"),"The Golden Girls ")</f>
        <v xml:space="preserve">The Golden Girls </v>
      </c>
      <c r="E2971" t="str">
        <f ca="1">IFERROR(__xludf.DUMMYFUNCTION("""COMPUTED_VALUE"""),"TV Series 1985–1992)")</f>
        <v>TV Series 1985–1992)</v>
      </c>
    </row>
    <row r="2972" spans="1:5" ht="13" x14ac:dyDescent="0.15">
      <c r="A2972" s="5" t="s">
        <v>3099</v>
      </c>
      <c r="D2972" t="str">
        <f ca="1">IFERROR(__xludf.DUMMYFUNCTION("split(A2972,""("")"),"The Golden Palace ")</f>
        <v xml:space="preserve">The Golden Palace </v>
      </c>
      <c r="E2972" t="str">
        <f ca="1">IFERROR(__xludf.DUMMYFUNCTION("""COMPUTED_VALUE"""),"TV Series 1992–1993)")</f>
        <v>TV Series 1992–1993)</v>
      </c>
    </row>
    <row r="2973" spans="1:5" ht="13" x14ac:dyDescent="0.15">
      <c r="A2973" s="5" t="s">
        <v>3100</v>
      </c>
      <c r="D2973" t="str">
        <f ca="1">IFERROR(__xludf.DUMMYFUNCTION("split(A2973,""("")"),"The Good Daughter ")</f>
        <v xml:space="preserve">The Good Daughter </v>
      </c>
      <c r="E2973" t="str">
        <f ca="1">IFERROR(__xludf.DUMMYFUNCTION("""COMPUTED_VALUE"""),"TV Series 2012)")</f>
        <v>TV Series 2012)</v>
      </c>
    </row>
    <row r="2974" spans="1:5" ht="13" x14ac:dyDescent="0.15">
      <c r="A2974" s="5" t="s">
        <v>3101</v>
      </c>
      <c r="D2974" t="str">
        <f ca="1">IFERROR(__xludf.DUMMYFUNCTION("split(A2974,""("")"),"The Good Doctor ")</f>
        <v xml:space="preserve">The Good Doctor </v>
      </c>
      <c r="E2974" t="str">
        <f ca="1">IFERROR(__xludf.DUMMYFUNCTION("""COMPUTED_VALUE"""),"TV Series 2017– )")</f>
        <v>TV Series 2017– )</v>
      </c>
    </row>
    <row r="2975" spans="1:5" ht="13" x14ac:dyDescent="0.15">
      <c r="A2975" s="5" t="s">
        <v>3102</v>
      </c>
      <c r="D2975" t="str">
        <f ca="1">IFERROR(__xludf.DUMMYFUNCTION("split(A2975,""("")"),"The Good Fight ")</f>
        <v xml:space="preserve">The Good Fight </v>
      </c>
      <c r="E2975" t="str">
        <f ca="1">IFERROR(__xludf.DUMMYFUNCTION("""COMPUTED_VALUE"""),"TV Series 2017– )")</f>
        <v>TV Series 2017– )</v>
      </c>
    </row>
    <row r="2976" spans="1:5" ht="13" x14ac:dyDescent="0.15">
      <c r="A2976" s="5" t="s">
        <v>3103</v>
      </c>
      <c r="D2976" t="str">
        <f ca="1">IFERROR(__xludf.DUMMYFUNCTION("split(A2976,""("")"),"The Good Karma Hospital ")</f>
        <v xml:space="preserve">The Good Karma Hospital </v>
      </c>
      <c r="E2976" t="str">
        <f ca="1">IFERROR(__xludf.DUMMYFUNCTION("""COMPUTED_VALUE"""),"TV Series 2017– )")</f>
        <v>TV Series 2017– )</v>
      </c>
    </row>
    <row r="2977" spans="1:5" ht="13" x14ac:dyDescent="0.15">
      <c r="A2977" s="5" t="s">
        <v>254</v>
      </c>
      <c r="D2977" t="str">
        <f ca="1">IFERROR(__xludf.DUMMYFUNCTION("split(A2977,""("")"),"The Good Place ")</f>
        <v xml:space="preserve">The Good Place </v>
      </c>
      <c r="E2977" t="str">
        <f ca="1">IFERROR(__xludf.DUMMYFUNCTION("""COMPUTED_VALUE"""),"TV Series 2016– )")</f>
        <v>TV Series 2016– )</v>
      </c>
    </row>
    <row r="2978" spans="1:5" ht="13" x14ac:dyDescent="0.15">
      <c r="A2978" s="5" t="s">
        <v>3104</v>
      </c>
      <c r="D2978" t="str">
        <f ca="1">IFERROR(__xludf.DUMMYFUNCTION("split(A2978,""("")"),"The Good Wife ")</f>
        <v xml:space="preserve">The Good Wife </v>
      </c>
      <c r="E2978" t="str">
        <f ca="1">IFERROR(__xludf.DUMMYFUNCTION("""COMPUTED_VALUE"""),"TV Series 2009–2016)")</f>
        <v>TV Series 2009–2016)</v>
      </c>
    </row>
    <row r="2979" spans="1:5" ht="13" x14ac:dyDescent="0.15">
      <c r="A2979" s="5" t="s">
        <v>3105</v>
      </c>
      <c r="D2979" t="str">
        <f ca="1">IFERROR(__xludf.DUMMYFUNCTION("split(A2979,""("")"),"The Grand ")</f>
        <v xml:space="preserve">The Grand </v>
      </c>
      <c r="E2979" t="str">
        <f ca="1">IFERROR(__xludf.DUMMYFUNCTION("""COMPUTED_VALUE"""),"TV Series 1997–1998)")</f>
        <v>TV Series 1997–1998)</v>
      </c>
    </row>
    <row r="2980" spans="1:5" ht="13" x14ac:dyDescent="0.15">
      <c r="A2980" s="5" t="s">
        <v>3106</v>
      </c>
      <c r="D2980" t="str">
        <f ca="1">IFERROR(__xludf.DUMMYFUNCTION("split(A2980,""("")"),"The Great British Baking Show ")</f>
        <v xml:space="preserve">The Great British Baking Show </v>
      </c>
      <c r="E2980" t="str">
        <f ca="1">IFERROR(__xludf.DUMMYFUNCTION("""COMPUTED_VALUE"""),"TV Series 2010– )")</f>
        <v>TV Series 2010– )</v>
      </c>
    </row>
    <row r="2981" spans="1:5" ht="13" x14ac:dyDescent="0.15">
      <c r="A2981" s="5" t="s">
        <v>3107</v>
      </c>
      <c r="D2981" t="str">
        <f ca="1">IFERROR(__xludf.DUMMYFUNCTION("split(A2981,""("")"),"The Great Christmas Light Fight ")</f>
        <v xml:space="preserve">The Great Christmas Light Fight </v>
      </c>
      <c r="E2981" t="str">
        <f ca="1">IFERROR(__xludf.DUMMYFUNCTION("""COMPUTED_VALUE"""),"TV Series 2013– )")</f>
        <v>TV Series 2013– )</v>
      </c>
    </row>
    <row r="2982" spans="1:5" ht="13" x14ac:dyDescent="0.15">
      <c r="A2982" s="5" t="s">
        <v>3108</v>
      </c>
      <c r="D2982" t="str">
        <f ca="1">IFERROR(__xludf.DUMMYFUNCTION("split(A2982,""("")"),"The Great Depression ")</f>
        <v xml:space="preserve">The Great Depression </v>
      </c>
      <c r="E2982" t="str">
        <f ca="1">IFERROR(__xludf.DUMMYFUNCTION("""COMPUTED_VALUE"""),"TV Series 1993– )")</f>
        <v>TV Series 1993– )</v>
      </c>
    </row>
    <row r="2983" spans="1:5" ht="13" x14ac:dyDescent="0.15">
      <c r="A2983" s="5" t="s">
        <v>3109</v>
      </c>
      <c r="D2983" t="str">
        <f ca="1">IFERROR(__xludf.DUMMYFUNCTION("split(A2983,""("")"),"The Great Holiday Baking Show ")</f>
        <v xml:space="preserve">The Great Holiday Baking Show </v>
      </c>
      <c r="E2983" t="str">
        <f ca="1">IFERROR(__xludf.DUMMYFUNCTION("""COMPUTED_VALUE"""),"TV Series 2015– )")</f>
        <v>TV Series 2015– )</v>
      </c>
    </row>
    <row r="2984" spans="1:5" ht="13" x14ac:dyDescent="0.15">
      <c r="A2984" s="5" t="s">
        <v>3110</v>
      </c>
      <c r="D2984" t="str">
        <f ca="1">IFERROR(__xludf.DUMMYFUNCTION("split(A2984,""("")"),"The Great Jang-Geum ")</f>
        <v xml:space="preserve">The Great Jang-Geum </v>
      </c>
      <c r="E2984" t="str">
        <f ca="1">IFERROR(__xludf.DUMMYFUNCTION("""COMPUTED_VALUE"""),"TV Series 2003–2004)")</f>
        <v>TV Series 2003–2004)</v>
      </c>
    </row>
    <row r="2985" spans="1:5" ht="13" x14ac:dyDescent="0.15">
      <c r="A2985" s="5" t="s">
        <v>3111</v>
      </c>
      <c r="D2985" t="str">
        <f ca="1">IFERROR(__xludf.DUMMYFUNCTION("split(A2985,""("")"),"The Great Seer ")</f>
        <v xml:space="preserve">The Great Seer </v>
      </c>
      <c r="E2985" t="str">
        <f ca="1">IFERROR(__xludf.DUMMYFUNCTION("""COMPUTED_VALUE"""),"TV Series 2012–2013)")</f>
        <v>TV Series 2012–2013)</v>
      </c>
    </row>
    <row r="2986" spans="1:5" ht="13" x14ac:dyDescent="0.15">
      <c r="A2986" s="5" t="s">
        <v>3112</v>
      </c>
      <c r="D2986" t="str">
        <f ca="1">IFERROR(__xludf.DUMMYFUNCTION("split(A2986,""("")"),"The Grim Adventures of Billy &amp; Mandy ")</f>
        <v xml:space="preserve">The Grim Adventures of Billy &amp; Mandy </v>
      </c>
      <c r="E2986" t="str">
        <f ca="1">IFERROR(__xludf.DUMMYFUNCTION("""COMPUTED_VALUE"""),"TV Series 2001–2007)")</f>
        <v>TV Series 2001–2007)</v>
      </c>
    </row>
    <row r="2987" spans="1:5" ht="13" x14ac:dyDescent="0.15">
      <c r="A2987" s="5" t="s">
        <v>3113</v>
      </c>
      <c r="D2987" t="str">
        <f ca="1">IFERROR(__xludf.DUMMYFUNCTION("split(A2987,""("")"),"The Guardian ")</f>
        <v xml:space="preserve">The Guardian </v>
      </c>
      <c r="E2987" t="str">
        <f ca="1">IFERROR(__xludf.DUMMYFUNCTION("""COMPUTED_VALUE"""),"TV Series 2001–2004)")</f>
        <v>TV Series 2001–2004)</v>
      </c>
    </row>
    <row r="2988" spans="1:5" ht="13" x14ac:dyDescent="0.15">
      <c r="A2988" s="5" t="s">
        <v>3114</v>
      </c>
      <c r="D2988" t="str">
        <f ca="1">IFERROR(__xludf.DUMMYFUNCTION("split(A2988,""("")"),"The Guards ")</f>
        <v xml:space="preserve">The Guards </v>
      </c>
      <c r="E2988" t="str">
        <f ca="1">IFERROR(__xludf.DUMMYFUNCTION("""COMPUTED_VALUE"""),"TV Series 2010– )")</f>
        <v>TV Series 2010– )</v>
      </c>
    </row>
    <row r="2989" spans="1:5" ht="13" x14ac:dyDescent="0.15">
      <c r="A2989" s="5" t="s">
        <v>3115</v>
      </c>
      <c r="D2989" t="str">
        <f ca="1">IFERROR(__xludf.DUMMYFUNCTION("split(A2989,""("")"),"The Guest Book ")</f>
        <v xml:space="preserve">The Guest Book </v>
      </c>
      <c r="E2989" t="str">
        <f ca="1">IFERROR(__xludf.DUMMYFUNCTION("""COMPUTED_VALUE"""),"TV Series 2017– )")</f>
        <v>TV Series 2017– )</v>
      </c>
    </row>
    <row r="2990" spans="1:5" ht="13" x14ac:dyDescent="0.15">
      <c r="A2990" s="5" t="s">
        <v>3116</v>
      </c>
      <c r="D2990" t="str">
        <f ca="1">IFERROR(__xludf.DUMMYFUNCTION("split(A2990,""("")"),"The Ha!ifax Comedy Fest ")</f>
        <v xml:space="preserve">The Ha!ifax Comedy Fest </v>
      </c>
      <c r="E2990" t="str">
        <f ca="1">IFERROR(__xludf.DUMMYFUNCTION("""COMPUTED_VALUE"""),"TV Series 2002– )")</f>
        <v>TV Series 2002– )</v>
      </c>
    </row>
    <row r="2991" spans="1:5" ht="13" x14ac:dyDescent="0.15">
      <c r="A2991" s="5" t="s">
        <v>3117</v>
      </c>
      <c r="D2991" t="str">
        <f ca="1">IFERROR(__xludf.DUMMYFUNCTION("split(A2991,""("")"),"The Hackman ")</f>
        <v xml:space="preserve">The Hackman </v>
      </c>
      <c r="E2991" t="str">
        <f ca="1">IFERROR(__xludf.DUMMYFUNCTION("""COMPUTED_VALUE"""),"TV Series 2016–2017)")</f>
        <v>TV Series 2016–2017)</v>
      </c>
    </row>
    <row r="2992" spans="1:5" ht="13" x14ac:dyDescent="0.15">
      <c r="A2992" s="5" t="s">
        <v>3118</v>
      </c>
      <c r="D2992" t="str">
        <f ca="1">IFERROR(__xludf.DUMMYFUNCTION("split(A2992,""("")"),"The Halcyon ")</f>
        <v xml:space="preserve">The Halcyon </v>
      </c>
      <c r="E2992" t="str">
        <f ca="1">IFERROR(__xludf.DUMMYFUNCTION("""COMPUTED_VALUE"""),"TV Series 2017– )")</f>
        <v>TV Series 2017– )</v>
      </c>
    </row>
    <row r="2993" spans="1:5" ht="13" x14ac:dyDescent="0.15">
      <c r="A2993" s="5" t="s">
        <v>31</v>
      </c>
      <c r="D2993" t="str">
        <f ca="1">IFERROR(__xludf.DUMMYFUNCTION("split(A2993,""("")"),"The Handmaid's Tale ")</f>
        <v xml:space="preserve">The Handmaid's Tale </v>
      </c>
      <c r="E2993" t="str">
        <f ca="1">IFERROR(__xludf.DUMMYFUNCTION("""COMPUTED_VALUE"""),"TV Series 2017– )")</f>
        <v>TV Series 2017– )</v>
      </c>
    </row>
    <row r="2994" spans="1:5" ht="13" x14ac:dyDescent="0.15">
      <c r="A2994" s="5" t="s">
        <v>3119</v>
      </c>
      <c r="D2994" t="str">
        <f ca="1">IFERROR(__xludf.DUMMYFUNCTION("split(A2994,""("")"),"The Head ")</f>
        <v xml:space="preserve">The Head </v>
      </c>
      <c r="E2994" t="str">
        <f ca="1">IFERROR(__xludf.DUMMYFUNCTION("""COMPUTED_VALUE"""),"TV Series 1994–1996)")</f>
        <v>TV Series 1994–1996)</v>
      </c>
    </row>
    <row r="2995" spans="1:5" ht="13" x14ac:dyDescent="0.15">
      <c r="A2995" s="5" t="s">
        <v>3120</v>
      </c>
      <c r="D2995" t="str">
        <f ca="1">IFERROR(__xludf.DUMMYFUNCTION("split(A2995,""("")"),"The Hills ")</f>
        <v xml:space="preserve">The Hills </v>
      </c>
      <c r="E2995" t="str">
        <f ca="1">IFERROR(__xludf.DUMMYFUNCTION("""COMPUTED_VALUE"""),"TV Series 2006–2010)")</f>
        <v>TV Series 2006–2010)</v>
      </c>
    </row>
    <row r="2996" spans="1:5" ht="13" x14ac:dyDescent="0.15">
      <c r="A2996" s="5" t="s">
        <v>644</v>
      </c>
      <c r="D2996" t="str">
        <f ca="1">IFERROR(__xludf.DUMMYFUNCTION("split(A2996,""("")"),"The Hills: New Beginnings ")</f>
        <v xml:space="preserve">The Hills: New Beginnings </v>
      </c>
      <c r="E2996" t="str">
        <f ca="1">IFERROR(__xludf.DUMMYFUNCTION("""COMPUTED_VALUE"""),"TV Series 2019– )")</f>
        <v>TV Series 2019– )</v>
      </c>
    </row>
    <row r="2997" spans="1:5" ht="13" x14ac:dyDescent="0.15">
      <c r="A2997" s="5" t="s">
        <v>3121</v>
      </c>
      <c r="D2997" t="str">
        <f ca="1">IFERROR(__xludf.DUMMYFUNCTION("split(A2997,""("")"),"The History of Comedy ")</f>
        <v xml:space="preserve">The History of Comedy </v>
      </c>
      <c r="E2997" t="str">
        <f ca="1">IFERROR(__xludf.DUMMYFUNCTION("""COMPUTED_VALUE"""),"TV Series 2017– )")</f>
        <v>TV Series 2017– )</v>
      </c>
    </row>
    <row r="2998" spans="1:5" ht="13" x14ac:dyDescent="0.15">
      <c r="A2998" s="5" t="s">
        <v>155</v>
      </c>
      <c r="D2998" t="str">
        <f ca="1">IFERROR(__xludf.DUMMYFUNCTION("split(A2998,""("")"),"The Hitchhiker's Guide to the Galaxy ")</f>
        <v xml:space="preserve">The Hitchhiker's Guide to the Galaxy </v>
      </c>
      <c r="E2998" t="str">
        <f ca="1">IFERROR(__xludf.DUMMYFUNCTION("""COMPUTED_VALUE"""),"TV Series 1981)")</f>
        <v>TV Series 1981)</v>
      </c>
    </row>
    <row r="2999" spans="1:5" ht="13" x14ac:dyDescent="0.15">
      <c r="A2999" s="5" t="s">
        <v>3122</v>
      </c>
      <c r="D2999" t="str">
        <f ca="1">IFERROR(__xludf.DUMMYFUNCTION("split(A2999,""("")"),"The Holodeck ")</f>
        <v xml:space="preserve">The Holodeck </v>
      </c>
      <c r="E2999" t="str">
        <f ca="1">IFERROR(__xludf.DUMMYFUNCTION("""COMPUTED_VALUE"""),"TV Series 2013–2014)")</f>
        <v>TV Series 2013–2014)</v>
      </c>
    </row>
    <row r="3000" spans="1:5" ht="13" x14ac:dyDescent="0.15">
      <c r="A3000" s="5" t="s">
        <v>3123</v>
      </c>
      <c r="D3000" t="str">
        <f ca="1">IFERROR(__xludf.DUMMYFUNCTION("split(A3000,""("")"),"The Horror Zone ")</f>
        <v xml:space="preserve">The Horror Zone </v>
      </c>
      <c r="E3000" t="str">
        <f ca="1">IFERROR(__xludf.DUMMYFUNCTION("""COMPUTED_VALUE"""),"TV Series 2017)")</f>
        <v>TV Series 2017)</v>
      </c>
    </row>
    <row r="3001" spans="1:5" ht="13" x14ac:dyDescent="0.15">
      <c r="A3001" s="5" t="s">
        <v>7</v>
      </c>
      <c r="D3001" t="str">
        <f ca="1">IFERROR(__xludf.DUMMYFUNCTION("split(A3001,""("")"),"The Hot Zone ")</f>
        <v xml:space="preserve">The Hot Zone </v>
      </c>
      <c r="E3001" t="str">
        <f ca="1">IFERROR(__xludf.DUMMYFUNCTION("""COMPUTED_VALUE"""),"TV Mini-Series 2019– )")</f>
        <v>TV Mini-Series 2019– )</v>
      </c>
    </row>
    <row r="3002" spans="1:5" ht="13" x14ac:dyDescent="0.15">
      <c r="A3002" s="5" t="s">
        <v>3124</v>
      </c>
      <c r="D3002" t="str">
        <f ca="1">IFERROR(__xludf.DUMMYFUNCTION("split(A3002,""("")"),"The Hour ")</f>
        <v xml:space="preserve">The Hour </v>
      </c>
      <c r="E3002" t="str">
        <f ca="1">IFERROR(__xludf.DUMMYFUNCTION("""COMPUTED_VALUE"""),"TV Series 2011–2012)")</f>
        <v>TV Series 2011–2012)</v>
      </c>
    </row>
    <row r="3003" spans="1:5" ht="13" x14ac:dyDescent="0.15">
      <c r="A3003" s="5" t="s">
        <v>3125</v>
      </c>
      <c r="D3003" t="str">
        <f ca="1">IFERROR(__xludf.DUMMYFUNCTION("split(A3003,""("")"),"The Human Condition ")</f>
        <v xml:space="preserve">The Human Condition </v>
      </c>
      <c r="E3003" t="str">
        <f ca="1">IFERROR(__xludf.DUMMYFUNCTION("""COMPUTED_VALUE"""),"TV Series 2013– )")</f>
        <v>TV Series 2013– )</v>
      </c>
    </row>
    <row r="3004" spans="1:5" ht="13" x14ac:dyDescent="0.15">
      <c r="A3004" s="5" t="s">
        <v>452</v>
      </c>
      <c r="D3004" t="str">
        <f ca="1">IFERROR(__xludf.DUMMYFUNCTION("split(A3004,""("")"),"The Hunger ")</f>
        <v xml:space="preserve">The Hunger </v>
      </c>
      <c r="E3004" t="str">
        <f ca="1">IFERROR(__xludf.DUMMYFUNCTION("""COMPUTED_VALUE"""),"TV Series 1997–2000)")</f>
        <v>TV Series 1997–2000)</v>
      </c>
    </row>
    <row r="3005" spans="1:5" ht="13" x14ac:dyDescent="0.15">
      <c r="A3005" s="5" t="s">
        <v>3126</v>
      </c>
      <c r="D3005" t="str">
        <f ca="1">IFERROR(__xludf.DUMMYFUNCTION("split(A3005,""("")"),"The InBetween ")</f>
        <v xml:space="preserve">The InBetween </v>
      </c>
      <c r="E3005" t="str">
        <f ca="1">IFERROR(__xludf.DUMMYFUNCTION("""COMPUTED_VALUE"""),"TV Series 2019– )")</f>
        <v>TV Series 2019– )</v>
      </c>
    </row>
    <row r="3006" spans="1:5" ht="13" x14ac:dyDescent="0.15">
      <c r="A3006" s="5" t="s">
        <v>3127</v>
      </c>
      <c r="D3006" t="str">
        <f ca="1">IFERROR(__xludf.DUMMYFUNCTION("split(A3006,""("")"),"The Inbetweeners ")</f>
        <v xml:space="preserve">The Inbetweeners </v>
      </c>
      <c r="E3006" t="str">
        <f ca="1">IFERROR(__xludf.DUMMYFUNCTION("""COMPUTED_VALUE"""),"TV Series 2008–2010)")</f>
        <v>TV Series 2008–2010)</v>
      </c>
    </row>
    <row r="3007" spans="1:5" ht="13" x14ac:dyDescent="0.15">
      <c r="A3007" s="5" t="s">
        <v>3128</v>
      </c>
      <c r="D3007" t="str">
        <f ca="1">IFERROR(__xludf.DUMMYFUNCTION("split(A3007,""("")"),"The Increasingly Poor Decisions of Todd Margaret ")</f>
        <v xml:space="preserve">The Increasingly Poor Decisions of Todd Margaret </v>
      </c>
      <c r="E3007" t="str">
        <f ca="1">IFERROR(__xludf.DUMMYFUNCTION("""COMPUTED_VALUE"""),"TV Series 2009–2016)")</f>
        <v>TV Series 2009–2016)</v>
      </c>
    </row>
    <row r="3008" spans="1:5" ht="13" x14ac:dyDescent="0.15">
      <c r="A3008" s="5" t="s">
        <v>3129</v>
      </c>
      <c r="D3008" t="str">
        <f ca="1">IFERROR(__xludf.DUMMYFUNCTION("split(A3008,""("")"),"The Incredible Dr. Pol ")</f>
        <v xml:space="preserve">The Incredible Dr. Pol </v>
      </c>
      <c r="E3008" t="str">
        <f ca="1">IFERROR(__xludf.DUMMYFUNCTION("""COMPUTED_VALUE"""),"TV Series 2011– )")</f>
        <v>TV Series 2011– )</v>
      </c>
    </row>
    <row r="3009" spans="1:5" ht="13" x14ac:dyDescent="0.15">
      <c r="A3009" s="5" t="s">
        <v>86</v>
      </c>
      <c r="D3009" t="str">
        <f ca="1">IFERROR(__xludf.DUMMYFUNCTION("split(A3009,""("")"),"The Incredible Hulk ")</f>
        <v xml:space="preserve">The Incredible Hulk </v>
      </c>
      <c r="E3009" t="str">
        <f ca="1">IFERROR(__xludf.DUMMYFUNCTION("""COMPUTED_VALUE"""),"TV Series 1996–1998)")</f>
        <v>TV Series 1996–1998)</v>
      </c>
    </row>
    <row r="3010" spans="1:5" ht="13" x14ac:dyDescent="0.15">
      <c r="A3010" s="5" t="s">
        <v>3130</v>
      </c>
      <c r="D3010" t="str">
        <f ca="1">IFERROR(__xludf.DUMMYFUNCTION("split(A3010,""("")"),"The Inspectors ")</f>
        <v xml:space="preserve">The Inspectors </v>
      </c>
      <c r="E3010" t="str">
        <f ca="1">IFERROR(__xludf.DUMMYFUNCTION("""COMPUTED_VALUE"""),"TV Series 2015– )")</f>
        <v>TV Series 2015– )</v>
      </c>
    </row>
    <row r="3011" spans="1:5" ht="13" x14ac:dyDescent="0.15">
      <c r="A3011" s="5" t="s">
        <v>3131</v>
      </c>
      <c r="D3011" t="str">
        <f ca="1">IFERROR(__xludf.DUMMYFUNCTION("split(A3011,""("")"),"The Investigator ")</f>
        <v xml:space="preserve">The Investigator </v>
      </c>
      <c r="E3011" t="str">
        <f ca="1">IFERROR(__xludf.DUMMYFUNCTION("""COMPUTED_VALUE"""),"TV Series 2009–2012)")</f>
        <v>TV Series 2009–2012)</v>
      </c>
    </row>
    <row r="3012" spans="1:5" ht="13" x14ac:dyDescent="0.15">
      <c r="A3012" s="5" t="s">
        <v>3132</v>
      </c>
      <c r="D3012" t="str">
        <f ca="1">IFERROR(__xludf.DUMMYFUNCTION("split(A3012,""("")"),"The Investigator: A British Crime Story ")</f>
        <v xml:space="preserve">The Investigator: A British Crime Story </v>
      </c>
      <c r="E3012" t="str">
        <f ca="1">IFERROR(__xludf.DUMMYFUNCTION("""COMPUTED_VALUE"""),"TV Series 2016– )")</f>
        <v>TV Series 2016– )</v>
      </c>
    </row>
    <row r="3013" spans="1:5" ht="13" x14ac:dyDescent="0.15">
      <c r="A3013" s="5" t="s">
        <v>3133</v>
      </c>
      <c r="D3013" t="str">
        <f ca="1">IFERROR(__xludf.DUMMYFUNCTION("split(A3013,""("")"),"The IT Crowd ")</f>
        <v xml:space="preserve">The IT Crowd </v>
      </c>
      <c r="E3013" t="str">
        <f ca="1">IFERROR(__xludf.DUMMYFUNCTION("""COMPUTED_VALUE"""),"TV Series 2006–2013)")</f>
        <v>TV Series 2006–2013)</v>
      </c>
    </row>
    <row r="3014" spans="1:5" ht="13" x14ac:dyDescent="0.15">
      <c r="A3014" s="5" t="s">
        <v>3134</v>
      </c>
      <c r="D3014" t="str">
        <f ca="1">IFERROR(__xludf.DUMMYFUNCTION("split(A3014,""("")"),"The Janice Dickinson Modeling Agency ")</f>
        <v xml:space="preserve">The Janice Dickinson Modeling Agency </v>
      </c>
      <c r="E3014" t="str">
        <f ca="1">IFERROR(__xludf.DUMMYFUNCTION("""COMPUTED_VALUE"""),"TV Series 2006–2008)")</f>
        <v>TV Series 2006–2008)</v>
      </c>
    </row>
    <row r="3015" spans="1:5" ht="13" x14ac:dyDescent="0.15">
      <c r="A3015" s="5" t="s">
        <v>3135</v>
      </c>
      <c r="D3015" t="str">
        <f ca="1">IFERROR(__xludf.DUMMYFUNCTION("split(A3015,""("")"),"The Jim Gaffigan Show ")</f>
        <v xml:space="preserve">The Jim Gaffigan Show </v>
      </c>
      <c r="E3015" t="str">
        <f ca="1">IFERROR(__xludf.DUMMYFUNCTION("""COMPUTED_VALUE"""),"TV Series 2015–2016)")</f>
        <v>TV Series 2015–2016)</v>
      </c>
    </row>
    <row r="3016" spans="1:5" ht="13" x14ac:dyDescent="0.15">
      <c r="A3016" s="5" t="s">
        <v>3136</v>
      </c>
      <c r="D3016" t="str">
        <f ca="1">IFERROR(__xludf.DUMMYFUNCTION("split(A3016,""("")"),"The Jon Dore Television Show ")</f>
        <v xml:space="preserve">The Jon Dore Television Show </v>
      </c>
      <c r="E3016" t="str">
        <f ca="1">IFERROR(__xludf.DUMMYFUNCTION("""COMPUTED_VALUE"""),"TV Series 2007–2009)")</f>
        <v>TV Series 2007–2009)</v>
      </c>
    </row>
    <row r="3017" spans="1:5" ht="13" x14ac:dyDescent="0.15">
      <c r="A3017" s="5" t="s">
        <v>3137</v>
      </c>
      <c r="D3017" t="str">
        <f ca="1">IFERROR(__xludf.DUMMYFUNCTION("split(A3017,""("")"),"The Joy of Painting ")</f>
        <v xml:space="preserve">The Joy of Painting </v>
      </c>
      <c r="E3017" t="str">
        <f ca="1">IFERROR(__xludf.DUMMYFUNCTION("""COMPUTED_VALUE"""),"TV Series 1983–1994)")</f>
        <v>TV Series 1983–1994)</v>
      </c>
    </row>
    <row r="3018" spans="1:5" ht="13" x14ac:dyDescent="0.15">
      <c r="A3018" s="5" t="s">
        <v>3138</v>
      </c>
      <c r="D3018" t="str">
        <f ca="1">IFERROR(__xludf.DUMMYFUNCTION("split(A3018,""("")"),"The Julekalender ")</f>
        <v xml:space="preserve">The Julekalender </v>
      </c>
      <c r="E3018" t="str">
        <f ca="1">IFERROR(__xludf.DUMMYFUNCTION("""COMPUTED_VALUE"""),"TV Series 1994– )")</f>
        <v>TV Series 1994– )</v>
      </c>
    </row>
    <row r="3019" spans="1:5" ht="13" x14ac:dyDescent="0.15">
      <c r="A3019" s="5" t="s">
        <v>3139</v>
      </c>
      <c r="D3019" t="str">
        <f ca="1">IFERROR(__xludf.DUMMYFUNCTION("split(A3019,""("")"),"The Jump ")</f>
        <v xml:space="preserve">The Jump </v>
      </c>
      <c r="E3019" t="str">
        <f ca="1">IFERROR(__xludf.DUMMYFUNCTION("""COMPUTED_VALUE"""),"TV Series 1998– )")</f>
        <v>TV Series 1998– )</v>
      </c>
    </row>
    <row r="3020" spans="1:5" ht="13" x14ac:dyDescent="0.15">
      <c r="A3020" s="5" t="s">
        <v>3140</v>
      </c>
      <c r="D3020" t="str">
        <f ca="1">IFERROR(__xludf.DUMMYFUNCTION("split(A3020,""("")"),"The Jump ")</f>
        <v xml:space="preserve">The Jump </v>
      </c>
      <c r="E3020" t="str">
        <f ca="1">IFERROR(__xludf.DUMMYFUNCTION("""COMPUTED_VALUE"""),"TV Series 2014– )")</f>
        <v>TV Series 2014– )</v>
      </c>
    </row>
    <row r="3021" spans="1:5" ht="13" x14ac:dyDescent="0.15">
      <c r="A3021" s="5" t="s">
        <v>156</v>
      </c>
      <c r="D3021" t="str">
        <f ca="1">IFERROR(__xludf.DUMMYFUNCTION("split(A3021,""("")"),"The Jungle Book ")</f>
        <v xml:space="preserve">The Jungle Book </v>
      </c>
      <c r="E3021" t="str">
        <f ca="1">IFERROR(__xludf.DUMMYFUNCTION("""COMPUTED_VALUE"""),"TV Series 2010– )")</f>
        <v>TV Series 2010– )</v>
      </c>
    </row>
    <row r="3022" spans="1:5" ht="13" x14ac:dyDescent="0.15">
      <c r="A3022" s="5" t="s">
        <v>3141</v>
      </c>
      <c r="D3022" t="str">
        <f ca="1">IFERROR(__xludf.DUMMYFUNCTION("split(A3022,""("")"),"The Jury Speaks ")</f>
        <v xml:space="preserve">The Jury Speaks </v>
      </c>
      <c r="E3022" t="str">
        <f ca="1">IFERROR(__xludf.DUMMYFUNCTION("""COMPUTED_VALUE"""),"TV Series 2017– )")</f>
        <v>TV Series 2017– )</v>
      </c>
    </row>
    <row r="3023" spans="1:5" ht="13" x14ac:dyDescent="0.15">
      <c r="A3023" s="5" t="s">
        <v>453</v>
      </c>
      <c r="D3023" t="str">
        <f ca="1">IFERROR(__xludf.DUMMYFUNCTION("split(A3023,""("")"),"The Karate Kid ")</f>
        <v xml:space="preserve">The Karate Kid </v>
      </c>
      <c r="E3023" t="str">
        <f ca="1">IFERROR(__xludf.DUMMYFUNCTION("""COMPUTED_VALUE"""),"TV Series 1989– )")</f>
        <v>TV Series 1989– )</v>
      </c>
    </row>
    <row r="3024" spans="1:5" ht="13" x14ac:dyDescent="0.15">
      <c r="A3024" s="5" t="s">
        <v>3142</v>
      </c>
      <c r="D3024" t="str">
        <f ca="1">IFERROR(__xludf.DUMMYFUNCTION("split(A3024,""("")"),"The Keith Lemon Sketch Show ")</f>
        <v xml:space="preserve">The Keith Lemon Sketch Show </v>
      </c>
      <c r="E3024" t="str">
        <f ca="1">IFERROR(__xludf.DUMMYFUNCTION("""COMPUTED_VALUE"""),"TV Series 2015–2016)")</f>
        <v>TV Series 2015–2016)</v>
      </c>
    </row>
    <row r="3025" spans="1:5" ht="13" x14ac:dyDescent="0.15">
      <c r="A3025" s="5" t="s">
        <v>3143</v>
      </c>
      <c r="D3025" t="str">
        <f ca="1">IFERROR(__xludf.DUMMYFUNCTION("split(A3025,""("")"),"The Kids Are Alright ")</f>
        <v xml:space="preserve">The Kids Are Alright </v>
      </c>
      <c r="E3025" t="str">
        <f ca="1">IFERROR(__xludf.DUMMYFUNCTION("""COMPUTED_VALUE"""),"TV Series 2018– )")</f>
        <v>TV Series 2018– )</v>
      </c>
    </row>
    <row r="3026" spans="1:5" ht="13" x14ac:dyDescent="0.15">
      <c r="A3026" s="5" t="s">
        <v>3144</v>
      </c>
      <c r="D3026" t="str">
        <f ca="1">IFERROR(__xludf.DUMMYFUNCTION("split(A3026,""("")"),"The Kids in the Hall ")</f>
        <v xml:space="preserve">The Kids in the Hall </v>
      </c>
      <c r="E3026" t="str">
        <f ca="1">IFERROR(__xludf.DUMMYFUNCTION("""COMPUTED_VALUE"""),"TV Series 1988–1994)")</f>
        <v>TV Series 1988–1994)</v>
      </c>
    </row>
    <row r="3027" spans="1:5" ht="13" x14ac:dyDescent="0.15">
      <c r="A3027" s="5" t="s">
        <v>3145</v>
      </c>
      <c r="D3027" t="str">
        <f ca="1">IFERROR(__xludf.DUMMYFUNCTION("split(A3027,""("")"),"The Killing ")</f>
        <v xml:space="preserve">The Killing </v>
      </c>
      <c r="E3027" t="str">
        <f ca="1">IFERROR(__xludf.DUMMYFUNCTION("""COMPUTED_VALUE"""),"TV Series 2007–2012)")</f>
        <v>TV Series 2007–2012)</v>
      </c>
    </row>
    <row r="3028" spans="1:5" ht="13" x14ac:dyDescent="0.15">
      <c r="A3028" s="5" t="s">
        <v>645</v>
      </c>
      <c r="D3028" t="str">
        <f ca="1">IFERROR(__xludf.DUMMYFUNCTION("split(A3028,""("")"),"The Killing ")</f>
        <v xml:space="preserve">The Killing </v>
      </c>
      <c r="E3028" t="str">
        <f ca="1">IFERROR(__xludf.DUMMYFUNCTION("""COMPUTED_VALUE"""),"TV Series 2011–2014)")</f>
        <v>TV Series 2011–2014)</v>
      </c>
    </row>
    <row r="3029" spans="1:5" ht="13" x14ac:dyDescent="0.15">
      <c r="A3029" s="7" t="s">
        <v>3146</v>
      </c>
      <c r="D3029" t="str">
        <f ca="1">IFERROR(__xludf.DUMMYFUNCTION("split(A3029,""("")"),"The Killing of JonBenet: The Truth Uncovered ")</f>
        <v xml:space="preserve">The Killing of JonBenet: The Truth Uncovered </v>
      </c>
      <c r="E3029" t="str">
        <f ca="1">IFERROR(__xludf.DUMMYFUNCTION("""COMPUTED_VALUE"""),"TV Series 2016– )")</f>
        <v>TV Series 2016– )</v>
      </c>
    </row>
    <row r="3030" spans="1:5" ht="13" x14ac:dyDescent="0.15">
      <c r="A3030" s="5" t="s">
        <v>3147</v>
      </c>
      <c r="D3030" t="str">
        <f ca="1">IFERROR(__xludf.DUMMYFUNCTION("split(A3030,""("")"),"The Killing Season ")</f>
        <v xml:space="preserve">The Killing Season </v>
      </c>
      <c r="E3030" t="str">
        <f ca="1">IFERROR(__xludf.DUMMYFUNCTION("""COMPUTED_VALUE"""),"TV Series 2016– )")</f>
        <v>TV Series 2016– )</v>
      </c>
    </row>
    <row r="3031" spans="1:5" ht="13" x14ac:dyDescent="0.15">
      <c r="A3031" s="5" t="s">
        <v>3148</v>
      </c>
      <c r="D3031" t="str">
        <f ca="1">IFERROR(__xludf.DUMMYFUNCTION("split(A3031,""("")"),"The King 2 Hearts ")</f>
        <v xml:space="preserve">The King 2 Hearts </v>
      </c>
      <c r="E3031" t="str">
        <f ca="1">IFERROR(__xludf.DUMMYFUNCTION("""COMPUTED_VALUE"""),"TV Series 2012– )")</f>
        <v>TV Series 2012– )</v>
      </c>
    </row>
    <row r="3032" spans="1:5" ht="13" x14ac:dyDescent="0.15">
      <c r="A3032" s="5" t="s">
        <v>3149</v>
      </c>
      <c r="D3032" t="str">
        <f ca="1">IFERROR(__xludf.DUMMYFUNCTION("split(A3032,""("")"),"The King of Queens ")</f>
        <v xml:space="preserve">The King of Queens </v>
      </c>
      <c r="E3032" t="str">
        <f ca="1">IFERROR(__xludf.DUMMYFUNCTION("""COMPUTED_VALUE"""),"TV Series 1998–2007)")</f>
        <v>TV Series 1998–2007)</v>
      </c>
    </row>
    <row r="3033" spans="1:5" ht="13" x14ac:dyDescent="0.15">
      <c r="A3033" s="5" t="s">
        <v>3150</v>
      </c>
      <c r="D3033" t="str">
        <f ca="1">IFERROR(__xludf.DUMMYFUNCTION("split(A3033,""("")"),"The Kingdom of the Winds ")</f>
        <v xml:space="preserve">The Kingdom of the Winds </v>
      </c>
      <c r="E3033" t="str">
        <f ca="1">IFERROR(__xludf.DUMMYFUNCTION("""COMPUTED_VALUE"""),"TV Series 2008–2009)")</f>
        <v>TV Series 2008–2009)</v>
      </c>
    </row>
    <row r="3034" spans="1:5" ht="13" x14ac:dyDescent="0.15">
      <c r="A3034" s="5" t="s">
        <v>255</v>
      </c>
      <c r="D3034" t="str">
        <f ca="1">IFERROR(__xludf.DUMMYFUNCTION("split(A3034,""("")"),"The Kominsky Method ")</f>
        <v xml:space="preserve">The Kominsky Method </v>
      </c>
      <c r="E3034" t="str">
        <f ca="1">IFERROR(__xludf.DUMMYFUNCTION("""COMPUTED_VALUE"""),"TV Series 2018– )")</f>
        <v>TV Series 2018– )</v>
      </c>
    </row>
    <row r="3035" spans="1:5" ht="13" x14ac:dyDescent="0.15">
      <c r="A3035" s="5" t="s">
        <v>3151</v>
      </c>
      <c r="D3035" t="str">
        <f ca="1">IFERROR(__xludf.DUMMYFUNCTION("split(A3035,""("")"),"The L Word ")</f>
        <v xml:space="preserve">The L Word </v>
      </c>
      <c r="E3035" t="str">
        <f ca="1">IFERROR(__xludf.DUMMYFUNCTION("""COMPUTED_VALUE"""),"TV Series 2004–2009)")</f>
        <v>TV Series 2004–2009)</v>
      </c>
    </row>
    <row r="3036" spans="1:5" ht="13" x14ac:dyDescent="0.15">
      <c r="A3036" s="5" t="s">
        <v>3152</v>
      </c>
      <c r="D3036" t="str">
        <f ca="1">IFERROR(__xludf.DUMMYFUNCTION("split(A3036,""("")"),"The Lair ")</f>
        <v xml:space="preserve">The Lair </v>
      </c>
      <c r="E3036" t="str">
        <f ca="1">IFERROR(__xludf.DUMMYFUNCTION("""COMPUTED_VALUE"""),"TV Series 2007– )")</f>
        <v>TV Series 2007– )</v>
      </c>
    </row>
    <row r="3037" spans="1:5" ht="13" x14ac:dyDescent="0.15">
      <c r="A3037" s="5" t="s">
        <v>3153</v>
      </c>
      <c r="D3037" t="str">
        <f ca="1">IFERROR(__xludf.DUMMYFUNCTION("split(A3037,""("")"),"The Larry Sanders Show ")</f>
        <v xml:space="preserve">The Larry Sanders Show </v>
      </c>
      <c r="E3037" t="str">
        <f ca="1">IFERROR(__xludf.DUMMYFUNCTION("""COMPUTED_VALUE"""),"TV Series 1992–1998)")</f>
        <v>TV Series 1992–1998)</v>
      </c>
    </row>
    <row r="3038" spans="1:5" ht="13" x14ac:dyDescent="0.15">
      <c r="A3038" s="5" t="s">
        <v>3154</v>
      </c>
      <c r="D3038" t="str">
        <f ca="1">IFERROR(__xludf.DUMMYFUNCTION("split(A3038,""("")"),"The Last Kingdom ")</f>
        <v xml:space="preserve">The Last Kingdom </v>
      </c>
      <c r="E3038" t="str">
        <f ca="1">IFERROR(__xludf.DUMMYFUNCTION("""COMPUTED_VALUE"""),"TV Series 2015– )")</f>
        <v>TV Series 2015– )</v>
      </c>
    </row>
    <row r="3039" spans="1:5" ht="13" x14ac:dyDescent="0.15">
      <c r="A3039" s="5" t="s">
        <v>3155</v>
      </c>
      <c r="D3039" t="str">
        <f ca="1">IFERROR(__xludf.DUMMYFUNCTION("split(A3039,""("")"),"The Last Man on Earth ")</f>
        <v xml:space="preserve">The Last Man on Earth </v>
      </c>
      <c r="E3039" t="str">
        <f ca="1">IFERROR(__xludf.DUMMYFUNCTION("""COMPUTED_VALUE"""),"TV Series 2015–2018)")</f>
        <v>TV Series 2015–2018)</v>
      </c>
    </row>
    <row r="3040" spans="1:5" ht="13" x14ac:dyDescent="0.15">
      <c r="A3040" s="5" t="s">
        <v>3156</v>
      </c>
      <c r="D3040" t="str">
        <f ca="1">IFERROR(__xludf.DUMMYFUNCTION("split(A3040,""("")"),"The Last Ship ")</f>
        <v xml:space="preserve">The Last Ship </v>
      </c>
      <c r="E3040" t="str">
        <f ca="1">IFERROR(__xludf.DUMMYFUNCTION("""COMPUTED_VALUE"""),"TV Series 2014–2018)")</f>
        <v>TV Series 2014–2018)</v>
      </c>
    </row>
    <row r="3041" spans="1:5" ht="13" x14ac:dyDescent="0.15">
      <c r="A3041" s="5" t="s">
        <v>3157</v>
      </c>
      <c r="D3041" t="str">
        <f ca="1">IFERROR(__xludf.DUMMYFUNCTION("split(A3041,""("")"),"The Layover ")</f>
        <v xml:space="preserve">The Layover </v>
      </c>
      <c r="E3041" t="str">
        <f ca="1">IFERROR(__xludf.DUMMYFUNCTION("""COMPUTED_VALUE"""),"TV Series 2011–2013)")</f>
        <v>TV Series 2011–2013)</v>
      </c>
    </row>
    <row r="3042" spans="1:5" ht="13" x14ac:dyDescent="0.15">
      <c r="A3042" s="5" t="s">
        <v>3158</v>
      </c>
      <c r="D3042" t="str">
        <f ca="1">IFERROR(__xludf.DUMMYFUNCTION("split(A3042,""("")"),"The Lazarus Man ")</f>
        <v xml:space="preserve">The Lazarus Man </v>
      </c>
      <c r="E3042" t="str">
        <f ca="1">IFERROR(__xludf.DUMMYFUNCTION("""COMPUTED_VALUE"""),"TV Series 1996– )")</f>
        <v>TV Series 1996– )</v>
      </c>
    </row>
    <row r="3043" spans="1:5" ht="13" x14ac:dyDescent="0.15">
      <c r="A3043" s="5" t="s">
        <v>3159</v>
      </c>
      <c r="D3043" t="str">
        <f ca="1">IFERROR(__xludf.DUMMYFUNCTION("split(A3043,""("")"),"The League of Gentlemen ")</f>
        <v xml:space="preserve">The League of Gentlemen </v>
      </c>
      <c r="E3043" t="str">
        <f ca="1">IFERROR(__xludf.DUMMYFUNCTION("""COMPUTED_VALUE"""),"TV Series 1999–2017)")</f>
        <v>TV Series 1999–2017)</v>
      </c>
    </row>
    <row r="3044" spans="1:5" ht="13" x14ac:dyDescent="0.15">
      <c r="A3044" s="5" t="s">
        <v>3160</v>
      </c>
      <c r="D3044" t="str">
        <f ca="1">IFERROR(__xludf.DUMMYFUNCTION("split(A3044,""("")"),"The League of S.T.E.A.M. ")</f>
        <v xml:space="preserve">The League of S.T.E.A.M. </v>
      </c>
      <c r="E3044" t="str">
        <f ca="1">IFERROR(__xludf.DUMMYFUNCTION("""COMPUTED_VALUE"""),"TV Series 2010– )")</f>
        <v>TV Series 2010– )</v>
      </c>
    </row>
    <row r="3045" spans="1:5" ht="13" x14ac:dyDescent="0.15">
      <c r="A3045" s="5" t="s">
        <v>3161</v>
      </c>
      <c r="D3045" t="str">
        <f ca="1">IFERROR(__xludf.DUMMYFUNCTION("split(A3045,""("")"),"The Leftovers ")</f>
        <v xml:space="preserve">The Leftovers </v>
      </c>
      <c r="E3045" t="str">
        <f ca="1">IFERROR(__xludf.DUMMYFUNCTION("""COMPUTED_VALUE"""),"TV Series 2014–2017)")</f>
        <v>TV Series 2014–2017)</v>
      </c>
    </row>
    <row r="3046" spans="1:5" ht="13" x14ac:dyDescent="0.15">
      <c r="A3046" s="5" t="s">
        <v>241</v>
      </c>
      <c r="D3046" t="str">
        <f ca="1">IFERROR(__xludf.DUMMYFUNCTION("split(A3046,""("")"),"The Legend of Bruce Lee ")</f>
        <v xml:space="preserve">The Legend of Bruce Lee </v>
      </c>
      <c r="E3046" t="str">
        <f ca="1">IFERROR(__xludf.DUMMYFUNCTION("""COMPUTED_VALUE"""),"TV Series 2008– )")</f>
        <v>TV Series 2008– )</v>
      </c>
    </row>
    <row r="3047" spans="1:5" ht="13" x14ac:dyDescent="0.15">
      <c r="A3047" s="5" t="s">
        <v>3162</v>
      </c>
      <c r="D3047" t="str">
        <f ca="1">IFERROR(__xludf.DUMMYFUNCTION("split(A3047,""("")"),"The Legend of Korra ")</f>
        <v xml:space="preserve">The Legend of Korra </v>
      </c>
      <c r="E3047" t="str">
        <f ca="1">IFERROR(__xludf.DUMMYFUNCTION("""COMPUTED_VALUE"""),"TV Series 2012–2014)")</f>
        <v>TV Series 2012–2014)</v>
      </c>
    </row>
    <row r="3048" spans="1:5" ht="13" x14ac:dyDescent="0.15">
      <c r="A3048" s="5" t="s">
        <v>157</v>
      </c>
      <c r="D3048" t="str">
        <f ca="1">IFERROR(__xludf.DUMMYFUNCTION("split(A3048,""("")"),"The Legend of Tarzan ")</f>
        <v xml:space="preserve">The Legend of Tarzan </v>
      </c>
      <c r="E3048" t="str">
        <f ca="1">IFERROR(__xludf.DUMMYFUNCTION("""COMPUTED_VALUE"""),"TV Series 2001–2003)")</f>
        <v>TV Series 2001–2003)</v>
      </c>
    </row>
    <row r="3049" spans="1:5" ht="13" x14ac:dyDescent="0.15">
      <c r="A3049" s="5" t="s">
        <v>519</v>
      </c>
      <c r="D3049" t="str">
        <f ca="1">IFERROR(__xludf.DUMMYFUNCTION("split(A3049,""("")"),"The Legend of Zelda ")</f>
        <v xml:space="preserve">The Legend of Zelda </v>
      </c>
      <c r="E3049" t="str">
        <f ca="1">IFERROR(__xludf.DUMMYFUNCTION("""COMPUTED_VALUE"""),"TV Series 1989)")</f>
        <v>TV Series 1989)</v>
      </c>
    </row>
    <row r="3050" spans="1:5" ht="13" x14ac:dyDescent="0.15">
      <c r="A3050" s="5" t="s">
        <v>158</v>
      </c>
      <c r="D3050" t="str">
        <f ca="1">IFERROR(__xludf.DUMMYFUNCTION("split(A3050,""("")"),"The Legends of Treasure Island ")</f>
        <v xml:space="preserve">The Legends of Treasure Island </v>
      </c>
      <c r="E3050" t="str">
        <f ca="1">IFERROR(__xludf.DUMMYFUNCTION("""COMPUTED_VALUE"""),"TV Mini-Series 1993–1995)")</f>
        <v>TV Mini-Series 1993–1995)</v>
      </c>
    </row>
    <row r="3051" spans="1:5" ht="13" x14ac:dyDescent="0.15">
      <c r="A3051" s="5" t="s">
        <v>3163</v>
      </c>
      <c r="D3051" t="str">
        <f ca="1">IFERROR(__xludf.DUMMYFUNCTION("split(A3051,""("")"),"The Lens ")</f>
        <v xml:space="preserve">The Lens </v>
      </c>
      <c r="E3051" t="str">
        <f ca="1">IFERROR(__xludf.DUMMYFUNCTION("""COMPUTED_VALUE"""),"TV Series 2014– )")</f>
        <v>TV Series 2014– )</v>
      </c>
    </row>
    <row r="3052" spans="1:5" ht="13" x14ac:dyDescent="0.15">
      <c r="A3052" s="5" t="s">
        <v>3164</v>
      </c>
      <c r="D3052" t="str">
        <f ca="1">IFERROR(__xludf.DUMMYFUNCTION("split(A3052,""("")"),"The Level ")</f>
        <v xml:space="preserve">The Level </v>
      </c>
      <c r="E3052" t="str">
        <f ca="1">IFERROR(__xludf.DUMMYFUNCTION("""COMPUTED_VALUE"""),"TV Series 2016– )")</f>
        <v>TV Series 2016– )</v>
      </c>
    </row>
    <row r="3053" spans="1:5" ht="13" x14ac:dyDescent="0.15">
      <c r="A3053" s="5" t="s">
        <v>3165</v>
      </c>
      <c r="D3053" t="str">
        <f ca="1">IFERROR(__xludf.DUMMYFUNCTION("split(A3053,""("")"),"The Librarians ")</f>
        <v xml:space="preserve">The Librarians </v>
      </c>
      <c r="E3053" t="str">
        <f ca="1">IFERROR(__xludf.DUMMYFUNCTION("""COMPUTED_VALUE"""),"TV Series 2007–2010)")</f>
        <v>TV Series 2007–2010)</v>
      </c>
    </row>
    <row r="3054" spans="1:5" ht="13" x14ac:dyDescent="0.15">
      <c r="A3054" s="5" t="s">
        <v>3166</v>
      </c>
      <c r="D3054" t="str">
        <f ca="1">IFERROR(__xludf.DUMMYFUNCTION("split(A3054,""("")"),"The Life &amp; Times of Tim ")</f>
        <v xml:space="preserve">The Life &amp; Times of Tim </v>
      </c>
      <c r="E3054" t="str">
        <f ca="1">IFERROR(__xludf.DUMMYFUNCTION("""COMPUTED_VALUE"""),"TV Series 2008–2012)")</f>
        <v>TV Series 2008–2012)</v>
      </c>
    </row>
    <row r="3055" spans="1:5" ht="13" x14ac:dyDescent="0.15">
      <c r="A3055" s="5" t="s">
        <v>3167</v>
      </c>
      <c r="D3055" t="str">
        <f ca="1">IFERROR(__xludf.DUMMYFUNCTION("split(A3055,""("")"),"The Life of Rock with Brian Pern ")</f>
        <v xml:space="preserve">The Life of Rock with Brian Pern </v>
      </c>
      <c r="E3055" t="str">
        <f ca="1">IFERROR(__xludf.DUMMYFUNCTION("""COMPUTED_VALUE"""),"TV Series 2014– )")</f>
        <v>TV Series 2014– )</v>
      </c>
    </row>
    <row r="3056" spans="1:5" ht="13" x14ac:dyDescent="0.15">
      <c r="A3056" s="5" t="s">
        <v>3168</v>
      </c>
      <c r="D3056" t="str">
        <f ca="1">IFERROR(__xludf.DUMMYFUNCTION("split(A3056,""("")"),"The Line ")</f>
        <v xml:space="preserve">The Line </v>
      </c>
      <c r="E3056" t="str">
        <f ca="1">IFERROR(__xludf.DUMMYFUNCTION("""COMPUTED_VALUE"""),"TV Series 2009– )")</f>
        <v>TV Series 2009– )</v>
      </c>
    </row>
    <row r="3057" spans="1:5" ht="13" x14ac:dyDescent="0.15">
      <c r="A3057" s="5" t="s">
        <v>3169</v>
      </c>
      <c r="D3057" t="str">
        <f ca="1">IFERROR(__xludf.DUMMYFUNCTION("split(A3057,""("")"),"The Little Couple ")</f>
        <v xml:space="preserve">The Little Couple </v>
      </c>
      <c r="E3057" t="str">
        <f ca="1">IFERROR(__xludf.DUMMYFUNCTION("""COMPUTED_VALUE"""),"TV Series 2009– )")</f>
        <v>TV Series 2009– )</v>
      </c>
    </row>
    <row r="3058" spans="1:5" ht="13" x14ac:dyDescent="0.15">
      <c r="A3058" s="5" t="s">
        <v>3170</v>
      </c>
      <c r="D3058" t="str">
        <f ca="1">IFERROR(__xludf.DUMMYFUNCTION("split(A3058,""("")"),"The Little Flying Bears ")</f>
        <v xml:space="preserve">The Little Flying Bears </v>
      </c>
      <c r="E3058" t="str">
        <f ca="1">IFERROR(__xludf.DUMMYFUNCTION("""COMPUTED_VALUE"""),"TV Series 1990– )")</f>
        <v>TV Series 1990– )</v>
      </c>
    </row>
    <row r="3059" spans="1:5" ht="13" x14ac:dyDescent="0.15">
      <c r="A3059" s="5" t="s">
        <v>3171</v>
      </c>
      <c r="D3059" t="str">
        <f ca="1">IFERROR(__xludf.DUMMYFUNCTION("split(A3059,""("")"),"The Little House ")</f>
        <v xml:space="preserve">The Little House </v>
      </c>
      <c r="E3059" t="str">
        <f ca="1">IFERROR(__xludf.DUMMYFUNCTION("""COMPUTED_VALUE"""),"TV Series 2010– )")</f>
        <v>TV Series 2010– )</v>
      </c>
    </row>
    <row r="3060" spans="1:5" ht="13" x14ac:dyDescent="0.15">
      <c r="A3060" s="5" t="s">
        <v>3172</v>
      </c>
      <c r="D3060" t="str">
        <f ca="1">IFERROR(__xludf.DUMMYFUNCTION("split(A3060,""("")"),"The Little Mermaid ")</f>
        <v xml:space="preserve">The Little Mermaid </v>
      </c>
      <c r="E3060" t="str">
        <f ca="1">IFERROR(__xludf.DUMMYFUNCTION("""COMPUTED_VALUE"""),"TV Series 1992–1994)")</f>
        <v>TV Series 1992–1994)</v>
      </c>
    </row>
    <row r="3061" spans="1:5" ht="13" x14ac:dyDescent="0.15">
      <c r="A3061" s="5" t="s">
        <v>3173</v>
      </c>
      <c r="D3061" t="str">
        <f ca="1">IFERROR(__xludf.DUMMYFUNCTION("split(A3061,""("")"),"The Looney Tunes Show ")</f>
        <v xml:space="preserve">The Looney Tunes Show </v>
      </c>
      <c r="E3061" t="str">
        <f ca="1">IFERROR(__xludf.DUMMYFUNCTION("""COMPUTED_VALUE"""),"TV Series 2011–2014)")</f>
        <v>TV Series 2011–2014)</v>
      </c>
    </row>
    <row r="3062" spans="1:5" ht="13" x14ac:dyDescent="0.15">
      <c r="A3062" s="5" t="s">
        <v>3174</v>
      </c>
      <c r="D3062" t="str">
        <f ca="1">IFERROR(__xludf.DUMMYFUNCTION("split(A3062,""("")"),"The Lost Village ")</f>
        <v xml:space="preserve">The Lost Village </v>
      </c>
      <c r="E3062" t="str">
        <f ca="1">IFERROR(__xludf.DUMMYFUNCTION("""COMPUTED_VALUE"""),"TV Series 2016– )")</f>
        <v>TV Series 2016– )</v>
      </c>
    </row>
    <row r="3063" spans="1:5" ht="13" x14ac:dyDescent="0.15">
      <c r="A3063" s="5" t="s">
        <v>3175</v>
      </c>
      <c r="D3063" t="str">
        <f ca="1">IFERROR(__xludf.DUMMYFUNCTION("split(A3063,""("")"),"The Loud House ")</f>
        <v xml:space="preserve">The Loud House </v>
      </c>
      <c r="E3063" t="str">
        <f ca="1">IFERROR(__xludf.DUMMYFUNCTION("""COMPUTED_VALUE"""),"TV Series 2016– )")</f>
        <v>TV Series 2016– )</v>
      </c>
    </row>
    <row r="3064" spans="1:5" ht="13" x14ac:dyDescent="0.15">
      <c r="A3064" s="5" t="s">
        <v>40</v>
      </c>
      <c r="D3064" t="str">
        <f ca="1">IFERROR(__xludf.DUMMYFUNCTION("split(A3064,""("")"),"The LXD: The Legion of Extraordinary Dancers ")</f>
        <v xml:space="preserve">The LXD: The Legion of Extraordinary Dancers </v>
      </c>
      <c r="E3064" t="str">
        <f ca="1">IFERROR(__xludf.DUMMYFUNCTION("""COMPUTED_VALUE"""),"TV Series 2010– )")</f>
        <v>TV Series 2010– )</v>
      </c>
    </row>
    <row r="3065" spans="1:5" ht="13" x14ac:dyDescent="0.15">
      <c r="A3065" s="5" t="s">
        <v>3176</v>
      </c>
      <c r="D3065" t="str">
        <f ca="1">IFERROR(__xludf.DUMMYFUNCTION("split(A3065,""("")"),"The Magic School Bus ")</f>
        <v xml:space="preserve">The Magic School Bus </v>
      </c>
      <c r="E3065" t="str">
        <f ca="1">IFERROR(__xludf.DUMMYFUNCTION("""COMPUTED_VALUE"""),"TV Series 1994–1997)")</f>
        <v>TV Series 1994–1997)</v>
      </c>
    </row>
    <row r="3066" spans="1:5" ht="13" x14ac:dyDescent="0.15">
      <c r="A3066" s="5" t="s">
        <v>159</v>
      </c>
      <c r="D3066" t="str">
        <f ca="1">IFERROR(__xludf.DUMMYFUNCTION("split(A3066,""("")"),"The Magicians ")</f>
        <v xml:space="preserve">The Magicians </v>
      </c>
      <c r="E3066" t="str">
        <f ca="1">IFERROR(__xludf.DUMMYFUNCTION("""COMPUTED_VALUE"""),"TV Series 2015– )")</f>
        <v>TV Series 2015– )</v>
      </c>
    </row>
    <row r="3067" spans="1:5" ht="13" x14ac:dyDescent="0.15">
      <c r="A3067" s="5" t="s">
        <v>3177</v>
      </c>
      <c r="D3067" t="str">
        <f ca="1">IFERROR(__xludf.DUMMYFUNCTION("split(A3067,""("")"),"The Magnus Archives ")</f>
        <v xml:space="preserve">The Magnus Archives </v>
      </c>
      <c r="E3067" t="str">
        <f ca="1">IFERROR(__xludf.DUMMYFUNCTION("""COMPUTED_VALUE"""),"TV Series 2016– )")</f>
        <v>TV Series 2016– )</v>
      </c>
    </row>
    <row r="3068" spans="1:5" ht="13" x14ac:dyDescent="0.15">
      <c r="A3068" s="5" t="s">
        <v>3178</v>
      </c>
      <c r="D3068" t="str">
        <f ca="1">IFERROR(__xludf.DUMMYFUNCTION("split(A3068,""("")"),"The Making of the Mob ")</f>
        <v xml:space="preserve">The Making of the Mob </v>
      </c>
      <c r="E3068" t="str">
        <f ca="1">IFERROR(__xludf.DUMMYFUNCTION("""COMPUTED_VALUE"""),"TV Series 2015– )")</f>
        <v>TV Series 2015– )</v>
      </c>
    </row>
    <row r="3069" spans="1:5" ht="13" x14ac:dyDescent="0.15">
      <c r="A3069" s="5" t="s">
        <v>160</v>
      </c>
      <c r="D3069" t="str">
        <f ca="1">IFERROR(__xludf.DUMMYFUNCTION("split(A3069,""("")"),"The Man in the High Castle ")</f>
        <v xml:space="preserve">The Man in the High Castle </v>
      </c>
      <c r="E3069" t="str">
        <f ca="1">IFERROR(__xludf.DUMMYFUNCTION("""COMPUTED_VALUE"""),"TV Series 2015– )")</f>
        <v>TV Series 2015– )</v>
      </c>
    </row>
    <row r="3070" spans="1:5" ht="13" x14ac:dyDescent="0.15">
      <c r="A3070" s="5" t="s">
        <v>301</v>
      </c>
      <c r="D3070" t="str">
        <f ca="1">IFERROR(__xludf.DUMMYFUNCTION("split(A3070,""("")"),"The Mandalorian ")</f>
        <v xml:space="preserve">The Mandalorian </v>
      </c>
      <c r="E3070" t="str">
        <f ca="1">IFERROR(__xludf.DUMMYFUNCTION("""COMPUTED_VALUE"""),"TV Series 2019– )")</f>
        <v>TV Series 2019– )</v>
      </c>
    </row>
    <row r="3071" spans="1:5" ht="13" x14ac:dyDescent="0.15">
      <c r="A3071" s="5" t="s">
        <v>3179</v>
      </c>
      <c r="D3071" t="str">
        <f ca="1">IFERROR(__xludf.DUMMYFUNCTION("split(A3071,""("")"),"The Marvelous Mrs. Maisel ")</f>
        <v xml:space="preserve">The Marvelous Mrs. Maisel </v>
      </c>
      <c r="E3071" t="str">
        <f ca="1">IFERROR(__xludf.DUMMYFUNCTION("""COMPUTED_VALUE"""),"TV Series 2017– )")</f>
        <v>TV Series 2017– )</v>
      </c>
    </row>
    <row r="3072" spans="1:5" ht="13" x14ac:dyDescent="0.15">
      <c r="A3072" s="5" t="s">
        <v>3180</v>
      </c>
      <c r="D3072" t="str">
        <f ca="1">IFERROR(__xludf.DUMMYFUNCTION("split(A3072,""("")"),"The Mask ")</f>
        <v xml:space="preserve">The Mask </v>
      </c>
      <c r="E3072" t="str">
        <f ca="1">IFERROR(__xludf.DUMMYFUNCTION("""COMPUTED_VALUE"""),"TV Series 1995–1997)")</f>
        <v>TV Series 1995–1997)</v>
      </c>
    </row>
    <row r="3073" spans="1:5" ht="13" x14ac:dyDescent="0.15">
      <c r="A3073" s="5" t="s">
        <v>3181</v>
      </c>
      <c r="D3073" t="str">
        <f ca="1">IFERROR(__xludf.DUMMYFUNCTION("split(A3073,""("")"),"The masked avenger: Lagardère ")</f>
        <v xml:space="preserve">The masked avenger: Lagardère </v>
      </c>
      <c r="E3073" t="str">
        <f ca="1">IFERROR(__xludf.DUMMYFUNCTION("""COMPUTED_VALUE"""),"TV Movie 2003)")</f>
        <v>TV Movie 2003)</v>
      </c>
    </row>
    <row r="3074" spans="1:5" ht="13" x14ac:dyDescent="0.15">
      <c r="A3074" s="5" t="s">
        <v>3182</v>
      </c>
      <c r="D3074" t="str">
        <f ca="1">IFERROR(__xludf.DUMMYFUNCTION("split(A3074,""("")"),"The Masked Singer ")</f>
        <v xml:space="preserve">The Masked Singer </v>
      </c>
      <c r="E3074" t="str">
        <f ca="1">IFERROR(__xludf.DUMMYFUNCTION("""COMPUTED_VALUE"""),"TV Series 2019– )")</f>
        <v>TV Series 2019– )</v>
      </c>
    </row>
    <row r="3075" spans="1:5" ht="13" x14ac:dyDescent="0.15">
      <c r="A3075" s="5" t="s">
        <v>3183</v>
      </c>
      <c r="D3075" t="str">
        <f ca="1">IFERROR(__xludf.DUMMYFUNCTION("split(A3075,""("")"),"The Master ")</f>
        <v xml:space="preserve">The Master </v>
      </c>
      <c r="E3075" t="str">
        <f ca="1">IFERROR(__xludf.DUMMYFUNCTION("""COMPUTED_VALUE"""),"TV Series 1984)")</f>
        <v>TV Series 1984)</v>
      </c>
    </row>
    <row r="3076" spans="1:5" ht="13" x14ac:dyDescent="0.15">
      <c r="A3076" s="5" t="s">
        <v>3184</v>
      </c>
      <c r="D3076" t="str">
        <f ca="1">IFERROR(__xludf.DUMMYFUNCTION("split(A3076,""("")"),"The Mentalist ")</f>
        <v xml:space="preserve">The Mentalist </v>
      </c>
      <c r="E3076" t="str">
        <f ca="1">IFERROR(__xludf.DUMMYFUNCTION("""COMPUTED_VALUE"""),"TV Series 2008–2015)")</f>
        <v>TV Series 2008–2015)</v>
      </c>
    </row>
    <row r="3077" spans="1:5" ht="13" x14ac:dyDescent="0.15">
      <c r="A3077" s="5" t="s">
        <v>3185</v>
      </c>
      <c r="D3077" t="str">
        <f ca="1">IFERROR(__xludf.DUMMYFUNCTION("split(A3077,""("")"),"The Messengers ")</f>
        <v xml:space="preserve">The Messengers </v>
      </c>
      <c r="E3077" t="str">
        <f ca="1">IFERROR(__xludf.DUMMYFUNCTION("""COMPUTED_VALUE"""),"TV Series 2015)")</f>
        <v>TV Series 2015)</v>
      </c>
    </row>
    <row r="3078" spans="1:5" ht="13" x14ac:dyDescent="0.15">
      <c r="A3078" s="5" t="s">
        <v>3186</v>
      </c>
      <c r="D3078" t="str">
        <f ca="1">IFERROR(__xludf.DUMMYFUNCTION("split(A3078,""("")"),"The Michael J. Fox Show ")</f>
        <v xml:space="preserve">The Michael J. Fox Show </v>
      </c>
      <c r="E3078" t="str">
        <f ca="1">IFERROR(__xludf.DUMMYFUNCTION("""COMPUTED_VALUE"""),"TV Series 2013–2014)")</f>
        <v>TV Series 2013–2014)</v>
      </c>
    </row>
    <row r="3079" spans="1:5" ht="13" x14ac:dyDescent="0.15">
      <c r="A3079" s="5" t="s">
        <v>3187</v>
      </c>
      <c r="D3079" t="str">
        <f ca="1">IFERROR(__xludf.DUMMYFUNCTION("split(A3079,""("")"),"The Mick ")</f>
        <v xml:space="preserve">The Mick </v>
      </c>
      <c r="E3079" t="str">
        <f ca="1">IFERROR(__xludf.DUMMYFUNCTION("""COMPUTED_VALUE"""),"TV Series 2017–2018)")</f>
        <v>TV Series 2017–2018)</v>
      </c>
    </row>
    <row r="3080" spans="1:5" ht="13" x14ac:dyDescent="0.15">
      <c r="A3080" s="5" t="s">
        <v>376</v>
      </c>
      <c r="D3080" t="str">
        <f ca="1">IFERROR(__xludf.DUMMYFUNCTION("split(A3080,""("")"),"The Middle ")</f>
        <v xml:space="preserve">The Middle </v>
      </c>
      <c r="E3080" t="str">
        <f ca="1">IFERROR(__xludf.DUMMYFUNCTION("""COMPUTED_VALUE"""),"TV Series 2009–2018)")</f>
        <v>TV Series 2009–2018)</v>
      </c>
    </row>
    <row r="3081" spans="1:5" ht="13" x14ac:dyDescent="0.15">
      <c r="A3081" s="5" t="s">
        <v>3188</v>
      </c>
      <c r="D3081" t="str">
        <f ca="1">IFERROR(__xludf.DUMMYFUNCTION("split(A3081,""("")"),"The Middleman ")</f>
        <v xml:space="preserve">The Middleman </v>
      </c>
      <c r="E3081" t="str">
        <f ca="1">IFERROR(__xludf.DUMMYFUNCTION("""COMPUTED_VALUE"""),"TV Series 2008)")</f>
        <v>TV Series 2008)</v>
      </c>
    </row>
    <row r="3082" spans="1:5" ht="13" x14ac:dyDescent="0.15">
      <c r="A3082" s="5" t="s">
        <v>3189</v>
      </c>
      <c r="D3082" t="str">
        <f ca="1">IFERROR(__xludf.DUMMYFUNCTION("split(A3082,""("")"),"The Mighty Boosh ")</f>
        <v xml:space="preserve">The Mighty Boosh </v>
      </c>
      <c r="E3082" t="str">
        <f ca="1">IFERROR(__xludf.DUMMYFUNCTION("""COMPUTED_VALUE"""),"TV Series 2003–2007)")</f>
        <v>TV Series 2003–2007)</v>
      </c>
    </row>
    <row r="3083" spans="1:5" ht="13" x14ac:dyDescent="0.15">
      <c r="A3083" s="5" t="s">
        <v>3190</v>
      </c>
      <c r="D3083" t="str">
        <f ca="1">IFERROR(__xludf.DUMMYFUNCTION("split(A3083,""("")"),"The Millers ")</f>
        <v xml:space="preserve">The Millers </v>
      </c>
      <c r="E3083" t="str">
        <f ca="1">IFERROR(__xludf.DUMMYFUNCTION("""COMPUTED_VALUE"""),"TV Series 2013–2015)")</f>
        <v>TV Series 2013–2015)</v>
      </c>
    </row>
    <row r="3084" spans="1:5" ht="13" x14ac:dyDescent="0.15">
      <c r="A3084" s="5" t="s">
        <v>3191</v>
      </c>
      <c r="D3084" t="str">
        <f ca="1">IFERROR(__xludf.DUMMYFUNCTION("split(A3084,""("")"),"The Mind of a Chef ")</f>
        <v xml:space="preserve">The Mind of a Chef </v>
      </c>
      <c r="E3084" t="str">
        <f ca="1">IFERROR(__xludf.DUMMYFUNCTION("""COMPUTED_VALUE"""),"TV Series 2012– )")</f>
        <v>TV Series 2012– )</v>
      </c>
    </row>
    <row r="3085" spans="1:5" ht="13" x14ac:dyDescent="0.15">
      <c r="A3085" s="5" t="s">
        <v>3192</v>
      </c>
      <c r="D3085" t="str">
        <f ca="1">IFERROR(__xludf.DUMMYFUNCTION("split(A3085,""("")"),"The Mindy Project ")</f>
        <v xml:space="preserve">The Mindy Project </v>
      </c>
      <c r="E3085" t="str">
        <f ca="1">IFERROR(__xludf.DUMMYFUNCTION("""COMPUTED_VALUE"""),"TV Series 2012–2017)")</f>
        <v>TV Series 2012–2017)</v>
      </c>
    </row>
    <row r="3086" spans="1:5" ht="13" x14ac:dyDescent="0.15">
      <c r="A3086" s="5" t="s">
        <v>3193</v>
      </c>
      <c r="D3086" t="str">
        <f ca="1">IFERROR(__xludf.DUMMYFUNCTION("split(A3086,""("")"),"The Missing ")</f>
        <v xml:space="preserve">The Missing </v>
      </c>
      <c r="E3086" t="str">
        <f ca="1">IFERROR(__xludf.DUMMYFUNCTION("""COMPUTED_VALUE"""),"TV Series 2014– )")</f>
        <v>TV Series 2014– )</v>
      </c>
    </row>
    <row r="3087" spans="1:5" ht="13" x14ac:dyDescent="0.15">
      <c r="A3087" s="5" t="s">
        <v>3194</v>
      </c>
      <c r="D3087" t="str">
        <f ca="1">IFERROR(__xludf.DUMMYFUNCTION("split(A3087,""("")"),"The Mist ")</f>
        <v xml:space="preserve">The Mist </v>
      </c>
      <c r="E3087" t="str">
        <f ca="1">IFERROR(__xludf.DUMMYFUNCTION("""COMPUTED_VALUE"""),"TV Series 2017)")</f>
        <v>TV Series 2017)</v>
      </c>
    </row>
    <row r="3088" spans="1:5" ht="13" x14ac:dyDescent="0.15">
      <c r="A3088" s="5" t="s">
        <v>3195</v>
      </c>
      <c r="D3088" t="str">
        <f ca="1">IFERROR(__xludf.DUMMYFUNCTION("split(A3088,""("")"),"The Moaning of Life ")</f>
        <v xml:space="preserve">The Moaning of Life </v>
      </c>
      <c r="E3088" t="str">
        <f ca="1">IFERROR(__xludf.DUMMYFUNCTION("""COMPUTED_VALUE"""),"TV Series 2013– )")</f>
        <v>TV Series 2013– )</v>
      </c>
    </row>
    <row r="3089" spans="1:5" ht="13" x14ac:dyDescent="0.15">
      <c r="A3089" s="5" t="s">
        <v>3196</v>
      </c>
      <c r="D3089" t="str">
        <f ca="1">IFERROR(__xludf.DUMMYFUNCTION("split(A3089,""("")"),"The Moment of Truth ")</f>
        <v xml:space="preserve">The Moment of Truth </v>
      </c>
      <c r="E3089" t="str">
        <f ca="1">IFERROR(__xludf.DUMMYFUNCTION("""COMPUTED_VALUE"""),"TV Series 2008– )")</f>
        <v>TV Series 2008– )</v>
      </c>
    </row>
    <row r="3090" spans="1:5" ht="13" x14ac:dyDescent="0.15">
      <c r="A3090" s="5" t="s">
        <v>3197</v>
      </c>
      <c r="D3090" t="str">
        <f ca="1">IFERROR(__xludf.DUMMYFUNCTION("split(A3090,""("")"),"The Money $hot ")</f>
        <v xml:space="preserve">The Money $hot </v>
      </c>
      <c r="E3090" t="str">
        <f ca="1">IFERROR(__xludf.DUMMYFUNCTION("""COMPUTED_VALUE"""),"TV Series 2000–2001)")</f>
        <v>TV Series 2000–2001)</v>
      </c>
    </row>
    <row r="3091" spans="1:5" ht="13" x14ac:dyDescent="0.15">
      <c r="A3091" s="5" t="s">
        <v>3198</v>
      </c>
      <c r="D3091" t="str">
        <f ca="1">IFERROR(__xludf.DUMMYFUNCTION("split(A3091,""("")"),"The Moon That Embraces the Sun ")</f>
        <v xml:space="preserve">The Moon That Embraces the Sun </v>
      </c>
      <c r="E3091" t="str">
        <f ca="1">IFERROR(__xludf.DUMMYFUNCTION("""COMPUTED_VALUE"""),"TV Series 2012– )")</f>
        <v>TV Series 2012– )</v>
      </c>
    </row>
    <row r="3092" spans="1:5" ht="13" x14ac:dyDescent="0.15">
      <c r="A3092" s="5" t="s">
        <v>3199</v>
      </c>
      <c r="D3092" t="str">
        <f ca="1">IFERROR(__xludf.DUMMYFUNCTION("split(A3092,""("")"),"The Morgana Show ")</f>
        <v xml:space="preserve">The Morgana Show </v>
      </c>
      <c r="E3092" t="str">
        <f ca="1">IFERROR(__xludf.DUMMYFUNCTION("""COMPUTED_VALUE"""),"TV Series 2010– )")</f>
        <v>TV Series 2010– )</v>
      </c>
    </row>
    <row r="3093" spans="1:5" ht="13" x14ac:dyDescent="0.15">
      <c r="A3093" s="5" t="s">
        <v>256</v>
      </c>
      <c r="D3093" t="str">
        <f ca="1">IFERROR(__xludf.DUMMYFUNCTION("split(A3093,""("")"),"The Morning Show ")</f>
        <v xml:space="preserve">The Morning Show </v>
      </c>
      <c r="E3093" t="str">
        <f ca="1">IFERROR(__xludf.DUMMYFUNCTION("""COMPUTED_VALUE"""),"TV Series 2019– )")</f>
        <v>TV Series 2019– )</v>
      </c>
    </row>
    <row r="3094" spans="1:5" ht="13" x14ac:dyDescent="0.15">
      <c r="A3094" s="5" t="s">
        <v>3200</v>
      </c>
      <c r="D3094" t="str">
        <f ca="1">IFERROR(__xludf.DUMMYFUNCTION("split(A3094,""("")"),"The Mutants: Ways of the Heart ")</f>
        <v xml:space="preserve">The Mutants: Ways of the Heart </v>
      </c>
      <c r="E3094" t="str">
        <f ca="1">IFERROR(__xludf.DUMMYFUNCTION("""COMPUTED_VALUE"""),"TV Series 2008– )")</f>
        <v>TV Series 2008– )</v>
      </c>
    </row>
    <row r="3095" spans="1:5" ht="13" x14ac:dyDescent="0.15">
      <c r="A3095" s="5" t="s">
        <v>3201</v>
      </c>
      <c r="D3095" t="str">
        <f ca="1">IFERROR(__xludf.DUMMYFUNCTION("split(A3095,""("")"),"The Naked Chef ")</f>
        <v xml:space="preserve">The Naked Chef </v>
      </c>
      <c r="E3095" t="str">
        <f ca="1">IFERROR(__xludf.DUMMYFUNCTION("""COMPUTED_VALUE"""),"TV Series 1999– )")</f>
        <v>TV Series 1999– )</v>
      </c>
    </row>
    <row r="3096" spans="1:5" ht="13" x14ac:dyDescent="0.15">
      <c r="A3096" s="5" t="s">
        <v>3202</v>
      </c>
      <c r="D3096" t="str">
        <f ca="1">IFERROR(__xludf.DUMMYFUNCTION("split(A3096,""("")"),"The Name of the Rose ")</f>
        <v xml:space="preserve">The Name of the Rose </v>
      </c>
      <c r="E3096" t="str">
        <f ca="1">IFERROR(__xludf.DUMMYFUNCTION("""COMPUTED_VALUE"""),"TV Series 2019– )")</f>
        <v>TV Series 2019– )</v>
      </c>
    </row>
    <row r="3097" spans="1:5" ht="13" x14ac:dyDescent="0.15">
      <c r="A3097" s="5" t="s">
        <v>3203</v>
      </c>
      <c r="D3097" t="str">
        <f ca="1">IFERROR(__xludf.DUMMYFUNCTION("split(A3097,""("")"),"The Nanny ")</f>
        <v xml:space="preserve">The Nanny </v>
      </c>
      <c r="E3097" t="str">
        <f ca="1">IFERROR(__xludf.DUMMYFUNCTION("""COMPUTED_VALUE"""),"TV Series 1993–1999)")</f>
        <v>TV Series 1993–1999)</v>
      </c>
    </row>
    <row r="3098" spans="1:5" ht="13" x14ac:dyDescent="0.15">
      <c r="A3098" s="5" t="s">
        <v>3204</v>
      </c>
      <c r="D3098" t="str">
        <f ca="1">IFERROR(__xludf.DUMMYFUNCTION("split(A3098,""("")"),"The Neddeaus of Duqesne Island ")</f>
        <v xml:space="preserve">The Neddeaus of Duqesne Island </v>
      </c>
      <c r="E3098" t="str">
        <f ca="1">IFERROR(__xludf.DUMMYFUNCTION("""COMPUTED_VALUE"""),"TV Series 2017)")</f>
        <v>TV Series 2017)</v>
      </c>
    </row>
    <row r="3099" spans="1:5" ht="13" x14ac:dyDescent="0.15">
      <c r="A3099" s="5" t="s">
        <v>3205</v>
      </c>
      <c r="D3099" t="str">
        <f ca="1">IFERROR(__xludf.DUMMYFUNCTION("split(A3099,""("")"),"The Neighborhood ")</f>
        <v xml:space="preserve">The Neighborhood </v>
      </c>
      <c r="E3099" t="str">
        <f ca="1">IFERROR(__xludf.DUMMYFUNCTION("""COMPUTED_VALUE"""),"TV Series 2018– )")</f>
        <v>TV Series 2018– )</v>
      </c>
    </row>
    <row r="3100" spans="1:5" ht="13" x14ac:dyDescent="0.15">
      <c r="A3100" s="5" t="s">
        <v>3206</v>
      </c>
      <c r="D3100" t="str">
        <f ca="1">IFERROR(__xludf.DUMMYFUNCTION("split(A3100,""("")"),"The NES Pursuit ")</f>
        <v xml:space="preserve">The NES Pursuit </v>
      </c>
      <c r="E3100" t="str">
        <f ca="1">IFERROR(__xludf.DUMMYFUNCTION("""COMPUTED_VALUE"""),"TV Series 2018– )")</f>
        <v>TV Series 2018– )</v>
      </c>
    </row>
    <row r="3101" spans="1:5" ht="13" x14ac:dyDescent="0.15">
      <c r="A3101" s="5" t="s">
        <v>480</v>
      </c>
      <c r="D3101" t="str">
        <f ca="1">IFERROR(__xludf.DUMMYFUNCTION("split(A3101,""("")"),"The New Addams Family ")</f>
        <v xml:space="preserve">The New Addams Family </v>
      </c>
      <c r="E3101" t="str">
        <f ca="1">IFERROR(__xludf.DUMMYFUNCTION("""COMPUTED_VALUE"""),"TV Series 1998–1999)")</f>
        <v>TV Series 1998–1999)</v>
      </c>
    </row>
    <row r="3102" spans="1:5" ht="13" x14ac:dyDescent="0.15">
      <c r="A3102" s="5" t="s">
        <v>87</v>
      </c>
      <c r="D3102" t="str">
        <f ca="1">IFERROR(__xludf.DUMMYFUNCTION("split(A3102,""("")"),"The New Adventures of He-Man ")</f>
        <v xml:space="preserve">The New Adventures of He-Man </v>
      </c>
      <c r="E3102" t="str">
        <f ca="1">IFERROR(__xludf.DUMMYFUNCTION("""COMPUTED_VALUE"""),"TV Series 1990–1991)")</f>
        <v>TV Series 1990–1991)</v>
      </c>
    </row>
    <row r="3103" spans="1:5" ht="13" x14ac:dyDescent="0.15">
      <c r="A3103" s="5" t="s">
        <v>88</v>
      </c>
      <c r="D3103" t="str">
        <f ca="1">IFERROR(__xludf.DUMMYFUNCTION("split(A3103,""("")"),"The New Adventures of Winnie the Pooh ")</f>
        <v xml:space="preserve">The New Adventures of Winnie the Pooh </v>
      </c>
      <c r="E3103" t="str">
        <f ca="1">IFERROR(__xludf.DUMMYFUNCTION("""COMPUTED_VALUE"""),"TV Series 1988–1991)")</f>
        <v>TV Series 1988–1991)</v>
      </c>
    </row>
    <row r="3104" spans="1:5" ht="13" x14ac:dyDescent="0.15">
      <c r="A3104" s="5" t="s">
        <v>405</v>
      </c>
      <c r="D3104" t="str">
        <f ca="1">IFERROR(__xludf.DUMMYFUNCTION("split(A3104,""("")"),"The New Adventures of Zorro ")</f>
        <v xml:space="preserve">The New Adventures of Zorro </v>
      </c>
      <c r="E3104" t="str">
        <f ca="1">IFERROR(__xludf.DUMMYFUNCTION("""COMPUTED_VALUE"""),"TV Series 1981)")</f>
        <v>TV Series 1981)</v>
      </c>
    </row>
    <row r="3105" spans="1:5" ht="13" x14ac:dyDescent="0.15">
      <c r="A3105" s="5" t="s">
        <v>89</v>
      </c>
      <c r="D3105" t="str">
        <f ca="1">IFERROR(__xludf.DUMMYFUNCTION("split(A3105,""("")"),"The New Batman Adventures ")</f>
        <v xml:space="preserve">The New Batman Adventures </v>
      </c>
      <c r="E3105" t="str">
        <f ca="1">IFERROR(__xludf.DUMMYFUNCTION("""COMPUTED_VALUE"""),"TV Series 1997–1999)")</f>
        <v>TV Series 1997–1999)</v>
      </c>
    </row>
    <row r="3106" spans="1:5" ht="13" x14ac:dyDescent="0.15">
      <c r="A3106" s="5" t="s">
        <v>3207</v>
      </c>
      <c r="D3106" t="str">
        <f ca="1">IFERROR(__xludf.DUMMYFUNCTION("split(A3106,""("")"),"The New Legends of Monkey ")</f>
        <v xml:space="preserve">The New Legends of Monkey </v>
      </c>
      <c r="E3106" t="str">
        <f ca="1">IFERROR(__xludf.DUMMYFUNCTION("""COMPUTED_VALUE"""),"TV Series 2018– )")</f>
        <v>TV Series 2018– )</v>
      </c>
    </row>
    <row r="3107" spans="1:5" ht="13" x14ac:dyDescent="0.15">
      <c r="A3107" s="5" t="s">
        <v>377</v>
      </c>
      <c r="D3107" t="str">
        <f ca="1">IFERROR(__xludf.DUMMYFUNCTION("split(A3107,""("")"),"The New Normal ")</f>
        <v xml:space="preserve">The New Normal </v>
      </c>
      <c r="E3107" t="str">
        <f ca="1">IFERROR(__xludf.DUMMYFUNCTION("""COMPUTED_VALUE"""),"TV Series 2012–2013)")</f>
        <v>TV Series 2012–2013)</v>
      </c>
    </row>
    <row r="3108" spans="1:5" ht="13" x14ac:dyDescent="0.15">
      <c r="A3108" s="5" t="s">
        <v>3208</v>
      </c>
      <c r="D3108" t="str">
        <f ca="1">IFERROR(__xludf.DUMMYFUNCTION("split(A3108,""("")"),"The Newsroom ")</f>
        <v xml:space="preserve">The Newsroom </v>
      </c>
      <c r="E3108" t="str">
        <f ca="1">IFERROR(__xludf.DUMMYFUNCTION("""COMPUTED_VALUE"""),"TV Series 2012–2014)")</f>
        <v>TV Series 2012–2014)</v>
      </c>
    </row>
    <row r="3109" spans="1:5" ht="13" x14ac:dyDescent="0.15">
      <c r="A3109" s="5" t="s">
        <v>3209</v>
      </c>
      <c r="D3109" t="str">
        <f ca="1">IFERROR(__xludf.DUMMYFUNCTION("split(A3109,""("")"),"The Nineties ")</f>
        <v xml:space="preserve">The Nineties </v>
      </c>
      <c r="E3109" t="str">
        <f ca="1">IFERROR(__xludf.DUMMYFUNCTION("""COMPUTED_VALUE"""),"TV Series 2017)")</f>
        <v>TV Series 2017)</v>
      </c>
    </row>
    <row r="3110" spans="1:5" ht="13" x14ac:dyDescent="0.15">
      <c r="A3110" s="5" t="s">
        <v>378</v>
      </c>
      <c r="D3110" t="str">
        <f ca="1">IFERROR(__xludf.DUMMYFUNCTION("split(A3110,""("")"),"The O.C. ")</f>
        <v xml:space="preserve">The O.C. </v>
      </c>
      <c r="E3110" t="str">
        <f ca="1">IFERROR(__xludf.DUMMYFUNCTION("""COMPUTED_VALUE"""),"TV Series 2003–2007)")</f>
        <v>TV Series 2003–2007)</v>
      </c>
    </row>
    <row r="3111" spans="1:5" ht="13" x14ac:dyDescent="0.15">
      <c r="A3111" s="5" t="s">
        <v>3210</v>
      </c>
      <c r="D3111" t="str">
        <f ca="1">IFERROR(__xludf.DUMMYFUNCTION("split(A3111,""("")"),"The OA ")</f>
        <v xml:space="preserve">The OA </v>
      </c>
      <c r="E3111" t="str">
        <f ca="1">IFERROR(__xludf.DUMMYFUNCTION("""COMPUTED_VALUE"""),"TV Series 2016–2019)")</f>
        <v>TV Series 2016–2019)</v>
      </c>
    </row>
    <row r="3112" spans="1:5" ht="13" x14ac:dyDescent="0.15">
      <c r="A3112" s="5" t="s">
        <v>3211</v>
      </c>
      <c r="D3112" t="str">
        <f ca="1">IFERROR(__xludf.DUMMYFUNCTION("split(A3112,""("")"),"The Oblongs ")</f>
        <v xml:space="preserve">The Oblongs </v>
      </c>
      <c r="E3112" t="str">
        <f ca="1">IFERROR(__xludf.DUMMYFUNCTION("""COMPUTED_VALUE"""),"TV Series 2001–2002)")</f>
        <v>TV Series 2001–2002)</v>
      </c>
    </row>
    <row r="3113" spans="1:5" ht="13" x14ac:dyDescent="0.15">
      <c r="A3113" s="5" t="s">
        <v>3212</v>
      </c>
      <c r="D3113" t="str">
        <f ca="1">IFERROR(__xludf.DUMMYFUNCTION("split(A3113,""("")"),"The Octopus ")</f>
        <v xml:space="preserve">The Octopus </v>
      </c>
      <c r="E3113" t="str">
        <f ca="1">IFERROR(__xludf.DUMMYFUNCTION("""COMPUTED_VALUE"""),"TV Mini-Series 1984)")</f>
        <v>TV Mini-Series 1984)</v>
      </c>
    </row>
    <row r="3114" spans="1:5" ht="13" x14ac:dyDescent="0.15">
      <c r="A3114" s="5" t="s">
        <v>3213</v>
      </c>
      <c r="D3114" t="str">
        <f ca="1">IFERROR(__xludf.DUMMYFUNCTION("split(A3114,""("")"),"The Office ")</f>
        <v xml:space="preserve">The Office </v>
      </c>
      <c r="E3114" t="str">
        <f ca="1">IFERROR(__xludf.DUMMYFUNCTION("""COMPUTED_VALUE"""),"TV Series 2001–2003)")</f>
        <v>TV Series 2001–2003)</v>
      </c>
    </row>
    <row r="3115" spans="1:5" ht="13" x14ac:dyDescent="0.15">
      <c r="A3115" s="5" t="s">
        <v>646</v>
      </c>
      <c r="D3115" t="str">
        <f ca="1">IFERROR(__xludf.DUMMYFUNCTION("split(A3115,""("")"),"The Office ")</f>
        <v xml:space="preserve">The Office </v>
      </c>
      <c r="E3115" t="str">
        <f ca="1">IFERROR(__xludf.DUMMYFUNCTION("""COMPUTED_VALUE"""),"TV Series 2005–2013)")</f>
        <v>TV Series 2005–2013)</v>
      </c>
    </row>
    <row r="3116" spans="1:5" ht="13" x14ac:dyDescent="0.15">
      <c r="A3116" s="5" t="s">
        <v>3214</v>
      </c>
      <c r="D3116" t="str">
        <f ca="1">IFERROR(__xludf.DUMMYFUNCTION("split(A3116,""("")"),"The One ")</f>
        <v xml:space="preserve">The One </v>
      </c>
      <c r="E3116" t="str">
        <f ca="1">IFERROR(__xludf.DUMMYFUNCTION("""COMPUTED_VALUE"""),"TV Series 2011– )")</f>
        <v>TV Series 2011– )</v>
      </c>
    </row>
    <row r="3117" spans="1:5" ht="13" x14ac:dyDescent="0.15">
      <c r="A3117" s="5" t="s">
        <v>379</v>
      </c>
      <c r="D3117" t="str">
        <f ca="1">IFERROR(__xludf.DUMMYFUNCTION("split(A3117,""("")"),"The Orville ")</f>
        <v xml:space="preserve">The Orville </v>
      </c>
      <c r="E3117" t="str">
        <f ca="1">IFERROR(__xludf.DUMMYFUNCTION("""COMPUTED_VALUE"""),"TV Series 2017– )")</f>
        <v>TV Series 2017– )</v>
      </c>
    </row>
    <row r="3118" spans="1:5" ht="13" x14ac:dyDescent="0.15">
      <c r="A3118" s="5" t="s">
        <v>3215</v>
      </c>
      <c r="D3118" t="str">
        <f ca="1">IFERROR(__xludf.DUMMYFUNCTION("split(A3118,""("")"),"The Other Side of Paradise ")</f>
        <v xml:space="preserve">The Other Side of Paradise </v>
      </c>
      <c r="E3118" t="str">
        <f ca="1">IFERROR(__xludf.DUMMYFUNCTION("""COMPUTED_VALUE"""),"TV Series 2017–2018)")</f>
        <v>TV Series 2017–2018)</v>
      </c>
    </row>
    <row r="3119" spans="1:5" ht="13" x14ac:dyDescent="0.15">
      <c r="A3119" s="5" t="s">
        <v>3216</v>
      </c>
      <c r="D3119" t="str">
        <f ca="1">IFERROR(__xludf.DUMMYFUNCTION("split(A3119,""("")"),"The Other Sport ")</f>
        <v xml:space="preserve">The Other Sport </v>
      </c>
      <c r="E3119" t="str">
        <f ca="1">IFERROR(__xludf.DUMMYFUNCTION("""COMPUTED_VALUE"""),"TV Series 2013– )")</f>
        <v>TV Series 2013– )</v>
      </c>
    </row>
    <row r="3120" spans="1:5" ht="13" x14ac:dyDescent="0.15">
      <c r="A3120" s="5" t="s">
        <v>3217</v>
      </c>
      <c r="D3120" t="str">
        <f ca="1">IFERROR(__xludf.DUMMYFUNCTION("split(A3120,""("")"),"The Other Two ")</f>
        <v xml:space="preserve">The Other Two </v>
      </c>
      <c r="E3120" t="str">
        <f ca="1">IFERROR(__xludf.DUMMYFUNCTION("""COMPUTED_VALUE"""),"TV Series 2018– )")</f>
        <v>TV Series 2018– )</v>
      </c>
    </row>
    <row r="3121" spans="1:5" ht="13" x14ac:dyDescent="0.15">
      <c r="A3121" s="5" t="s">
        <v>3218</v>
      </c>
      <c r="D3121" t="str">
        <f ca="1">IFERROR(__xludf.DUMMYFUNCTION("split(A3121,""("")"),"The Others ")</f>
        <v xml:space="preserve">The Others </v>
      </c>
      <c r="E3121" t="str">
        <f ca="1">IFERROR(__xludf.DUMMYFUNCTION("""COMPUTED_VALUE"""),"TV Series 2000– )")</f>
        <v>TV Series 2000– )</v>
      </c>
    </row>
    <row r="3122" spans="1:5" ht="13" x14ac:dyDescent="0.15">
      <c r="A3122" s="5" t="s">
        <v>3219</v>
      </c>
      <c r="D3122" t="str">
        <f ca="1">IFERROR(__xludf.DUMMYFUNCTION("split(A3122,""("")"),"The Outer Limits ")</f>
        <v xml:space="preserve">The Outer Limits </v>
      </c>
      <c r="E3122" t="str">
        <f ca="1">IFERROR(__xludf.DUMMYFUNCTION("""COMPUTED_VALUE"""),"TV Series 1995–2002)")</f>
        <v>TV Series 1995–2002)</v>
      </c>
    </row>
    <row r="3123" spans="1:5" ht="13" x14ac:dyDescent="0.15">
      <c r="A3123" s="5" t="s">
        <v>684</v>
      </c>
      <c r="D3123" t="str">
        <f ca="1">IFERROR(__xludf.DUMMYFUNCTION("split(A3123,""("")"),"The Outpost ")</f>
        <v xml:space="preserve">The Outpost </v>
      </c>
      <c r="E3123" t="str">
        <f ca="1">IFERROR(__xludf.DUMMYFUNCTION("""COMPUTED_VALUE"""),"TV Series 2018– )")</f>
        <v>TV Series 2018– )</v>
      </c>
    </row>
    <row r="3124" spans="1:5" ht="13" x14ac:dyDescent="0.15">
      <c r="A3124" s="5" t="s">
        <v>3220</v>
      </c>
      <c r="D3124" t="str">
        <f ca="1">IFERROR(__xludf.DUMMYFUNCTION("split(A3124,""("")"),"The Passage ")</f>
        <v xml:space="preserve">The Passage </v>
      </c>
      <c r="E3124" t="str">
        <f ca="1">IFERROR(__xludf.DUMMYFUNCTION("""COMPUTED_VALUE"""),"TV Series 2019)")</f>
        <v>TV Series 2019)</v>
      </c>
    </row>
    <row r="3125" spans="1:5" ht="13" x14ac:dyDescent="0.15">
      <c r="A3125" s="5" t="s">
        <v>380</v>
      </c>
      <c r="D3125" t="str">
        <f ca="1">IFERROR(__xludf.DUMMYFUNCTION("split(A3125,""("")"),"The Paynes ")</f>
        <v xml:space="preserve">The Paynes </v>
      </c>
      <c r="E3125" t="str">
        <f ca="1">IFERROR(__xludf.DUMMYFUNCTION("""COMPUTED_VALUE"""),"TV Series 2018– )")</f>
        <v>TV Series 2018– )</v>
      </c>
    </row>
    <row r="3126" spans="1:5" ht="13" x14ac:dyDescent="0.15">
      <c r="A3126" s="5" t="s">
        <v>3221</v>
      </c>
      <c r="D3126" t="str">
        <f ca="1">IFERROR(__xludf.DUMMYFUNCTION("split(A3126,""("")"),"The Peep Jeep ")</f>
        <v xml:space="preserve">The Peep Jeep </v>
      </c>
      <c r="E3126" t="str">
        <f ca="1">IFERROR(__xludf.DUMMYFUNCTION("""COMPUTED_VALUE"""),"TV Series 2011– )")</f>
        <v>TV Series 2011– )</v>
      </c>
    </row>
    <row r="3127" spans="1:5" ht="13" x14ac:dyDescent="0.15">
      <c r="A3127" s="5" t="s">
        <v>3222</v>
      </c>
      <c r="D3127" t="str">
        <f ca="1">IFERROR(__xludf.DUMMYFUNCTION("split(A3127,""("")"),"The Ping-Pong Club ")</f>
        <v xml:space="preserve">The Ping-Pong Club </v>
      </c>
      <c r="E3127" t="str">
        <f ca="1">IFERROR(__xludf.DUMMYFUNCTION("""COMPUTED_VALUE"""),"TV Series 1995– )")</f>
        <v>TV Series 1995– )</v>
      </c>
    </row>
    <row r="3128" spans="1:5" ht="13" x14ac:dyDescent="0.15">
      <c r="A3128" s="5" t="s">
        <v>3223</v>
      </c>
      <c r="D3128" t="str">
        <f ca="1">IFERROR(__xludf.DUMMYFUNCTION("split(A3128,""("")"),"The Pitts ")</f>
        <v xml:space="preserve">The Pitts </v>
      </c>
      <c r="E3128" t="str">
        <f ca="1">IFERROR(__xludf.DUMMYFUNCTION("""COMPUTED_VALUE"""),"TV Series 2003)")</f>
        <v>TV Series 2003)</v>
      </c>
    </row>
    <row r="3129" spans="1:5" ht="13" x14ac:dyDescent="0.15">
      <c r="A3129" s="5" t="s">
        <v>3224</v>
      </c>
      <c r="D3129" t="str">
        <f ca="1">IFERROR(__xludf.DUMMYFUNCTION("split(A3129,""("")"),"The PJs ")</f>
        <v xml:space="preserve">The PJs </v>
      </c>
      <c r="E3129" t="str">
        <f ca="1">IFERROR(__xludf.DUMMYFUNCTION("""COMPUTED_VALUE"""),"TV Series 1999–2001)")</f>
        <v>TV Series 1999–2001)</v>
      </c>
    </row>
    <row r="3130" spans="1:5" ht="13" x14ac:dyDescent="0.15">
      <c r="A3130" s="5" t="s">
        <v>3225</v>
      </c>
      <c r="D3130" t="str">
        <f ca="1">IFERROR(__xludf.DUMMYFUNCTION("split(A3130,""("")"),"The Player ")</f>
        <v xml:space="preserve">The Player </v>
      </c>
      <c r="E3130" t="str">
        <f ca="1">IFERROR(__xludf.DUMMYFUNCTION("""COMPUTED_VALUE"""),"TV Series 2015)")</f>
        <v>TV Series 2015)</v>
      </c>
    </row>
    <row r="3131" spans="1:5" ht="13" x14ac:dyDescent="0.15">
      <c r="A3131" s="5" t="s">
        <v>381</v>
      </c>
      <c r="D3131" t="str">
        <f ca="1">IFERROR(__xludf.DUMMYFUNCTION("split(A3131,""("")"),"The Politician ")</f>
        <v xml:space="preserve">The Politician </v>
      </c>
      <c r="E3131" t="str">
        <f ca="1">IFERROR(__xludf.DUMMYFUNCTION("""COMPUTED_VALUE"""),"TV Series 2019– )")</f>
        <v>TV Series 2019– )</v>
      </c>
    </row>
    <row r="3132" spans="1:5" ht="13" x14ac:dyDescent="0.15">
      <c r="A3132" s="5" t="s">
        <v>481</v>
      </c>
      <c r="D3132" t="str">
        <f ca="1">IFERROR(__xludf.DUMMYFUNCTION("split(A3132,""("")"),"The Powerpuff Girls ")</f>
        <v xml:space="preserve">The Powerpuff Girls </v>
      </c>
      <c r="E3132" t="str">
        <f ca="1">IFERROR(__xludf.DUMMYFUNCTION("""COMPUTED_VALUE"""),"TV Series 1998–2005)")</f>
        <v>TV Series 1998–2005)</v>
      </c>
    </row>
    <row r="3133" spans="1:5" ht="13" x14ac:dyDescent="0.15">
      <c r="A3133" s="5" t="s">
        <v>647</v>
      </c>
      <c r="D3133" t="str">
        <f ca="1">IFERROR(__xludf.DUMMYFUNCTION("split(A3133,""("")"),"The Powerpuff Girls ")</f>
        <v xml:space="preserve">The Powerpuff Girls </v>
      </c>
      <c r="E3133" t="str">
        <f ca="1">IFERROR(__xludf.DUMMYFUNCTION("""COMPUTED_VALUE"""),"TV Series 2016– )")</f>
        <v>TV Series 2016– )</v>
      </c>
    </row>
    <row r="3134" spans="1:5" ht="13" x14ac:dyDescent="0.15">
      <c r="A3134" s="5" t="s">
        <v>382</v>
      </c>
      <c r="D3134" t="str">
        <f ca="1">IFERROR(__xludf.DUMMYFUNCTION("split(A3134,""("")"),"The Practice ")</f>
        <v xml:space="preserve">The Practice </v>
      </c>
      <c r="E3134" t="str">
        <f ca="1">IFERROR(__xludf.DUMMYFUNCTION("""COMPUTED_VALUE"""),"TV Series 1997–2004)")</f>
        <v>TV Series 1997–2004)</v>
      </c>
    </row>
    <row r="3135" spans="1:5" ht="13" x14ac:dyDescent="0.15">
      <c r="A3135" s="5" t="s">
        <v>3226</v>
      </c>
      <c r="D3135" t="str">
        <f ca="1">IFERROR(__xludf.DUMMYFUNCTION("split(A3135,""("")"),"The Pretender ")</f>
        <v xml:space="preserve">The Pretender </v>
      </c>
      <c r="E3135" t="str">
        <f ca="1">IFERROR(__xludf.DUMMYFUNCTION("""COMPUTED_VALUE"""),"TV Series 1996–2000)")</f>
        <v>TV Series 1996–2000)</v>
      </c>
    </row>
    <row r="3136" spans="1:5" ht="13" x14ac:dyDescent="0.15">
      <c r="A3136" s="5" t="s">
        <v>3227</v>
      </c>
      <c r="D3136" t="str">
        <f ca="1">IFERROR(__xludf.DUMMYFUNCTION("split(A3136,""("")"),"The Princess' Man ")</f>
        <v xml:space="preserve">The Princess' Man </v>
      </c>
      <c r="E3136" t="str">
        <f ca="1">IFERROR(__xludf.DUMMYFUNCTION("""COMPUTED_VALUE"""),"TV Series 2011– )")</f>
        <v>TV Series 2011– )</v>
      </c>
    </row>
    <row r="3137" spans="1:5" ht="13" x14ac:dyDescent="0.15">
      <c r="A3137" s="5" t="s">
        <v>3228</v>
      </c>
      <c r="D3137" t="str">
        <f ca="1">IFERROR(__xludf.DUMMYFUNCTION("split(A3137,""("")"),"The Proposal ")</f>
        <v xml:space="preserve">The Proposal </v>
      </c>
      <c r="E3137" t="str">
        <f ca="1">IFERROR(__xludf.DUMMYFUNCTION("""COMPUTED_VALUE"""),"TV Series 2018– )")</f>
        <v>TV Series 2018– )</v>
      </c>
    </row>
    <row r="3138" spans="1:5" ht="13" x14ac:dyDescent="0.15">
      <c r="A3138" s="5" t="s">
        <v>3229</v>
      </c>
      <c r="D3138" t="str">
        <f ca="1">IFERROR(__xludf.DUMMYFUNCTION("split(A3138,""("")"),"The Proud Family ")</f>
        <v xml:space="preserve">The Proud Family </v>
      </c>
      <c r="E3138" t="str">
        <f ca="1">IFERROR(__xludf.DUMMYFUNCTION("""COMPUTED_VALUE"""),"TV Series 2001–2005)")</f>
        <v>TV Series 2001–2005)</v>
      </c>
    </row>
    <row r="3139" spans="1:5" ht="13" x14ac:dyDescent="0.15">
      <c r="A3139" s="5" t="s">
        <v>30</v>
      </c>
      <c r="D3139" t="str">
        <f ca="1">IFERROR(__xludf.DUMMYFUNCTION("split(A3139,""("")"),"The Punisher ")</f>
        <v xml:space="preserve">The Punisher </v>
      </c>
      <c r="E3139" t="str">
        <f ca="1">IFERROR(__xludf.DUMMYFUNCTION("""COMPUTED_VALUE"""),"TV Series 2017–2019)")</f>
        <v>TV Series 2017–2019)</v>
      </c>
    </row>
    <row r="3140" spans="1:5" ht="13" x14ac:dyDescent="0.15">
      <c r="A3140" s="5" t="s">
        <v>454</v>
      </c>
      <c r="D3140" t="str">
        <f ca="1">IFERROR(__xludf.DUMMYFUNCTION("split(A3140,""("")"),"The Purge ")</f>
        <v xml:space="preserve">The Purge </v>
      </c>
      <c r="E3140" t="str">
        <f ca="1">IFERROR(__xludf.DUMMYFUNCTION("""COMPUTED_VALUE"""),"TV Series 2018– )")</f>
        <v>TV Series 2018– )</v>
      </c>
    </row>
    <row r="3141" spans="1:5" ht="13" x14ac:dyDescent="0.15">
      <c r="A3141" s="5" t="s">
        <v>3230</v>
      </c>
      <c r="D3141" t="str">
        <f ca="1">IFERROR(__xludf.DUMMYFUNCTION("split(A3141,""("")"),"The Puzzle Place ")</f>
        <v xml:space="preserve">The Puzzle Place </v>
      </c>
      <c r="E3141" t="str">
        <f ca="1">IFERROR(__xludf.DUMMYFUNCTION("""COMPUTED_VALUE"""),"TV Series 1994–1998)")</f>
        <v>TV Series 1994–1998)</v>
      </c>
    </row>
    <row r="3142" spans="1:5" ht="13" x14ac:dyDescent="0.15">
      <c r="A3142" s="5" t="s">
        <v>3231</v>
      </c>
      <c r="D3142" t="str">
        <f ca="1">IFERROR(__xludf.DUMMYFUNCTION("split(A3142,""("")"),"The Quest ")</f>
        <v xml:space="preserve">The Quest </v>
      </c>
      <c r="E3142" t="str">
        <f ca="1">IFERROR(__xludf.DUMMYFUNCTION("""COMPUTED_VALUE"""),"TV Series 2014– )")</f>
        <v>TV Series 2014– )</v>
      </c>
    </row>
    <row r="3143" spans="1:5" ht="13" x14ac:dyDescent="0.15">
      <c r="A3143" s="5" t="s">
        <v>3232</v>
      </c>
      <c r="D3143" t="str">
        <f ca="1">IFERROR(__xludf.DUMMYFUNCTION("split(A3143,""("")"),"The Raggy Dolls ")</f>
        <v xml:space="preserve">The Raggy Dolls </v>
      </c>
      <c r="E3143" t="str">
        <f ca="1">IFERROR(__xludf.DUMMYFUNCTION("""COMPUTED_VALUE"""),"TV Series 1986–1994)")</f>
        <v>TV Series 1986–1994)</v>
      </c>
    </row>
    <row r="3144" spans="1:5" ht="13" x14ac:dyDescent="0.15">
      <c r="A3144" s="5" t="s">
        <v>3233</v>
      </c>
      <c r="D3144" t="str">
        <f ca="1">IFERROR(__xludf.DUMMYFUNCTION("split(A3144,""("")"),"The Rain ")</f>
        <v xml:space="preserve">The Rain </v>
      </c>
      <c r="E3144" t="str">
        <f ca="1">IFERROR(__xludf.DUMMYFUNCTION("""COMPUTED_VALUE"""),"TV Series 2018– )")</f>
        <v>TV Series 2018– )</v>
      </c>
    </row>
    <row r="3145" spans="1:5" ht="13" x14ac:dyDescent="0.15">
      <c r="A3145" s="5" t="s">
        <v>161</v>
      </c>
      <c r="D3145" t="str">
        <f ca="1">IFERROR(__xludf.DUMMYFUNCTION("split(A3145,""("")"),"The Real Adventures of Jonny Quest ")</f>
        <v xml:space="preserve">The Real Adventures of Jonny Quest </v>
      </c>
      <c r="E3145" t="str">
        <f ca="1">IFERROR(__xludf.DUMMYFUNCTION("""COMPUTED_VALUE"""),"TV Series 1996–1997)")</f>
        <v>TV Series 1996–1997)</v>
      </c>
    </row>
    <row r="3146" spans="1:5" ht="13" x14ac:dyDescent="0.15">
      <c r="A3146" s="5" t="s">
        <v>406</v>
      </c>
      <c r="D3146" t="str">
        <f ca="1">IFERROR(__xludf.DUMMYFUNCTION("split(A3146,""("")"),"The Real Ghostbusters ")</f>
        <v xml:space="preserve">The Real Ghostbusters </v>
      </c>
      <c r="E3146" t="str">
        <f ca="1">IFERROR(__xludf.DUMMYFUNCTION("""COMPUTED_VALUE"""),"TV Series 1986–1991)")</f>
        <v>TV Series 1986–1991)</v>
      </c>
    </row>
    <row r="3147" spans="1:5" ht="13" x14ac:dyDescent="0.15">
      <c r="A3147" s="5" t="s">
        <v>648</v>
      </c>
      <c r="D3147" t="str">
        <f ca="1">IFERROR(__xludf.DUMMYFUNCTION("split(A3147,""("")"),"The Real Housewives of Atlanta ")</f>
        <v xml:space="preserve">The Real Housewives of Atlanta </v>
      </c>
      <c r="E3147" t="str">
        <f ca="1">IFERROR(__xludf.DUMMYFUNCTION("""COMPUTED_VALUE"""),"TV Series 2008– )")</f>
        <v>TV Series 2008– )</v>
      </c>
    </row>
    <row r="3148" spans="1:5" ht="13" x14ac:dyDescent="0.15">
      <c r="A3148" s="5" t="s">
        <v>649</v>
      </c>
      <c r="D3148" t="str">
        <f ca="1">IFERROR(__xludf.DUMMYFUNCTION("split(A3148,""("")"),"The Real Housewives of Beverly Hills ")</f>
        <v xml:space="preserve">The Real Housewives of Beverly Hills </v>
      </c>
      <c r="E3148" t="str">
        <f ca="1">IFERROR(__xludf.DUMMYFUNCTION("""COMPUTED_VALUE"""),"TV Series 2010– )")</f>
        <v>TV Series 2010– )</v>
      </c>
    </row>
    <row r="3149" spans="1:5" ht="13" x14ac:dyDescent="0.15">
      <c r="A3149" s="5" t="s">
        <v>650</v>
      </c>
      <c r="D3149" t="str">
        <f ca="1">IFERROR(__xludf.DUMMYFUNCTION("split(A3149,""("")"),"The Real Housewives of New Jersey ")</f>
        <v xml:space="preserve">The Real Housewives of New Jersey </v>
      </c>
      <c r="E3149" t="str">
        <f ca="1">IFERROR(__xludf.DUMMYFUNCTION("""COMPUTED_VALUE"""),"TV Series 2009– )")</f>
        <v>TV Series 2009– )</v>
      </c>
    </row>
    <row r="3150" spans="1:5" ht="13" x14ac:dyDescent="0.15">
      <c r="A3150" s="5" t="s">
        <v>651</v>
      </c>
      <c r="D3150" t="str">
        <f ca="1">IFERROR(__xludf.DUMMYFUNCTION("split(A3150,""("")"),"The Real Housewives of New York City ")</f>
        <v xml:space="preserve">The Real Housewives of New York City </v>
      </c>
      <c r="E3150" t="str">
        <f ca="1">IFERROR(__xludf.DUMMYFUNCTION("""COMPUTED_VALUE"""),"TV Series 2008– )")</f>
        <v>TV Series 2008– )</v>
      </c>
    </row>
    <row r="3151" spans="1:5" ht="13" x14ac:dyDescent="0.15">
      <c r="A3151" s="5" t="s">
        <v>3234</v>
      </c>
      <c r="D3151" t="str">
        <f ca="1">IFERROR(__xludf.DUMMYFUNCTION("split(A3151,""("")"),"The Real Hustle ")</f>
        <v xml:space="preserve">The Real Hustle </v>
      </c>
      <c r="E3151" t="str">
        <f ca="1">IFERROR(__xludf.DUMMYFUNCTION("""COMPUTED_VALUE"""),"TV Series 2006–2012)")</f>
        <v>TV Series 2006–2012)</v>
      </c>
    </row>
    <row r="3152" spans="1:5" ht="13" x14ac:dyDescent="0.15">
      <c r="A3152" s="5" t="s">
        <v>3235</v>
      </c>
      <c r="D3152" t="str">
        <f ca="1">IFERROR(__xludf.DUMMYFUNCTION("split(A3152,""("")"),"The Real L Word ")</f>
        <v xml:space="preserve">The Real L Word </v>
      </c>
      <c r="E3152" t="str">
        <f ca="1">IFERROR(__xludf.DUMMYFUNCTION("""COMPUTED_VALUE"""),"TV Series 2010–2012)")</f>
        <v>TV Series 2010–2012)</v>
      </c>
    </row>
    <row r="3153" spans="1:5" ht="13" x14ac:dyDescent="0.15">
      <c r="A3153" s="7" t="s">
        <v>3236</v>
      </c>
      <c r="D3153" t="str">
        <f ca="1">IFERROR(__xludf.DUMMYFUNCTION("split(A3153,""("")"),"The Real Story with Maria Elena Salinas ")</f>
        <v xml:space="preserve">The Real Story with Maria Elena Salinas </v>
      </c>
      <c r="E3153" t="str">
        <f ca="1">IFERROR(__xludf.DUMMYFUNCTION("""COMPUTED_VALUE"""),"TV Series 2017–2018)")</f>
        <v>TV Series 2017–2018)</v>
      </c>
    </row>
    <row r="3154" spans="1:5" ht="13" x14ac:dyDescent="0.15">
      <c r="A3154" s="5" t="s">
        <v>3237</v>
      </c>
      <c r="D3154" t="str">
        <f ca="1">IFERROR(__xludf.DUMMYFUNCTION("split(A3154,""("")"),"The Red Green Show ")</f>
        <v xml:space="preserve">The Red Green Show </v>
      </c>
      <c r="E3154" t="str">
        <f ca="1">IFERROR(__xludf.DUMMYFUNCTION("""COMPUTED_VALUE"""),"TV Series 1991–2006)")</f>
        <v>TV Series 1991–2006)</v>
      </c>
    </row>
    <row r="3155" spans="1:5" ht="13" x14ac:dyDescent="0.15">
      <c r="A3155" s="5" t="s">
        <v>3238</v>
      </c>
      <c r="D3155" t="str">
        <f ca="1">IFERROR(__xludf.DUMMYFUNCTION("split(A3155,""("")"),"The Ren &amp; Stimpy Show ")</f>
        <v xml:space="preserve">The Ren &amp; Stimpy Show </v>
      </c>
      <c r="E3155" t="str">
        <f ca="1">IFERROR(__xludf.DUMMYFUNCTION("""COMPUTED_VALUE"""),"TV Series 1991–1996)")</f>
        <v>TV Series 1991–1996)</v>
      </c>
    </row>
    <row r="3156" spans="1:5" ht="13" x14ac:dyDescent="0.15">
      <c r="A3156" s="5" t="s">
        <v>3239</v>
      </c>
      <c r="D3156" t="str">
        <f ca="1">IFERROR(__xludf.DUMMYFUNCTION("split(A3156,""("")"),"The Resolve ")</f>
        <v xml:space="preserve">The Resolve </v>
      </c>
      <c r="E3156" t="str">
        <f ca="1">IFERROR(__xludf.DUMMYFUNCTION("""COMPUTED_VALUE"""),"TV Series 2010– )")</f>
        <v>TV Series 2010– )</v>
      </c>
    </row>
    <row r="3157" spans="1:5" ht="13" x14ac:dyDescent="0.15">
      <c r="A3157" s="5" t="s">
        <v>3240</v>
      </c>
      <c r="D3157" t="str">
        <f ca="1">IFERROR(__xludf.DUMMYFUNCTION("split(A3157,""("")"),"The Riches ")</f>
        <v xml:space="preserve">The Riches </v>
      </c>
      <c r="E3157" t="str">
        <f ca="1">IFERROR(__xludf.DUMMYFUNCTION("""COMPUTED_VALUE"""),"TV Series 2007–2008)")</f>
        <v>TV Series 2007–2008)</v>
      </c>
    </row>
    <row r="3158" spans="1:5" ht="13" x14ac:dyDescent="0.15">
      <c r="A3158" s="5" t="s">
        <v>3241</v>
      </c>
      <c r="D3158" t="str">
        <f ca="1">IFERROR(__xludf.DUMMYFUNCTION("split(A3158,""("")"),"The Rick Mercer Report ")</f>
        <v xml:space="preserve">The Rick Mercer Report </v>
      </c>
      <c r="E3158" t="str">
        <f ca="1">IFERROR(__xludf.DUMMYFUNCTION("""COMPUTED_VALUE"""),"TV Series 2004– )")</f>
        <v>TV Series 2004– )</v>
      </c>
    </row>
    <row r="3159" spans="1:5" ht="13" x14ac:dyDescent="0.15">
      <c r="A3159" s="5" t="s">
        <v>3242</v>
      </c>
      <c r="D3159" t="str">
        <f ca="1">IFERROR(__xludf.DUMMYFUNCTION("split(A3159,""("")"),"The Righteous Gemstones ")</f>
        <v xml:space="preserve">The Righteous Gemstones </v>
      </c>
      <c r="E3159" t="str">
        <f ca="1">IFERROR(__xludf.DUMMYFUNCTION("""COMPUTED_VALUE"""),"TV Series 2019– )")</f>
        <v>TV Series 2019– )</v>
      </c>
    </row>
    <row r="3160" spans="1:5" ht="13" x14ac:dyDescent="0.15">
      <c r="A3160" s="5" t="s">
        <v>257</v>
      </c>
      <c r="D3160" t="str">
        <f ca="1">IFERROR(__xludf.DUMMYFUNCTION("split(A3160,""("")"),"The Romanoffs ")</f>
        <v xml:space="preserve">The Romanoffs </v>
      </c>
      <c r="E3160" t="str">
        <f ca="1">IFERROR(__xludf.DUMMYFUNCTION("""COMPUTED_VALUE"""),"TV Series 2018)")</f>
        <v>TV Series 2018)</v>
      </c>
    </row>
    <row r="3161" spans="1:5" ht="13" x14ac:dyDescent="0.15">
      <c r="A3161" s="5" t="s">
        <v>3243</v>
      </c>
      <c r="D3161" t="str">
        <f ca="1">IFERROR(__xludf.DUMMYFUNCTION("split(A3161,""("")"),"The Ron James Show ")</f>
        <v xml:space="preserve">The Ron James Show </v>
      </c>
      <c r="E3161" t="str">
        <f ca="1">IFERROR(__xludf.DUMMYFUNCTION("""COMPUTED_VALUE"""),"TV Series 2009– )")</f>
        <v>TV Series 2009– )</v>
      </c>
    </row>
    <row r="3162" spans="1:5" ht="13" x14ac:dyDescent="0.15">
      <c r="A3162" s="5" t="s">
        <v>3244</v>
      </c>
      <c r="D3162" t="str">
        <f ca="1">IFERROR(__xludf.DUMMYFUNCTION("split(A3162,""("")"),"The Rookie ")</f>
        <v xml:space="preserve">The Rookie </v>
      </c>
      <c r="E3162" t="str">
        <f ca="1">IFERROR(__xludf.DUMMYFUNCTION("""COMPUTED_VALUE"""),"TV Series 2018– )")</f>
        <v>TV Series 2018– )</v>
      </c>
    </row>
    <row r="3163" spans="1:5" ht="13" x14ac:dyDescent="0.15">
      <c r="A3163" s="5" t="s">
        <v>3245</v>
      </c>
      <c r="D3163" t="str">
        <f ca="1">IFERROR(__xludf.DUMMYFUNCTION("split(A3163,""("")"),"The Royle Family ")</f>
        <v xml:space="preserve">The Royle Family </v>
      </c>
      <c r="E3163" t="str">
        <f ca="1">IFERROR(__xludf.DUMMYFUNCTION("""COMPUTED_VALUE"""),"TV Series 1998–2012)")</f>
        <v>TV Series 1998–2012)</v>
      </c>
    </row>
    <row r="3164" spans="1:5" ht="13" x14ac:dyDescent="0.15">
      <c r="A3164" s="5" t="s">
        <v>3246</v>
      </c>
      <c r="D3164" t="str">
        <f ca="1">IFERROR(__xludf.DUMMYFUNCTION("split(A3164,""("")"),"The Same Sky ")</f>
        <v xml:space="preserve">The Same Sky </v>
      </c>
      <c r="E3164" t="str">
        <f ca="1">IFERROR(__xludf.DUMMYFUNCTION("""COMPUTED_VALUE"""),"TV Series 2017– )")</f>
        <v>TV Series 2017– )</v>
      </c>
    </row>
    <row r="3165" spans="1:5" ht="13" x14ac:dyDescent="0.15">
      <c r="A3165" s="5" t="s">
        <v>3247</v>
      </c>
      <c r="D3165" t="str">
        <f ca="1">IFERROR(__xludf.DUMMYFUNCTION("split(A3165,""("")"),"The Sarah Silverman Program. ")</f>
        <v xml:space="preserve">The Sarah Silverman Program. </v>
      </c>
      <c r="E3165" t="str">
        <f ca="1">IFERROR(__xludf.DUMMYFUNCTION("""COMPUTED_VALUE"""),"TV Series 2007–2010)")</f>
        <v>TV Series 2007–2010)</v>
      </c>
    </row>
    <row r="3166" spans="1:5" ht="13" x14ac:dyDescent="0.15">
      <c r="A3166" s="5" t="s">
        <v>3248</v>
      </c>
      <c r="D3166" t="str">
        <f ca="1">IFERROR(__xludf.DUMMYFUNCTION("split(A3166,""("")"),"The Savage Dragon ")</f>
        <v xml:space="preserve">The Savage Dragon </v>
      </c>
      <c r="E3166" t="str">
        <f ca="1">IFERROR(__xludf.DUMMYFUNCTION("""COMPUTED_VALUE"""),"TV Series 1995– )")</f>
        <v>TV Series 1995– )</v>
      </c>
    </row>
    <row r="3167" spans="1:5" ht="13" x14ac:dyDescent="0.15">
      <c r="A3167" s="5" t="s">
        <v>162</v>
      </c>
      <c r="D3167" t="str">
        <f ca="1">IFERROR(__xludf.DUMMYFUNCTION("split(A3167,""("")"),"The Scarlet Pimpernel ")</f>
        <v xml:space="preserve">The Scarlet Pimpernel </v>
      </c>
      <c r="E3167" t="str">
        <f ca="1">IFERROR(__xludf.DUMMYFUNCTION("""COMPUTED_VALUE"""),"TV Series 1999– )")</f>
        <v>TV Series 1999– )</v>
      </c>
    </row>
    <row r="3168" spans="1:5" ht="13" x14ac:dyDescent="0.15">
      <c r="A3168" s="5" t="s">
        <v>3249</v>
      </c>
      <c r="D3168" t="str">
        <f ca="1">IFERROR(__xludf.DUMMYFUNCTION("split(A3168,""("")"),"The Scoop ")</f>
        <v xml:space="preserve">The Scoop </v>
      </c>
      <c r="E3168" t="str">
        <f ca="1">IFERROR(__xludf.DUMMYFUNCTION("""COMPUTED_VALUE"""),"TV Series 2017– )")</f>
        <v>TV Series 2017– )</v>
      </c>
    </row>
    <row r="3169" spans="1:5" ht="13" x14ac:dyDescent="0.15">
      <c r="A3169" s="5" t="s">
        <v>3250</v>
      </c>
      <c r="D3169" t="str">
        <f ca="1">IFERROR(__xludf.DUMMYFUNCTION("split(A3169,""("")"),"The Seán Cullen Show ")</f>
        <v xml:space="preserve">The Seán Cullen Show </v>
      </c>
      <c r="E3169" t="str">
        <f ca="1">IFERROR(__xludf.DUMMYFUNCTION("""COMPUTED_VALUE"""),"TV Series 2003– )")</f>
        <v>TV Series 2003– )</v>
      </c>
    </row>
    <row r="3170" spans="1:5" ht="13" x14ac:dyDescent="0.15">
      <c r="A3170" s="5" t="s">
        <v>3251</v>
      </c>
      <c r="D3170" t="str">
        <f ca="1">IFERROR(__xludf.DUMMYFUNCTION("split(A3170,""("")"),"The Secret Adventures of Jules Verne ")</f>
        <v xml:space="preserve">The Secret Adventures of Jules Verne </v>
      </c>
      <c r="E3170" t="str">
        <f ca="1">IFERROR(__xludf.DUMMYFUNCTION("""COMPUTED_VALUE"""),"TV Series 2000– )")</f>
        <v>TV Series 2000– )</v>
      </c>
    </row>
    <row r="3171" spans="1:5" ht="13" x14ac:dyDescent="0.15">
      <c r="A3171" s="5" t="s">
        <v>3252</v>
      </c>
      <c r="D3171" t="str">
        <f ca="1">IFERROR(__xludf.DUMMYFUNCTION("split(A3171,""("")"),"The Secret Circle ")</f>
        <v xml:space="preserve">The Secret Circle </v>
      </c>
      <c r="E3171" t="str">
        <f ca="1">IFERROR(__xludf.DUMMYFUNCTION("""COMPUTED_VALUE"""),"TV Series 2011–2012)")</f>
        <v>TV Series 2011–2012)</v>
      </c>
    </row>
    <row r="3172" spans="1:5" ht="13" x14ac:dyDescent="0.15">
      <c r="A3172" s="5" t="s">
        <v>3253</v>
      </c>
      <c r="D3172" t="str">
        <f ca="1">IFERROR(__xludf.DUMMYFUNCTION("split(A3172,""("")"),"The Secret Life of the American Teenager ")</f>
        <v xml:space="preserve">The Secret Life of the American Teenager </v>
      </c>
      <c r="E3172" t="str">
        <f ca="1">IFERROR(__xludf.DUMMYFUNCTION("""COMPUTED_VALUE"""),"TV Series 2008–2013)")</f>
        <v>TV Series 2008–2013)</v>
      </c>
    </row>
    <row r="3173" spans="1:5" ht="13" x14ac:dyDescent="0.15">
      <c r="A3173" s="5" t="s">
        <v>3254</v>
      </c>
      <c r="D3173" t="str">
        <f ca="1">IFERROR(__xludf.DUMMYFUNCTION("split(A3173,""("")"),"The Secret World of Alex Mack ")</f>
        <v xml:space="preserve">The Secret World of Alex Mack </v>
      </c>
      <c r="E3173" t="str">
        <f ca="1">IFERROR(__xludf.DUMMYFUNCTION("""COMPUTED_VALUE"""),"TV Series 1994–1998)")</f>
        <v>TV Series 1994–1998)</v>
      </c>
    </row>
    <row r="3174" spans="1:5" ht="13" x14ac:dyDescent="0.15">
      <c r="A3174" s="5" t="s">
        <v>163</v>
      </c>
      <c r="D3174" t="str">
        <f ca="1">IFERROR(__xludf.DUMMYFUNCTION("split(A3174,""("")"),"The Shannara Chronicles ")</f>
        <v xml:space="preserve">The Shannara Chronicles </v>
      </c>
      <c r="E3174" t="str">
        <f ca="1">IFERROR(__xludf.DUMMYFUNCTION("""COMPUTED_VALUE"""),"TV Series 2016–2017)")</f>
        <v>TV Series 2016–2017)</v>
      </c>
    </row>
    <row r="3175" spans="1:5" ht="13" x14ac:dyDescent="0.15">
      <c r="A3175" s="5" t="s">
        <v>3255</v>
      </c>
      <c r="D3175" t="str">
        <f ca="1">IFERROR(__xludf.DUMMYFUNCTION("split(A3175,""("")"),"The Showbiz Show with David Spade ")</f>
        <v xml:space="preserve">The Showbiz Show with David Spade </v>
      </c>
      <c r="E3175" t="str">
        <f ca="1">IFERROR(__xludf.DUMMYFUNCTION("""COMPUTED_VALUE"""),"TV Series 2005– )")</f>
        <v>TV Series 2005– )</v>
      </c>
    </row>
    <row r="3176" spans="1:5" ht="13" x14ac:dyDescent="0.15">
      <c r="A3176" s="5" t="s">
        <v>3256</v>
      </c>
      <c r="D3176" t="str">
        <f ca="1">IFERROR(__xludf.DUMMYFUNCTION("split(A3176,""("")"),"The Silver Chair ")</f>
        <v xml:space="preserve">The Silver Chair </v>
      </c>
      <c r="E3176" t="str">
        <f ca="1">IFERROR(__xludf.DUMMYFUNCTION("""COMPUTED_VALUE"""),"TV Series 1990– )")</f>
        <v>TV Series 1990– )</v>
      </c>
    </row>
    <row r="3177" spans="1:5" ht="13" x14ac:dyDescent="0.15">
      <c r="A3177" s="5" t="s">
        <v>3257</v>
      </c>
      <c r="D3177" t="str">
        <f ca="1">IFERROR(__xludf.DUMMYFUNCTION("split(A3177,""("")"),"The Simple Life ")</f>
        <v xml:space="preserve">The Simple Life </v>
      </c>
      <c r="E3177" t="str">
        <f ca="1">IFERROR(__xludf.DUMMYFUNCTION("""COMPUTED_VALUE"""),"TV Series 2003–2007)")</f>
        <v>TV Series 2003–2007)</v>
      </c>
    </row>
    <row r="3178" spans="1:5" ht="13" x14ac:dyDescent="0.15">
      <c r="A3178" s="5" t="s">
        <v>652</v>
      </c>
      <c r="D3178" t="str">
        <f ca="1">IFERROR(__xludf.DUMMYFUNCTION("split(A3178,""("")"),"The Simpsons ")</f>
        <v xml:space="preserve">The Simpsons </v>
      </c>
      <c r="E3178" t="str">
        <f ca="1">IFERROR(__xludf.DUMMYFUNCTION("""COMPUTED_VALUE"""),"TV Series 1989– )")</f>
        <v>TV Series 1989– )</v>
      </c>
    </row>
    <row r="3179" spans="1:5" ht="13" x14ac:dyDescent="0.15">
      <c r="A3179" s="5" t="s">
        <v>3258</v>
      </c>
      <c r="D3179" t="str">
        <f ca="1">IFERROR(__xludf.DUMMYFUNCTION("split(A3179,""("")"),"The Sin Reapers ")</f>
        <v xml:space="preserve">The Sin Reapers </v>
      </c>
      <c r="E3179" t="str">
        <f ca="1">IFERROR(__xludf.DUMMYFUNCTION("""COMPUTED_VALUE"""),"TV Series 2015– )")</f>
        <v>TV Series 2015– )</v>
      </c>
    </row>
    <row r="3180" spans="1:5" ht="13" x14ac:dyDescent="0.15">
      <c r="A3180" s="5" t="s">
        <v>3259</v>
      </c>
      <c r="D3180" t="str">
        <f ca="1">IFERROR(__xludf.DUMMYFUNCTION("split(A3180,""("")"),"The Sinner ")</f>
        <v xml:space="preserve">The Sinner </v>
      </c>
      <c r="E3180" t="str">
        <f ca="1">IFERROR(__xludf.DUMMYFUNCTION("""COMPUTED_VALUE"""),"TV Series 2017– )")</f>
        <v>TV Series 2017– )</v>
      </c>
    </row>
    <row r="3181" spans="1:5" ht="13" x14ac:dyDescent="0.15">
      <c r="A3181" s="5" t="s">
        <v>3260</v>
      </c>
      <c r="D3181" t="str">
        <f ca="1">IFERROR(__xludf.DUMMYFUNCTION("split(A3181,""("")"),"The Sixties ")</f>
        <v xml:space="preserve">The Sixties </v>
      </c>
      <c r="E3181" t="str">
        <f ca="1">IFERROR(__xludf.DUMMYFUNCTION("""COMPUTED_VALUE"""),"TV Series 2014)")</f>
        <v>TV Series 2014)</v>
      </c>
    </row>
    <row r="3182" spans="1:5" ht="13" x14ac:dyDescent="0.15">
      <c r="A3182" s="5" t="s">
        <v>164</v>
      </c>
      <c r="D3182" t="str">
        <f ca="1">IFERROR(__xludf.DUMMYFUNCTION("split(A3182,""("")"),"The Smurfs ")</f>
        <v xml:space="preserve">The Smurfs </v>
      </c>
      <c r="E3182" t="str">
        <f ca="1">IFERROR(__xludf.DUMMYFUNCTION("""COMPUTED_VALUE"""),"TV Series 1981–1990)")</f>
        <v>TV Series 1981–1990)</v>
      </c>
    </row>
    <row r="3183" spans="1:5" ht="13" x14ac:dyDescent="0.15">
      <c r="A3183" s="5" t="s">
        <v>3261</v>
      </c>
      <c r="D3183" t="str">
        <f ca="1">IFERROR(__xludf.DUMMYFUNCTION("split(A3183,""("")"),"The Society ")</f>
        <v xml:space="preserve">The Society </v>
      </c>
      <c r="E3183" t="str">
        <f ca="1">IFERROR(__xludf.DUMMYFUNCTION("""COMPUTED_VALUE"""),"TV Series 2019– )")</f>
        <v>TV Series 2019– )</v>
      </c>
    </row>
    <row r="3184" spans="1:5" ht="13" x14ac:dyDescent="0.15">
      <c r="A3184" s="5" t="s">
        <v>3262</v>
      </c>
      <c r="D3184" t="str">
        <f ca="1">IFERROR(__xludf.DUMMYFUNCTION("split(A3184,""("")"),"The Son ")</f>
        <v xml:space="preserve">The Son </v>
      </c>
      <c r="E3184" t="str">
        <f ca="1">IFERROR(__xludf.DUMMYFUNCTION("""COMPUTED_VALUE"""),"TV Series 2017–2019)")</f>
        <v>TV Series 2017–2019)</v>
      </c>
    </row>
    <row r="3185" spans="1:5" ht="13" x14ac:dyDescent="0.15">
      <c r="A3185" s="5" t="s">
        <v>3263</v>
      </c>
      <c r="D3185" t="str">
        <f ca="1">IFERROR(__xludf.DUMMYFUNCTION("split(A3185,""("")"),"The Sopranos ")</f>
        <v xml:space="preserve">The Sopranos </v>
      </c>
      <c r="E3185" t="str">
        <f ca="1">IFERROR(__xludf.DUMMYFUNCTION("""COMPUTED_VALUE"""),"TV Series 1999–2007)")</f>
        <v>TV Series 1999–2007)</v>
      </c>
    </row>
    <row r="3186" spans="1:5" ht="13" x14ac:dyDescent="0.15">
      <c r="A3186" s="5" t="s">
        <v>90</v>
      </c>
      <c r="D3186" t="str">
        <f ca="1">IFERROR(__xludf.DUMMYFUNCTION("split(A3186,""("")"),"The Spectacular Spider-Man ")</f>
        <v xml:space="preserve">The Spectacular Spider-Man </v>
      </c>
      <c r="E3186" t="str">
        <f ca="1">IFERROR(__xludf.DUMMYFUNCTION("""COMPUTED_VALUE"""),"TV Series 2008–2009)")</f>
        <v>TV Series 2008–2009)</v>
      </c>
    </row>
    <row r="3187" spans="1:5" ht="13" x14ac:dyDescent="0.15">
      <c r="A3187" s="5" t="s">
        <v>3264</v>
      </c>
      <c r="D3187" t="str">
        <f ca="1">IFERROR(__xludf.DUMMYFUNCTION("split(A3187,""("")"),"The Staircase ")</f>
        <v xml:space="preserve">The Staircase </v>
      </c>
      <c r="E3187" t="str">
        <f ca="1">IFERROR(__xludf.DUMMYFUNCTION("""COMPUTED_VALUE"""),"TV Series 2004–2018)")</f>
        <v>TV Series 2004–2018)</v>
      </c>
    </row>
    <row r="3188" spans="1:5" ht="13" x14ac:dyDescent="0.15">
      <c r="A3188" s="5" t="s">
        <v>3265</v>
      </c>
      <c r="D3188" t="str">
        <f ca="1">IFERROR(__xludf.DUMMYFUNCTION("split(A3188,""("")"),"The Standups ")</f>
        <v xml:space="preserve">The Standups </v>
      </c>
      <c r="E3188" t="str">
        <f ca="1">IFERROR(__xludf.DUMMYFUNCTION("""COMPUTED_VALUE"""),"TV Series 2017– )")</f>
        <v>TV Series 2017– )</v>
      </c>
    </row>
    <row r="3189" spans="1:5" ht="13" x14ac:dyDescent="0.15">
      <c r="A3189" s="5" t="s">
        <v>3266</v>
      </c>
      <c r="D3189" t="str">
        <f ca="1">IFERROR(__xludf.DUMMYFUNCTION("split(A3189,""("")"),"The Startup Hour ")</f>
        <v xml:space="preserve">The Startup Hour </v>
      </c>
      <c r="E3189" t="str">
        <f ca="1">IFERROR(__xludf.DUMMYFUNCTION("""COMPUTED_VALUE"""),"TV Series 2015– )")</f>
        <v>TV Series 2015– )</v>
      </c>
    </row>
    <row r="3190" spans="1:5" ht="13" x14ac:dyDescent="0.15">
      <c r="A3190" s="5" t="s">
        <v>3267</v>
      </c>
      <c r="D3190" t="str">
        <f ca="1">IFERROR(__xludf.DUMMYFUNCTION("split(A3190,""("")"),"The State ")</f>
        <v xml:space="preserve">The State </v>
      </c>
      <c r="E3190" t="str">
        <f ca="1">IFERROR(__xludf.DUMMYFUNCTION("""COMPUTED_VALUE"""),"TV Series 1993–2009)")</f>
        <v>TV Series 1993–2009)</v>
      </c>
    </row>
    <row r="3191" spans="1:5" ht="13" x14ac:dyDescent="0.15">
      <c r="A3191" s="5" t="s">
        <v>3268</v>
      </c>
      <c r="D3191" t="str">
        <f ca="1">IFERROR(__xludf.DUMMYFUNCTION("split(A3191,""("")"),"The Strain ")</f>
        <v xml:space="preserve">The Strain </v>
      </c>
      <c r="E3191" t="str">
        <f ca="1">IFERROR(__xludf.DUMMYFUNCTION("""COMPUTED_VALUE"""),"TV Series 2014–2017)")</f>
        <v>TV Series 2014–2017)</v>
      </c>
    </row>
    <row r="3192" spans="1:5" ht="13" x14ac:dyDescent="0.15">
      <c r="A3192" s="5" t="s">
        <v>3269</v>
      </c>
      <c r="D3192" t="str">
        <f ca="1">IFERROR(__xludf.DUMMYFUNCTION("split(A3192,""("")"),"The Studio ")</f>
        <v xml:space="preserve">The Studio </v>
      </c>
      <c r="E3192" t="str">
        <f ca="1">IFERROR(__xludf.DUMMYFUNCTION("""COMPUTED_VALUE"""),"TV Series 2014– )")</f>
        <v>TV Series 2014– )</v>
      </c>
    </row>
    <row r="3193" spans="1:5" ht="13" x14ac:dyDescent="0.15">
      <c r="A3193" s="5" t="s">
        <v>3270</v>
      </c>
      <c r="D3193" t="str">
        <f ca="1">IFERROR(__xludf.DUMMYFUNCTION("split(A3193,""("")"),"The Suite Life of Zack &amp; Cody ")</f>
        <v xml:space="preserve">The Suite Life of Zack &amp; Cody </v>
      </c>
      <c r="E3193" t="str">
        <f ca="1">IFERROR(__xludf.DUMMYFUNCTION("""COMPUTED_VALUE"""),"TV Series 2005–2008)")</f>
        <v>TV Series 2005–2008)</v>
      </c>
    </row>
    <row r="3194" spans="1:5" ht="13" x14ac:dyDescent="0.15">
      <c r="A3194" s="5" t="s">
        <v>3271</v>
      </c>
      <c r="D3194" t="str">
        <f ca="1">IFERROR(__xludf.DUMMYFUNCTION("split(A3194,""("")"),"The Super Hero Squad Show ")</f>
        <v xml:space="preserve">The Super Hero Squad Show </v>
      </c>
      <c r="E3194" t="str">
        <f ca="1">IFERROR(__xludf.DUMMYFUNCTION("""COMPUTED_VALUE"""),"TV Series 2009–2011)")</f>
        <v>TV Series 2009–2011)</v>
      </c>
    </row>
    <row r="3195" spans="1:5" ht="13" x14ac:dyDescent="0.15">
      <c r="A3195" s="7" t="s">
        <v>3272</v>
      </c>
      <c r="D3195" t="str">
        <f ca="1">IFERROR(__xludf.DUMMYFUNCTION("split(A3195,""("")"),"The Super Powers Team: Galactic Guardians ")</f>
        <v xml:space="preserve">The Super Powers Team: Galactic Guardians </v>
      </c>
      <c r="E3195" t="str">
        <f ca="1">IFERROR(__xludf.DUMMYFUNCTION("""COMPUTED_VALUE"""),"TV Series 1985– )")</f>
        <v>TV Series 1985– )</v>
      </c>
    </row>
    <row r="3196" spans="1:5" ht="13" x14ac:dyDescent="0.15">
      <c r="A3196" s="5" t="s">
        <v>3273</v>
      </c>
      <c r="D3196" t="str">
        <f ca="1">IFERROR(__xludf.DUMMYFUNCTION("split(A3196,""("")"),"The Supervet ")</f>
        <v xml:space="preserve">The Supervet </v>
      </c>
      <c r="E3196" t="str">
        <f ca="1">IFERROR(__xludf.DUMMYFUNCTION("""COMPUTED_VALUE"""),"TV Series 2014– )")</f>
        <v>TV Series 2014– )</v>
      </c>
    </row>
    <row r="3197" spans="1:5" ht="13" x14ac:dyDescent="0.15">
      <c r="A3197" s="5" t="s">
        <v>3274</v>
      </c>
      <c r="D3197" t="str">
        <f ca="1">IFERROR(__xludf.DUMMYFUNCTION("split(A3197,""("")"),"The Sylvester &amp; Tweety Mysteries ")</f>
        <v xml:space="preserve">The Sylvester &amp; Tweety Mysteries </v>
      </c>
      <c r="E3197" t="str">
        <f ca="1">IFERROR(__xludf.DUMMYFUNCTION("""COMPUTED_VALUE"""),"TV Series 1995–2001)")</f>
        <v>TV Series 1995–2001)</v>
      </c>
    </row>
    <row r="3198" spans="1:5" ht="13" x14ac:dyDescent="0.15">
      <c r="A3198" s="5" t="s">
        <v>3275</v>
      </c>
      <c r="D3198" t="str">
        <f ca="1">IFERROR(__xludf.DUMMYFUNCTION("split(A3198,""("")"),"The Syndicate ")</f>
        <v xml:space="preserve">The Syndicate </v>
      </c>
      <c r="E3198" t="str">
        <f ca="1">IFERROR(__xludf.DUMMYFUNCTION("""COMPUTED_VALUE"""),"TV Series 2012– )")</f>
        <v>TV Series 2012– )</v>
      </c>
    </row>
    <row r="3199" spans="1:5" ht="13" x14ac:dyDescent="0.15">
      <c r="A3199" s="5" t="s">
        <v>3276</v>
      </c>
      <c r="D3199" t="str">
        <f ca="1">IFERROR(__xludf.DUMMYFUNCTION("split(A3199,""("")"),"The Task ")</f>
        <v xml:space="preserve">The Task </v>
      </c>
      <c r="E3199" t="str">
        <f ca="1">IFERROR(__xludf.DUMMYFUNCTION("""COMPUTED_VALUE"""),"TV Series 2016– )")</f>
        <v>TV Series 2016– )</v>
      </c>
    </row>
    <row r="3200" spans="1:5" ht="13" x14ac:dyDescent="0.15">
      <c r="A3200" s="5" t="s">
        <v>3277</v>
      </c>
      <c r="D3200" t="str">
        <f ca="1">IFERROR(__xludf.DUMMYFUNCTION("split(A3200,""("")"),"The Terror ")</f>
        <v xml:space="preserve">The Terror </v>
      </c>
      <c r="E3200" t="str">
        <f ca="1">IFERROR(__xludf.DUMMYFUNCTION("""COMPUTED_VALUE"""),"TV Series 2018– )")</f>
        <v>TV Series 2018– )</v>
      </c>
    </row>
    <row r="3201" spans="1:5" ht="13" x14ac:dyDescent="0.15">
      <c r="A3201" s="5" t="s">
        <v>165</v>
      </c>
      <c r="D3201" t="str">
        <f ca="1">IFERROR(__xludf.DUMMYFUNCTION("split(A3201,""("")"),"The Thorn Birds ")</f>
        <v xml:space="preserve">The Thorn Birds </v>
      </c>
      <c r="E3201" t="str">
        <f ca="1">IFERROR(__xludf.DUMMYFUNCTION("""COMPUTED_VALUE"""),"TV Series 2011– )")</f>
        <v>TV Series 2011– )</v>
      </c>
    </row>
    <row r="3202" spans="1:5" ht="13" x14ac:dyDescent="0.15">
      <c r="A3202" s="5" t="s">
        <v>685</v>
      </c>
      <c r="D3202" t="str">
        <f ca="1">IFERROR(__xludf.DUMMYFUNCTION("split(A3202,""("")"),"The Tick ")</f>
        <v xml:space="preserve">The Tick </v>
      </c>
      <c r="E3202" t="str">
        <f ca="1">IFERROR(__xludf.DUMMYFUNCTION("""COMPUTED_VALUE"""),"TV Series 2017–2019)")</f>
        <v>TV Series 2017–2019)</v>
      </c>
    </row>
    <row r="3203" spans="1:5" ht="13" x14ac:dyDescent="0.15">
      <c r="A3203" s="5" t="s">
        <v>3278</v>
      </c>
      <c r="D3203" t="str">
        <f ca="1">IFERROR(__xludf.DUMMYFUNCTION("split(A3203,""("")"),"The Time in Between ")</f>
        <v xml:space="preserve">The Time in Between </v>
      </c>
      <c r="E3203" t="str">
        <f ca="1">IFERROR(__xludf.DUMMYFUNCTION("""COMPUTED_VALUE"""),"TV Series 2013–2014)")</f>
        <v>TV Series 2013–2014)</v>
      </c>
    </row>
    <row r="3204" spans="1:5" ht="13" x14ac:dyDescent="0.15">
      <c r="A3204" s="5" t="s">
        <v>295</v>
      </c>
      <c r="D3204" t="str">
        <f ca="1">IFERROR(__xludf.DUMMYFUNCTION("split(A3204,""("")"),"The Titan Games ")</f>
        <v xml:space="preserve">The Titan Games </v>
      </c>
      <c r="E3204" t="str">
        <f ca="1">IFERROR(__xludf.DUMMYFUNCTION("""COMPUTED_VALUE"""),"TV Series 2019– )")</f>
        <v>TV Series 2019– )</v>
      </c>
    </row>
    <row r="3205" spans="1:5" ht="13" x14ac:dyDescent="0.15">
      <c r="A3205" s="5" t="s">
        <v>653</v>
      </c>
      <c r="D3205" t="str">
        <f ca="1">IFERROR(__xludf.DUMMYFUNCTION("split(A3205,""("")"),"The Tom and Jerry Show ")</f>
        <v xml:space="preserve">The Tom and Jerry Show </v>
      </c>
      <c r="E3205" t="str">
        <f ca="1">IFERROR(__xludf.DUMMYFUNCTION("""COMPUTED_VALUE"""),"TV Series 2014– )")</f>
        <v>TV Series 2014– )</v>
      </c>
    </row>
    <row r="3206" spans="1:5" ht="13" x14ac:dyDescent="0.15">
      <c r="A3206" s="5" t="s">
        <v>3279</v>
      </c>
      <c r="D3206" t="str">
        <f ca="1">IFERROR(__xludf.DUMMYFUNCTION("split(A3206,""("")"),"The Tomorrow People ")</f>
        <v xml:space="preserve">The Tomorrow People </v>
      </c>
      <c r="E3206" t="str">
        <f ca="1">IFERROR(__xludf.DUMMYFUNCTION("""COMPUTED_VALUE"""),"TV Series 2013–2014)")</f>
        <v>TV Series 2013–2014)</v>
      </c>
    </row>
    <row r="3207" spans="1:5" ht="13" x14ac:dyDescent="0.15">
      <c r="A3207" s="5" t="s">
        <v>3280</v>
      </c>
      <c r="D3207" t="str">
        <f ca="1">IFERROR(__xludf.DUMMYFUNCTION("split(A3207,""("")"),"The Torkelsons ")</f>
        <v xml:space="preserve">The Torkelsons </v>
      </c>
      <c r="E3207" t="str">
        <f ca="1">IFERROR(__xludf.DUMMYFUNCTION("""COMPUTED_VALUE"""),"TV Series 1991–1992)")</f>
        <v>TV Series 1991–1992)</v>
      </c>
    </row>
    <row r="3208" spans="1:5" ht="13" x14ac:dyDescent="0.15">
      <c r="A3208" s="5" t="s">
        <v>3281</v>
      </c>
      <c r="D3208" t="str">
        <f ca="1">IFERROR(__xludf.DUMMYFUNCTION("split(A3208,""("")"),"The Tower of DRUAGA:the Aegis of URUK ")</f>
        <v xml:space="preserve">The Tower of DRUAGA:the Aegis of URUK </v>
      </c>
      <c r="E3208" t="str">
        <f ca="1">IFERROR(__xludf.DUMMYFUNCTION("""COMPUTED_VALUE"""),"TV Series 2008– )")</f>
        <v>TV Series 2008– )</v>
      </c>
    </row>
    <row r="3209" spans="1:5" ht="13" x14ac:dyDescent="0.15">
      <c r="A3209" s="5" t="s">
        <v>3282</v>
      </c>
      <c r="D3209" t="str">
        <f ca="1">IFERROR(__xludf.DUMMYFUNCTION("split(A3209,""("")"),"The Toy Box ")</f>
        <v xml:space="preserve">The Toy Box </v>
      </c>
      <c r="E3209" t="str">
        <f ca="1">IFERROR(__xludf.DUMMYFUNCTION("""COMPUTED_VALUE"""),"TV Series 2017– )")</f>
        <v>TV Series 2017– )</v>
      </c>
    </row>
    <row r="3210" spans="1:5" ht="13" x14ac:dyDescent="0.15">
      <c r="A3210" s="5" t="s">
        <v>3283</v>
      </c>
      <c r="D3210" t="str">
        <f ca="1">IFERROR(__xludf.DUMMYFUNCTION("split(A3210,""("")"),"The Toys That Made Us ")</f>
        <v xml:space="preserve">The Toys That Made Us </v>
      </c>
      <c r="E3210" t="str">
        <f ca="1">IFERROR(__xludf.DUMMYFUNCTION("""COMPUTED_VALUE"""),"TV Series 2017– )")</f>
        <v>TV Series 2017– )</v>
      </c>
    </row>
    <row r="3211" spans="1:5" ht="13" x14ac:dyDescent="0.15">
      <c r="A3211" s="5" t="s">
        <v>520</v>
      </c>
      <c r="D3211" t="str">
        <f ca="1">IFERROR(__xludf.DUMMYFUNCTION("split(A3211,""("")"),"The Transformers ")</f>
        <v xml:space="preserve">The Transformers </v>
      </c>
      <c r="E3211" t="str">
        <f ca="1">IFERROR(__xludf.DUMMYFUNCTION("""COMPUTED_VALUE"""),"TV Series 1984–1987)")</f>
        <v>TV Series 1984–1987)</v>
      </c>
    </row>
    <row r="3212" spans="1:5" ht="13" x14ac:dyDescent="0.15">
      <c r="A3212" s="5" t="s">
        <v>3284</v>
      </c>
      <c r="D3212" t="str">
        <f ca="1">IFERROR(__xludf.DUMMYFUNCTION("split(A3212,""("")"),"The Trap Door ")</f>
        <v xml:space="preserve">The Trap Door </v>
      </c>
      <c r="E3212" t="str">
        <f ca="1">IFERROR(__xludf.DUMMYFUNCTION("""COMPUTED_VALUE"""),"TV Series 1984– )")</f>
        <v>TV Series 1984– )</v>
      </c>
    </row>
    <row r="3213" spans="1:5" ht="13" x14ac:dyDescent="0.15">
      <c r="A3213" s="5" t="s">
        <v>3285</v>
      </c>
      <c r="D3213" t="str">
        <f ca="1">IFERROR(__xludf.DUMMYFUNCTION("split(A3213,""("")"),"The Tribe ")</f>
        <v xml:space="preserve">The Tribe </v>
      </c>
      <c r="E3213" t="str">
        <f ca="1">IFERROR(__xludf.DUMMYFUNCTION("""COMPUTED_VALUE"""),"TV Series 1999–2003)")</f>
        <v>TV Series 1999–2003)</v>
      </c>
    </row>
    <row r="3214" spans="1:5" ht="13" x14ac:dyDescent="0.15">
      <c r="A3214" s="5" t="s">
        <v>3286</v>
      </c>
      <c r="D3214" t="str">
        <f ca="1">IFERROR(__xludf.DUMMYFUNCTION("split(A3214,""("")"),"The Tripods ")</f>
        <v xml:space="preserve">The Tripods </v>
      </c>
      <c r="E3214" t="str">
        <f ca="1">IFERROR(__xludf.DUMMYFUNCTION("""COMPUTED_VALUE"""),"TV Series 1984–1985)")</f>
        <v>TV Series 1984–1985)</v>
      </c>
    </row>
    <row r="3215" spans="1:5" ht="13" x14ac:dyDescent="0.15">
      <c r="A3215" s="5" t="s">
        <v>3287</v>
      </c>
      <c r="D3215" t="str">
        <f ca="1">IFERROR(__xludf.DUMMYFUNCTION("split(A3215,""("")"),"The Trixie &amp; Katya Show ")</f>
        <v xml:space="preserve">The Trixie &amp; Katya Show </v>
      </c>
      <c r="E3215" t="str">
        <f ca="1">IFERROR(__xludf.DUMMYFUNCTION("""COMPUTED_VALUE"""),"TV Series 2017– )")</f>
        <v>TV Series 2017– )</v>
      </c>
    </row>
    <row r="3216" spans="1:5" ht="13" x14ac:dyDescent="0.15">
      <c r="A3216" s="5" t="s">
        <v>3288</v>
      </c>
      <c r="D3216" t="str">
        <f ca="1">IFERROR(__xludf.DUMMYFUNCTION("split(A3216,""("")"),"The Tube: Going Underground ")</f>
        <v xml:space="preserve">The Tube: Going Underground </v>
      </c>
      <c r="E3216" t="str">
        <f ca="1">IFERROR(__xludf.DUMMYFUNCTION("""COMPUTED_VALUE"""),"TV Series 2016)")</f>
        <v>TV Series 2016)</v>
      </c>
    </row>
    <row r="3217" spans="1:5" ht="13" x14ac:dyDescent="0.15">
      <c r="A3217" s="5" t="s">
        <v>686</v>
      </c>
      <c r="D3217" t="str">
        <f ca="1">IFERROR(__xludf.DUMMYFUNCTION("split(A3217,""("")"),"The Tudors ")</f>
        <v xml:space="preserve">The Tudors </v>
      </c>
      <c r="E3217" t="str">
        <f ca="1">IFERROR(__xludf.DUMMYFUNCTION("""COMPUTED_VALUE"""),"TV Series 2007–2010)")</f>
        <v>TV Series 2007–2010)</v>
      </c>
    </row>
    <row r="3218" spans="1:5" ht="13" x14ac:dyDescent="0.15">
      <c r="A3218" s="5" t="s">
        <v>178</v>
      </c>
      <c r="D3218" t="str">
        <f ca="1">IFERROR(__xludf.DUMMYFUNCTION("split(A3218,""("")"),"The Twilight Zone ")</f>
        <v xml:space="preserve">The Twilight Zone </v>
      </c>
      <c r="E3218" t="str">
        <f ca="1">IFERROR(__xludf.DUMMYFUNCTION("""COMPUTED_VALUE"""),"TV Series 2019– )")</f>
        <v>TV Series 2019– )</v>
      </c>
    </row>
    <row r="3219" spans="1:5" ht="13" x14ac:dyDescent="0.15">
      <c r="A3219" s="5" t="s">
        <v>3289</v>
      </c>
      <c r="D3219" t="str">
        <f ca="1">IFERROR(__xludf.DUMMYFUNCTION("split(A3219,""("")"),"The Two Lives of Estela Carrillo ")</f>
        <v xml:space="preserve">The Two Lives of Estela Carrillo </v>
      </c>
      <c r="E3219" t="str">
        <f ca="1">IFERROR(__xludf.DUMMYFUNCTION("""COMPUTED_VALUE"""),"TV Series 2017– )")</f>
        <v>TV Series 2017– )</v>
      </c>
    </row>
    <row r="3220" spans="1:5" ht="13" x14ac:dyDescent="0.15">
      <c r="A3220" s="5" t="s">
        <v>3290</v>
      </c>
      <c r="D3220" t="str">
        <f ca="1">IFERROR(__xludf.DUMMYFUNCTION("split(A3220,""("")"),"The UCB Show ")</f>
        <v xml:space="preserve">The UCB Show </v>
      </c>
      <c r="E3220" t="str">
        <f ca="1">IFERROR(__xludf.DUMMYFUNCTION("""COMPUTED_VALUE"""),"TV Series 2016– )")</f>
        <v>TV Series 2016– )</v>
      </c>
    </row>
    <row r="3221" spans="1:5" ht="13" x14ac:dyDescent="0.15">
      <c r="A3221" s="5" t="s">
        <v>3291</v>
      </c>
      <c r="D3221" t="str">
        <f ca="1">IFERROR(__xludf.DUMMYFUNCTION("split(A3221,""("")"),"The Ultimate Fighter ")</f>
        <v xml:space="preserve">The Ultimate Fighter </v>
      </c>
      <c r="E3221" t="str">
        <f ca="1">IFERROR(__xludf.DUMMYFUNCTION("""COMPUTED_VALUE"""),"TV Series 2005– )")</f>
        <v>TV Series 2005– )</v>
      </c>
    </row>
    <row r="3222" spans="1:5" ht="13" x14ac:dyDescent="0.15">
      <c r="A3222" s="5" t="s">
        <v>166</v>
      </c>
      <c r="D3222" t="str">
        <f ca="1">IFERROR(__xludf.DUMMYFUNCTION("split(A3222,""("")"),"The Umbrella Academy ")</f>
        <v xml:space="preserve">The Umbrella Academy </v>
      </c>
      <c r="E3222" t="str">
        <f ca="1">IFERROR(__xludf.DUMMYFUNCTION("""COMPUTED_VALUE"""),"TV Series 2019– )")</f>
        <v>TV Series 2019– )</v>
      </c>
    </row>
    <row r="3223" spans="1:5" ht="13" x14ac:dyDescent="0.15">
      <c r="A3223" s="5" t="s">
        <v>3292</v>
      </c>
      <c r="D3223" t="str">
        <f ca="1">IFERROR(__xludf.DUMMYFUNCTION("split(A3223,""("")"),"The Unicorn ")</f>
        <v xml:space="preserve">The Unicorn </v>
      </c>
      <c r="E3223" t="str">
        <f ca="1">IFERROR(__xludf.DUMMYFUNCTION("""COMPUTED_VALUE"""),"TV Series 2019– )")</f>
        <v>TV Series 2019– )</v>
      </c>
    </row>
    <row r="3224" spans="1:5" ht="13" x14ac:dyDescent="0.15">
      <c r="A3224" s="5" t="s">
        <v>3293</v>
      </c>
      <c r="D3224" t="str">
        <f ca="1">IFERROR(__xludf.DUMMYFUNCTION("split(A3224,""("")"),"The Universe ")</f>
        <v xml:space="preserve">The Universe </v>
      </c>
      <c r="E3224" t="str">
        <f ca="1">IFERROR(__xludf.DUMMYFUNCTION("""COMPUTED_VALUE"""),"TV Series 2007– )")</f>
        <v>TV Series 2007– )</v>
      </c>
    </row>
    <row r="3225" spans="1:5" ht="13" x14ac:dyDescent="0.15">
      <c r="A3225" s="5" t="s">
        <v>455</v>
      </c>
      <c r="D3225" t="str">
        <f ca="1">IFERROR(__xludf.DUMMYFUNCTION("split(A3225,""("")"),"The Untouchables ")</f>
        <v xml:space="preserve">The Untouchables </v>
      </c>
      <c r="E3225" t="str">
        <f ca="1">IFERROR(__xludf.DUMMYFUNCTION("""COMPUTED_VALUE"""),"TV Series 1993–1994)")</f>
        <v>TV Series 1993–1994)</v>
      </c>
    </row>
    <row r="3226" spans="1:5" ht="13" x14ac:dyDescent="0.15">
      <c r="A3226" s="5" t="s">
        <v>3294</v>
      </c>
      <c r="D3226" t="str">
        <f ca="1">IFERROR(__xludf.DUMMYFUNCTION("split(A3226,""("")"),"The Uptown Comedy Club ")</f>
        <v xml:space="preserve">The Uptown Comedy Club </v>
      </c>
      <c r="E3226" t="str">
        <f ca="1">IFERROR(__xludf.DUMMYFUNCTION("""COMPUTED_VALUE"""),"TV Series 1992–1994)")</f>
        <v>TV Series 1992–1994)</v>
      </c>
    </row>
    <row r="3227" spans="1:5" ht="13" x14ac:dyDescent="0.15">
      <c r="A3227" s="5" t="s">
        <v>27</v>
      </c>
      <c r="D3227" t="str">
        <f ca="1">IFERROR(__xludf.DUMMYFUNCTION("split(A3227,""("")"),"The Vampire Diaries ")</f>
        <v xml:space="preserve">The Vampire Diaries </v>
      </c>
      <c r="E3227" t="str">
        <f ca="1">IFERROR(__xludf.DUMMYFUNCTION("""COMPUTED_VALUE"""),"TV Series 2009–2017)")</f>
        <v>TV Series 2009–2017)</v>
      </c>
    </row>
    <row r="3228" spans="1:5" ht="13" x14ac:dyDescent="0.15">
      <c r="A3228" s="5" t="s">
        <v>3295</v>
      </c>
      <c r="D3228" t="str">
        <f ca="1">IFERROR(__xludf.DUMMYFUNCTION("split(A3228,""("")"),"The Venture Bros. ")</f>
        <v xml:space="preserve">The Venture Bros. </v>
      </c>
      <c r="E3228" t="str">
        <f ca="1">IFERROR(__xludf.DUMMYFUNCTION("""COMPUTED_VALUE"""),"TV Series 2003– )")</f>
        <v>TV Series 2003– )</v>
      </c>
    </row>
    <row r="3229" spans="1:5" ht="13" x14ac:dyDescent="0.15">
      <c r="A3229" s="5" t="s">
        <v>3296</v>
      </c>
      <c r="D3229" t="str">
        <f ca="1">IFERROR(__xludf.DUMMYFUNCTION("split(A3229,""("")"),"The Vicar of Dibley ")</f>
        <v xml:space="preserve">The Vicar of Dibley </v>
      </c>
      <c r="E3229" t="str">
        <f ca="1">IFERROR(__xludf.DUMMYFUNCTION("""COMPUTED_VALUE"""),"TV Series 1994–2015)")</f>
        <v>TV Series 1994–2015)</v>
      </c>
    </row>
    <row r="3230" spans="1:5" ht="13" x14ac:dyDescent="0.15">
      <c r="A3230" s="5" t="s">
        <v>3297</v>
      </c>
      <c r="D3230" t="str">
        <f ca="1">IFERROR(__xludf.DUMMYFUNCTION("split(A3230,""("")"),"The Vice ")</f>
        <v xml:space="preserve">The Vice </v>
      </c>
      <c r="E3230" t="str">
        <f ca="1">IFERROR(__xludf.DUMMYFUNCTION("""COMPUTED_VALUE"""),"TV Series 1999–2003)")</f>
        <v>TV Series 1999–2003)</v>
      </c>
    </row>
    <row r="3231" spans="1:5" ht="13" x14ac:dyDescent="0.15">
      <c r="A3231" s="5" t="s">
        <v>3298</v>
      </c>
      <c r="D3231" t="str">
        <f ca="1">IFERROR(__xludf.DUMMYFUNCTION("split(A3231,""("")"),"The Villa ")</f>
        <v xml:space="preserve">The Villa </v>
      </c>
      <c r="E3231" t="str">
        <f ca="1">IFERROR(__xludf.DUMMYFUNCTION("""COMPUTED_VALUE"""),"TV Series 1999–2003)")</f>
        <v>TV Series 1999–2003)</v>
      </c>
    </row>
    <row r="3232" spans="1:5" ht="13" x14ac:dyDescent="0.15">
      <c r="A3232" s="5" t="s">
        <v>3299</v>
      </c>
      <c r="D3232" t="str">
        <f ca="1">IFERROR(__xludf.DUMMYFUNCTION("split(A3232,""("")"),"The Village ")</f>
        <v xml:space="preserve">The Village </v>
      </c>
      <c r="E3232" t="str">
        <f ca="1">IFERROR(__xludf.DUMMYFUNCTION("""COMPUTED_VALUE"""),"TV Series 2013– )")</f>
        <v>TV Series 2013– )</v>
      </c>
    </row>
    <row r="3233" spans="1:5" ht="13" x14ac:dyDescent="0.15">
      <c r="A3233" s="5" t="s">
        <v>3300</v>
      </c>
      <c r="D3233" t="str">
        <f ca="1">IFERROR(__xludf.DUMMYFUNCTION("split(A3233,""("")"),"The Visitors ")</f>
        <v xml:space="preserve">The Visitors </v>
      </c>
      <c r="E3233" t="str">
        <f ca="1">IFERROR(__xludf.DUMMYFUNCTION("""COMPUTED_VALUE"""),"TV Series 1983– )")</f>
        <v>TV Series 1983– )</v>
      </c>
    </row>
    <row r="3234" spans="1:5" ht="13" x14ac:dyDescent="0.15">
      <c r="A3234" s="5" t="s">
        <v>3301</v>
      </c>
      <c r="D3234" t="str">
        <f ca="1">IFERROR(__xludf.DUMMYFUNCTION("split(A3234,""("")"),"The Voice ")</f>
        <v xml:space="preserve">The Voice </v>
      </c>
      <c r="E3234" t="str">
        <f ca="1">IFERROR(__xludf.DUMMYFUNCTION("""COMPUTED_VALUE"""),"TV Series 2011– )")</f>
        <v>TV Series 2011– )</v>
      </c>
    </row>
    <row r="3235" spans="1:5" ht="13" x14ac:dyDescent="0.15">
      <c r="A3235" s="5" t="s">
        <v>109</v>
      </c>
      <c r="D3235" t="str">
        <f ca="1">IFERROR(__xludf.DUMMYFUNCTION("split(A3235,""("")"),"The Walking Dead ")</f>
        <v xml:space="preserve">The Walking Dead </v>
      </c>
      <c r="E3235" t="str">
        <f ca="1">IFERROR(__xludf.DUMMYFUNCTION("""COMPUTED_VALUE"""),"TV Series 2010– )")</f>
        <v>TV Series 2010– )</v>
      </c>
    </row>
    <row r="3236" spans="1:5" ht="13" x14ac:dyDescent="0.15">
      <c r="A3236" s="5" t="s">
        <v>3302</v>
      </c>
      <c r="D3236" t="str">
        <f ca="1">IFERROR(__xludf.DUMMYFUNCTION("split(A3236,""("")"),"The War at Home ")</f>
        <v xml:space="preserve">The War at Home </v>
      </c>
      <c r="E3236" t="str">
        <f ca="1">IFERROR(__xludf.DUMMYFUNCTION("""COMPUTED_VALUE"""),"TV Series 2005–2007)")</f>
        <v>TV Series 2005–2007)</v>
      </c>
    </row>
    <row r="3237" spans="1:5" ht="13" x14ac:dyDescent="0.15">
      <c r="A3237" s="5" t="s">
        <v>3303</v>
      </c>
      <c r="D3237" t="str">
        <f ca="1">IFERROR(__xludf.DUMMYFUNCTION("split(A3237,""("")"),"The Water Whispers ")</f>
        <v xml:space="preserve">The Water Whispers </v>
      </c>
      <c r="E3237" t="str">
        <f ca="1">IFERROR(__xludf.DUMMYFUNCTION("""COMPUTED_VALUE"""),"TV Series 2012– )")</f>
        <v>TV Series 2012– )</v>
      </c>
    </row>
    <row r="3238" spans="1:5" ht="13" x14ac:dyDescent="0.15">
      <c r="A3238" s="5" t="s">
        <v>242</v>
      </c>
      <c r="D3238" t="str">
        <f ca="1">IFERROR(__xludf.DUMMYFUNCTION("split(A3238,""("")"),"The Wayans Bros. ")</f>
        <v xml:space="preserve">The Wayans Bros. </v>
      </c>
      <c r="E3238" t="str">
        <f ca="1">IFERROR(__xludf.DUMMYFUNCTION("""COMPUTED_VALUE"""),"TV Series 1995–1999)")</f>
        <v>TV Series 1995–1999)</v>
      </c>
    </row>
    <row r="3239" spans="1:5" ht="13" x14ac:dyDescent="0.15">
      <c r="A3239" s="5" t="s">
        <v>258</v>
      </c>
      <c r="D3239" t="str">
        <f ca="1">IFERROR(__xludf.DUMMYFUNCTION("split(A3239,""("")"),"The West Wing ")</f>
        <v xml:space="preserve">The West Wing </v>
      </c>
      <c r="E3239" t="str">
        <f ca="1">IFERROR(__xludf.DUMMYFUNCTION("""COMPUTED_VALUE"""),"TV Series 1999–2006)")</f>
        <v>TV Series 1999–2006)</v>
      </c>
    </row>
    <row r="3240" spans="1:5" ht="13" x14ac:dyDescent="0.15">
      <c r="A3240" s="5" t="s">
        <v>3304</v>
      </c>
      <c r="D3240" t="str">
        <f ca="1">IFERROR(__xludf.DUMMYFUNCTION("split(A3240,""("")"),"The White Slave ")</f>
        <v xml:space="preserve">The White Slave </v>
      </c>
      <c r="E3240" t="str">
        <f ca="1">IFERROR(__xludf.DUMMYFUNCTION("""COMPUTED_VALUE"""),"TV Series 2016– )")</f>
        <v>TV Series 2016– )</v>
      </c>
    </row>
    <row r="3241" spans="1:5" ht="13" x14ac:dyDescent="0.15">
      <c r="A3241" s="5" t="s">
        <v>3305</v>
      </c>
      <c r="D3241" t="str">
        <f ca="1">IFERROR(__xludf.DUMMYFUNCTION("split(A3241,""("")"),"The Whitest Kids U'Know ")</f>
        <v xml:space="preserve">The Whitest Kids U'Know </v>
      </c>
      <c r="E3241" t="str">
        <f ca="1">IFERROR(__xludf.DUMMYFUNCTION("""COMPUTED_VALUE"""),"TV Series 2007–2011)")</f>
        <v>TV Series 2007–2011)</v>
      </c>
    </row>
    <row r="3242" spans="1:5" ht="13" x14ac:dyDescent="0.15">
      <c r="A3242" s="5" t="s">
        <v>3306</v>
      </c>
      <c r="D3242" t="str">
        <f ca="1">IFERROR(__xludf.DUMMYFUNCTION("split(A3242,""("")"),"The Widow ")</f>
        <v xml:space="preserve">The Widow </v>
      </c>
      <c r="E3242" t="str">
        <f ca="1">IFERROR(__xludf.DUMMYFUNCTION("""COMPUTED_VALUE"""),"TV Series 2019)")</f>
        <v>TV Series 2019)</v>
      </c>
    </row>
    <row r="3243" spans="1:5" ht="13" x14ac:dyDescent="0.15">
      <c r="A3243" s="5" t="s">
        <v>167</v>
      </c>
      <c r="D3243" t="str">
        <f ca="1">IFERROR(__xludf.DUMMYFUNCTION("split(A3243,""("")"),"The Wild Thornberrys ")</f>
        <v xml:space="preserve">The Wild Thornberrys </v>
      </c>
      <c r="E3243" t="str">
        <f ca="1">IFERROR(__xludf.DUMMYFUNCTION("""COMPUTED_VALUE"""),"TV Series 1998–2004)")</f>
        <v>TV Series 1998–2004)</v>
      </c>
    </row>
    <row r="3244" spans="1:5" ht="13" x14ac:dyDescent="0.15">
      <c r="A3244" s="5" t="s">
        <v>3307</v>
      </c>
      <c r="D3244" t="str">
        <f ca="1">IFERROR(__xludf.DUMMYFUNCTION("split(A3244,""("")"),"The Wine Trails of Australia ")</f>
        <v xml:space="preserve">The Wine Trails of Australia </v>
      </c>
      <c r="E3244" t="str">
        <f ca="1">IFERROR(__xludf.DUMMYFUNCTION("""COMPUTED_VALUE"""),"TV Series 2005)")</f>
        <v>TV Series 2005)</v>
      </c>
    </row>
    <row r="3245" spans="1:5" ht="13" x14ac:dyDescent="0.15">
      <c r="A3245" s="5" t="s">
        <v>3308</v>
      </c>
      <c r="D3245" t="str">
        <f ca="1">IFERROR(__xludf.DUMMYFUNCTION("split(A3245,""("")"),"The Winjin' Pom ")</f>
        <v xml:space="preserve">The Winjin' Pom </v>
      </c>
      <c r="E3245" t="str">
        <f ca="1">IFERROR(__xludf.DUMMYFUNCTION("""COMPUTED_VALUE"""),"TV Series 1991– )")</f>
        <v>TV Series 1991– )</v>
      </c>
    </row>
    <row r="3246" spans="1:5" ht="13" x14ac:dyDescent="0.15">
      <c r="A3246" s="5" t="s">
        <v>3309</v>
      </c>
      <c r="D3246" t="str">
        <f ca="1">IFERROR(__xludf.DUMMYFUNCTION("split(A3246,""("")"),"The Winner Is ")</f>
        <v xml:space="preserve">The Winner Is </v>
      </c>
      <c r="E3246" t="str">
        <f ca="1">IFERROR(__xludf.DUMMYFUNCTION("""COMPUTED_VALUE"""),"TV Series 2012– )")</f>
        <v>TV Series 2012– )</v>
      </c>
    </row>
    <row r="3247" spans="1:5" ht="13" x14ac:dyDescent="0.15">
      <c r="A3247" s="5" t="s">
        <v>243</v>
      </c>
      <c r="D3247" t="str">
        <f ca="1">IFERROR(__xludf.DUMMYFUNCTION("split(A3247,""("")"),"The Wire ")</f>
        <v xml:space="preserve">The Wire </v>
      </c>
      <c r="E3247" t="str">
        <f ca="1">IFERROR(__xludf.DUMMYFUNCTION("""COMPUTED_VALUE"""),"TV Series 2002–2008)")</f>
        <v>TV Series 2002–2008)</v>
      </c>
    </row>
    <row r="3248" spans="1:5" ht="13" x14ac:dyDescent="0.15">
      <c r="A3248" s="5" t="s">
        <v>11</v>
      </c>
      <c r="D3248" t="str">
        <f ca="1">IFERROR(__xludf.DUMMYFUNCTION("split(A3248,""("")"),"The Witcher ")</f>
        <v xml:space="preserve">The Witcher </v>
      </c>
      <c r="E3248" t="str">
        <f ca="1">IFERROR(__xludf.DUMMYFUNCTION("""COMPUTED_VALUE"""),"TV Series 2019– )")</f>
        <v>TV Series 2019– )</v>
      </c>
    </row>
    <row r="3249" spans="1:5" ht="13" x14ac:dyDescent="0.15">
      <c r="A3249" s="5" t="s">
        <v>168</v>
      </c>
      <c r="D3249" t="str">
        <f ca="1">IFERROR(__xludf.DUMMYFUNCTION("split(A3249,""("")"),"The Wizard of Oz ")</f>
        <v xml:space="preserve">The Wizard of Oz </v>
      </c>
      <c r="E3249" t="str">
        <f ca="1">IFERROR(__xludf.DUMMYFUNCTION("""COMPUTED_VALUE"""),"TV Series 1990–1991)")</f>
        <v>TV Series 1990–1991)</v>
      </c>
    </row>
    <row r="3250" spans="1:5" ht="13" x14ac:dyDescent="0.15">
      <c r="A3250" s="5" t="s">
        <v>3310</v>
      </c>
      <c r="D3250" t="str">
        <f ca="1">IFERROR(__xludf.DUMMYFUNCTION("split(A3250,""("")"),"The Wonder Years ")</f>
        <v xml:space="preserve">The Wonder Years </v>
      </c>
      <c r="E3250" t="str">
        <f ca="1">IFERROR(__xludf.DUMMYFUNCTION("""COMPUTED_VALUE"""),"TV Series 1988–1993)")</f>
        <v>TV Series 1988–1993)</v>
      </c>
    </row>
    <row r="3251" spans="1:5" ht="13" x14ac:dyDescent="0.15">
      <c r="A3251" s="5" t="s">
        <v>169</v>
      </c>
      <c r="D3251" t="str">
        <f ca="1">IFERROR(__xludf.DUMMYFUNCTION("split(A3251,""("")"),"The Wonderful Wizard of Oz ")</f>
        <v xml:space="preserve">The Wonderful Wizard of Oz </v>
      </c>
      <c r="E3251" t="str">
        <f ca="1">IFERROR(__xludf.DUMMYFUNCTION("""COMPUTED_VALUE"""),"TV Series 1986–1987)")</f>
        <v>TV Series 1986–1987)</v>
      </c>
    </row>
    <row r="3252" spans="1:5" ht="13" x14ac:dyDescent="0.15">
      <c r="A3252" s="5" t="s">
        <v>296</v>
      </c>
      <c r="D3252" t="str">
        <f ca="1">IFERROR(__xludf.DUMMYFUNCTION("split(A3252,""("")"),"The World According to Jeff Goldblum ")</f>
        <v xml:space="preserve">The World According to Jeff Goldblum </v>
      </c>
      <c r="E3252" t="str">
        <f ca="1">IFERROR(__xludf.DUMMYFUNCTION("""COMPUTED_VALUE"""),"TV Series 2019– )")</f>
        <v>TV Series 2019– )</v>
      </c>
    </row>
    <row r="3253" spans="1:5" ht="13" x14ac:dyDescent="0.15">
      <c r="A3253" s="5" t="s">
        <v>3311</v>
      </c>
      <c r="D3253" t="str">
        <f ca="1">IFERROR(__xludf.DUMMYFUNCTION("split(A3253,""("")"),"The World Wars ")</f>
        <v xml:space="preserve">The World Wars </v>
      </c>
      <c r="E3253" t="str">
        <f ca="1">IFERROR(__xludf.DUMMYFUNCTION("""COMPUTED_VALUE"""),"TV Series 2014– )")</f>
        <v>TV Series 2014– )</v>
      </c>
    </row>
    <row r="3254" spans="1:5" ht="13" x14ac:dyDescent="0.15">
      <c r="A3254" s="5" t="s">
        <v>3312</v>
      </c>
      <c r="D3254" t="str">
        <f ca="1">IFERROR(__xludf.DUMMYFUNCTION("split(A3254,""("")"),"The Worst Witch ")</f>
        <v xml:space="preserve">The Worst Witch </v>
      </c>
      <c r="E3254" t="str">
        <f ca="1">IFERROR(__xludf.DUMMYFUNCTION("""COMPUTED_VALUE"""),"TV Series 1998–2001)")</f>
        <v>TV Series 1998–2001)</v>
      </c>
    </row>
    <row r="3255" spans="1:5" ht="13" x14ac:dyDescent="0.15">
      <c r="A3255" s="5" t="s">
        <v>110</v>
      </c>
      <c r="D3255" t="str">
        <f ca="1">IFERROR(__xludf.DUMMYFUNCTION("split(A3255,""("")"),"The Worst Witch ")</f>
        <v xml:space="preserve">The Worst Witch </v>
      </c>
      <c r="E3255" t="str">
        <f ca="1">IFERROR(__xludf.DUMMYFUNCTION("""COMPUTED_VALUE"""),"TV Series 2017– )")</f>
        <v>TV Series 2017– )</v>
      </c>
    </row>
    <row r="3256" spans="1:5" ht="13" x14ac:dyDescent="0.15">
      <c r="A3256" s="5" t="s">
        <v>3313</v>
      </c>
      <c r="D3256" t="str">
        <f ca="1">IFERROR(__xludf.DUMMYFUNCTION("split(A3256,""("")"),"The Wretched ")</f>
        <v xml:space="preserve">The Wretched </v>
      </c>
      <c r="E3256" t="str">
        <f ca="1">IFERROR(__xludf.DUMMYFUNCTION("""COMPUTED_VALUE"""),"TV Series 2018)")</f>
        <v>TV Series 2018)</v>
      </c>
    </row>
    <row r="3257" spans="1:5" ht="13" x14ac:dyDescent="0.15">
      <c r="A3257" s="5" t="s">
        <v>654</v>
      </c>
      <c r="D3257" t="str">
        <f ca="1">IFERROR(__xludf.DUMMYFUNCTION("split(A3257,""("")"),"The X Factor ")</f>
        <v xml:space="preserve">The X Factor </v>
      </c>
      <c r="E3257" t="str">
        <f ca="1">IFERROR(__xludf.DUMMYFUNCTION("""COMPUTED_VALUE"""),"TV Series 2011–2013)")</f>
        <v>TV Series 2011–2013)</v>
      </c>
    </row>
    <row r="3258" spans="1:5" ht="13" x14ac:dyDescent="0.15">
      <c r="A3258" s="5" t="s">
        <v>3314</v>
      </c>
      <c r="D3258" t="str">
        <f ca="1">IFERROR(__xludf.DUMMYFUNCTION("split(A3258,""("")"),"The X-Files ")</f>
        <v xml:space="preserve">The X-Files </v>
      </c>
      <c r="E3258" t="str">
        <f ca="1">IFERROR(__xludf.DUMMYFUNCTION("""COMPUTED_VALUE"""),"TV Series 1993–2018)")</f>
        <v>TV Series 1993–2018)</v>
      </c>
    </row>
    <row r="3259" spans="1:5" ht="13" x14ac:dyDescent="0.15">
      <c r="A3259" s="5" t="s">
        <v>456</v>
      </c>
      <c r="D3259" t="str">
        <f ca="1">IFERROR(__xludf.DUMMYFUNCTION("split(A3259,""("")"),"The Young Indiana Jones Chronicles ")</f>
        <v xml:space="preserve">The Young Indiana Jones Chronicles </v>
      </c>
      <c r="E3259" t="str">
        <f ca="1">IFERROR(__xludf.DUMMYFUNCTION("""COMPUTED_VALUE"""),"TV Series 1992–1993)")</f>
        <v>TV Series 1992–1993)</v>
      </c>
    </row>
    <row r="3260" spans="1:5" ht="13" x14ac:dyDescent="0.15">
      <c r="A3260" s="5" t="s">
        <v>3315</v>
      </c>
      <c r="D3260" t="str">
        <f ca="1">IFERROR(__xludf.DUMMYFUNCTION("split(A3260,""("")"),"The Young Ones ")</f>
        <v xml:space="preserve">The Young Ones </v>
      </c>
      <c r="E3260" t="str">
        <f ca="1">IFERROR(__xludf.DUMMYFUNCTION("""COMPUTED_VALUE"""),"TV Series 1982–1984)")</f>
        <v>TV Series 1982–1984)</v>
      </c>
    </row>
    <row r="3261" spans="1:5" ht="13" x14ac:dyDescent="0.15">
      <c r="A3261" s="5" t="s">
        <v>297</v>
      </c>
      <c r="D3261" t="str">
        <f ca="1">IFERROR(__xludf.DUMMYFUNCTION("split(A3261,""("")"),"The Young Pope ")</f>
        <v xml:space="preserve">The Young Pope </v>
      </c>
      <c r="E3261" t="str">
        <f ca="1">IFERROR(__xludf.DUMMYFUNCTION("""COMPUTED_VALUE"""),"TV Series 2016)")</f>
        <v>TV Series 2016)</v>
      </c>
    </row>
    <row r="3262" spans="1:5" ht="13" x14ac:dyDescent="0.15">
      <c r="A3262" s="5" t="s">
        <v>3316</v>
      </c>
      <c r="D3262" t="str">
        <f ca="1">IFERROR(__xludf.DUMMYFUNCTION("split(A3262,""("")"),"The Young Riders ")</f>
        <v xml:space="preserve">The Young Riders </v>
      </c>
      <c r="E3262" t="str">
        <f ca="1">IFERROR(__xludf.DUMMYFUNCTION("""COMPUTED_VALUE"""),"TV Series 1989–1992)")</f>
        <v>TV Series 1989–1992)</v>
      </c>
    </row>
    <row r="3263" spans="1:5" ht="13" x14ac:dyDescent="0.15">
      <c r="A3263" s="5" t="s">
        <v>3317</v>
      </c>
      <c r="D3263" t="str">
        <f ca="1">IFERROR(__xludf.DUMMYFUNCTION("split(A3263,""("")"),"Theatre Fantastique ")</f>
        <v xml:space="preserve">Theatre Fantastique </v>
      </c>
      <c r="E3263" t="str">
        <f ca="1">IFERROR(__xludf.DUMMYFUNCTION("""COMPUTED_VALUE"""),"TV Series 2014– )")</f>
        <v>TV Series 2014– )</v>
      </c>
    </row>
    <row r="3264" spans="1:5" ht="13" x14ac:dyDescent="0.15">
      <c r="A3264" s="5" t="s">
        <v>3318</v>
      </c>
      <c r="D3264" t="str">
        <f ca="1">IFERROR(__xludf.DUMMYFUNCTION("split(A3264,""("")"),"Third Watch ")</f>
        <v xml:space="preserve">Third Watch </v>
      </c>
      <c r="E3264" t="str">
        <f ca="1">IFERROR(__xludf.DUMMYFUNCTION("""COMPUTED_VALUE"""),"TV Series 1999–2005)")</f>
        <v>TV Series 1999–2005)</v>
      </c>
    </row>
    <row r="3265" spans="1:5" ht="13" x14ac:dyDescent="0.15">
      <c r="A3265" s="5" t="s">
        <v>3319</v>
      </c>
      <c r="D3265" t="str">
        <f ca="1">IFERROR(__xludf.DUMMYFUNCTION("split(A3265,""("")"),"This Country ")</f>
        <v xml:space="preserve">This Country </v>
      </c>
      <c r="E3265" t="str">
        <f ca="1">IFERROR(__xludf.DUMMYFUNCTION("""COMPUTED_VALUE"""),"TV Series 2017– )")</f>
        <v>TV Series 2017– )</v>
      </c>
    </row>
    <row r="3266" spans="1:5" ht="13" x14ac:dyDescent="0.15">
      <c r="A3266" s="5" t="s">
        <v>3320</v>
      </c>
      <c r="D3266" t="str">
        <f ca="1">IFERROR(__xludf.DUMMYFUNCTION("split(A3266,""("")"),"This Is Us ")</f>
        <v xml:space="preserve">This Is Us </v>
      </c>
      <c r="E3266" t="str">
        <f ca="1">IFERROR(__xludf.DUMMYFUNCTION("""COMPUTED_VALUE"""),"TV Series 2016– )")</f>
        <v>TV Series 2016– )</v>
      </c>
    </row>
    <row r="3267" spans="1:5" ht="13" x14ac:dyDescent="0.15">
      <c r="A3267" s="5" t="s">
        <v>3321</v>
      </c>
      <c r="D3267" t="str">
        <f ca="1">IFERROR(__xludf.DUMMYFUNCTION("split(A3267,""("")"),"This Life ")</f>
        <v xml:space="preserve">This Life </v>
      </c>
      <c r="E3267" t="str">
        <f ca="1">IFERROR(__xludf.DUMMYFUNCTION("""COMPUTED_VALUE"""),"TV Series 1996–1997)")</f>
        <v>TV Series 1996–1997)</v>
      </c>
    </row>
    <row r="3268" spans="1:5" ht="13" x14ac:dyDescent="0.15">
      <c r="A3268" s="5" t="s">
        <v>3322</v>
      </c>
      <c r="D3268" t="str">
        <f ca="1">IFERROR(__xludf.DUMMYFUNCTION("split(A3268,""("")"),"This Movie Sucks! ")</f>
        <v xml:space="preserve">This Movie Sucks! </v>
      </c>
      <c r="E3268" t="str">
        <f ca="1">IFERROR(__xludf.DUMMYFUNCTION("""COMPUTED_VALUE"""),"TV Series 2010– )")</f>
        <v>TV Series 2010– )</v>
      </c>
    </row>
    <row r="3269" spans="1:5" ht="13" x14ac:dyDescent="0.15">
      <c r="A3269" s="5" t="s">
        <v>3323</v>
      </c>
      <c r="D3269" t="str">
        <f ca="1">IFERROR(__xludf.DUMMYFUNCTION("split(A3269,""("")"),"Those Who Can't ")</f>
        <v xml:space="preserve">Those Who Can't </v>
      </c>
      <c r="E3269" t="str">
        <f ca="1">IFERROR(__xludf.DUMMYFUNCTION("""COMPUTED_VALUE"""),"TV Series 2016– )")</f>
        <v>TV Series 2016– )</v>
      </c>
    </row>
    <row r="3270" spans="1:5" ht="13" x14ac:dyDescent="0.15">
      <c r="A3270" s="5" t="s">
        <v>3324</v>
      </c>
      <c r="D3270" t="str">
        <f ca="1">IFERROR(__xludf.DUMMYFUNCTION("split(A3270,""("")"),"Those Who Hunt Elves ")</f>
        <v xml:space="preserve">Those Who Hunt Elves </v>
      </c>
      <c r="E3270" t="str">
        <f ca="1">IFERROR(__xludf.DUMMYFUNCTION("""COMPUTED_VALUE"""),"TV Series 1996– )")</f>
        <v>TV Series 1996– )</v>
      </c>
    </row>
    <row r="3271" spans="1:5" ht="13" x14ac:dyDescent="0.15">
      <c r="A3271" s="5" t="s">
        <v>3325</v>
      </c>
      <c r="D3271" t="str">
        <f ca="1">IFERROR(__xludf.DUMMYFUNCTION("split(A3271,""("")"),"Through the Wormhole ")</f>
        <v xml:space="preserve">Through the Wormhole </v>
      </c>
      <c r="E3271" t="str">
        <f ca="1">IFERROR(__xludf.DUMMYFUNCTION("""COMPUTED_VALUE"""),"TV Series 2010–2017)")</f>
        <v>TV Series 2010–2017)</v>
      </c>
    </row>
    <row r="3272" spans="1:5" ht="13" x14ac:dyDescent="0.15">
      <c r="A3272" s="5" t="s">
        <v>3326</v>
      </c>
      <c r="D3272" t="str">
        <f ca="1">IFERROR(__xludf.DUMMYFUNCTION("split(A3272,""("")"),"Thundarr the Barbarian ")</f>
        <v xml:space="preserve">Thundarr the Barbarian </v>
      </c>
      <c r="E3272" t="str">
        <f ca="1">IFERROR(__xludf.DUMMYFUNCTION("""COMPUTED_VALUE"""),"TV Series 1980–1981)")</f>
        <v>TV Series 1980–1981)</v>
      </c>
    </row>
    <row r="3273" spans="1:5" ht="13" x14ac:dyDescent="0.15">
      <c r="A3273" s="5" t="s">
        <v>3327</v>
      </c>
      <c r="D3273" t="str">
        <f ca="1">IFERROR(__xludf.DUMMYFUNCTION("split(A3273,""("")"),"Thundercats ")</f>
        <v xml:space="preserve">Thundercats </v>
      </c>
      <c r="E3273" t="str">
        <f ca="1">IFERROR(__xludf.DUMMYFUNCTION("""COMPUTED_VALUE"""),"TV Series 1985–1989)")</f>
        <v>TV Series 1985–1989)</v>
      </c>
    </row>
    <row r="3274" spans="1:5" ht="13" x14ac:dyDescent="0.15">
      <c r="A3274" s="5" t="s">
        <v>3328</v>
      </c>
      <c r="D3274" t="str">
        <f ca="1">IFERROR(__xludf.DUMMYFUNCTION("split(A3274,""("")"),"Thunderstone ")</f>
        <v xml:space="preserve">Thunderstone </v>
      </c>
      <c r="E3274" t="str">
        <f ca="1">IFERROR(__xludf.DUMMYFUNCTION("""COMPUTED_VALUE"""),"TV Series 1999–2000)")</f>
        <v>TV Series 1999–2000)</v>
      </c>
    </row>
    <row r="3275" spans="1:5" ht="13" x14ac:dyDescent="0.15">
      <c r="A3275" s="5" t="s">
        <v>3329</v>
      </c>
      <c r="D3275" t="str">
        <f ca="1">IFERROR(__xludf.DUMMYFUNCTION("split(A3275,""("")"),"Tidelands ")</f>
        <v xml:space="preserve">Tidelands </v>
      </c>
      <c r="E3275" t="str">
        <f ca="1">IFERROR(__xludf.DUMMYFUNCTION("""COMPUTED_VALUE"""),"TV Series 2018– )")</f>
        <v>TV Series 2018– )</v>
      </c>
    </row>
    <row r="3276" spans="1:5" ht="13" x14ac:dyDescent="0.15">
      <c r="A3276" s="8" t="s">
        <v>3330</v>
      </c>
      <c r="D3276" t="str">
        <f ca="1">IFERROR(__xludf.DUMMYFUNCTION("split(A3276,""("")"),"Til Death ")</f>
        <v xml:space="preserve">Til Death </v>
      </c>
      <c r="E3276" t="str">
        <f ca="1">IFERROR(__xludf.DUMMYFUNCTION("""COMPUTED_VALUE"""),"TV Series 2006–2010)")</f>
        <v>TV Series 2006–2010)</v>
      </c>
    </row>
    <row r="3277" spans="1:5" ht="13" x14ac:dyDescent="0.15">
      <c r="A3277" s="5" t="s">
        <v>3331</v>
      </c>
      <c r="D3277" t="str">
        <f ca="1">IFERROR(__xludf.DUMMYFUNCTION("split(A3277,""("")"),"Tim and Eric Awesome Show, Great Job! ")</f>
        <v xml:space="preserve">Tim and Eric Awesome Show, Great Job! </v>
      </c>
      <c r="E3277" t="str">
        <f ca="1">IFERROR(__xludf.DUMMYFUNCTION("""COMPUTED_VALUE"""),"TV Series 2007–2017)")</f>
        <v>TV Series 2007–2017)</v>
      </c>
    </row>
    <row r="3278" spans="1:5" ht="13" x14ac:dyDescent="0.15">
      <c r="A3278" s="5" t="s">
        <v>3332</v>
      </c>
      <c r="D3278" t="str">
        <f ca="1">IFERROR(__xludf.DUMMYFUNCTION("split(A3278,""("")"),"Tim and Eric Nite Live ")</f>
        <v xml:space="preserve">Tim and Eric Nite Live </v>
      </c>
      <c r="E3278" t="str">
        <f ca="1">IFERROR(__xludf.DUMMYFUNCTION("""COMPUTED_VALUE"""),"TV Series 2007– )")</f>
        <v>TV Series 2007– )</v>
      </c>
    </row>
    <row r="3279" spans="1:5" ht="13" x14ac:dyDescent="0.15">
      <c r="A3279" s="5" t="s">
        <v>3333</v>
      </c>
      <c r="D3279" t="str">
        <f ca="1">IFERROR(__xludf.DUMMYFUNCTION("split(A3279,""("")"),"Time Gentlemen Please ")</f>
        <v xml:space="preserve">Time Gentlemen Please </v>
      </c>
      <c r="E3279" t="str">
        <f ca="1">IFERROR(__xludf.DUMMYFUNCTION("""COMPUTED_VALUE"""),"TV Series 2000–2002)")</f>
        <v>TV Series 2000–2002)</v>
      </c>
    </row>
    <row r="3280" spans="1:5" ht="13" x14ac:dyDescent="0.15">
      <c r="A3280" s="5" t="s">
        <v>3334</v>
      </c>
      <c r="D3280" t="str">
        <f ca="1">IFERROR(__xludf.DUMMYFUNCTION("split(A3280,""("")"),"Time Team ")</f>
        <v xml:space="preserve">Time Team </v>
      </c>
      <c r="E3280" t="str">
        <f ca="1">IFERROR(__xludf.DUMMYFUNCTION("""COMPUTED_VALUE"""),"TV Series 1994–2014)")</f>
        <v>TV Series 1994–2014)</v>
      </c>
    </row>
    <row r="3281" spans="1:5" ht="13" x14ac:dyDescent="0.15">
      <c r="A3281" s="5" t="s">
        <v>3335</v>
      </c>
      <c r="D3281" t="str">
        <f ca="1">IFERROR(__xludf.DUMMYFUNCTION("split(A3281,""("")"),"Time to Eat with Nadiya ")</f>
        <v xml:space="preserve">Time to Eat with Nadiya </v>
      </c>
      <c r="E3281" t="str">
        <f ca="1">IFERROR(__xludf.DUMMYFUNCTION("""COMPUTED_VALUE"""),"TV Series 2019– )")</f>
        <v>TV Series 2019– )</v>
      </c>
    </row>
    <row r="3282" spans="1:5" ht="13" x14ac:dyDescent="0.15">
      <c r="A3282" s="5" t="s">
        <v>3336</v>
      </c>
      <c r="D3282" t="str">
        <f ca="1">IFERROR(__xludf.DUMMYFUNCTION("split(A3282,""("")"),"Timeless Love ")</f>
        <v xml:space="preserve">Timeless Love </v>
      </c>
      <c r="E3282" t="str">
        <f ca="1">IFERROR(__xludf.DUMMYFUNCTION("""COMPUTED_VALUE"""),"TV Series 2010– )")</f>
        <v>TV Series 2010– )</v>
      </c>
    </row>
    <row r="3283" spans="1:5" ht="13" x14ac:dyDescent="0.15">
      <c r="A3283" s="5" t="s">
        <v>3337</v>
      </c>
      <c r="D3283" t="str">
        <f ca="1">IFERROR(__xludf.DUMMYFUNCTION("split(A3283,""("")"),"Tin Star ")</f>
        <v xml:space="preserve">Tin Star </v>
      </c>
      <c r="E3283" t="str">
        <f ca="1">IFERROR(__xludf.DUMMYFUNCTION("""COMPUTED_VALUE"""),"TV Series 2017– )")</f>
        <v>TV Series 2017– )</v>
      </c>
    </row>
    <row r="3284" spans="1:5" ht="13" x14ac:dyDescent="0.15">
      <c r="A3284" s="5" t="s">
        <v>3338</v>
      </c>
      <c r="D3284" t="str">
        <f ca="1">IFERROR(__xludf.DUMMYFUNCTION("split(A3284,""("")"),"Tiny Toon Adventures ")</f>
        <v xml:space="preserve">Tiny Toon Adventures </v>
      </c>
      <c r="E3284" t="str">
        <f ca="1">IFERROR(__xludf.DUMMYFUNCTION("""COMPUTED_VALUE"""),"TV Series 1990–1995)")</f>
        <v>TV Series 1990–1995)</v>
      </c>
    </row>
    <row r="3285" spans="1:5" ht="13" x14ac:dyDescent="0.15">
      <c r="A3285" s="5" t="s">
        <v>3339</v>
      </c>
      <c r="D3285" t="str">
        <f ca="1">IFERROR(__xludf.DUMMYFUNCTION("split(A3285,""("")"),"Titans ")</f>
        <v xml:space="preserve">Titans </v>
      </c>
      <c r="E3285" t="str">
        <f ca="1">IFERROR(__xludf.DUMMYFUNCTION("""COMPUTED_VALUE"""),"TV Series 2000–2001)")</f>
        <v>TV Series 2000–2001)</v>
      </c>
    </row>
    <row r="3286" spans="1:5" ht="13" x14ac:dyDescent="0.15">
      <c r="A3286" s="5" t="s">
        <v>3340</v>
      </c>
      <c r="D3286" t="str">
        <f ca="1">IFERROR(__xludf.DUMMYFUNCTION("split(A3286,""("")"),"Titus ")</f>
        <v xml:space="preserve">Titus </v>
      </c>
      <c r="E3286" t="str">
        <f ca="1">IFERROR(__xludf.DUMMYFUNCTION("""COMPUTED_VALUE"""),"TV Series 2000–2002)")</f>
        <v>TV Series 2000–2002)</v>
      </c>
    </row>
    <row r="3287" spans="1:5" ht="13" x14ac:dyDescent="0.15">
      <c r="A3287" s="5" t="s">
        <v>3341</v>
      </c>
      <c r="D3287" t="str">
        <f ca="1">IFERROR(__xludf.DUMMYFUNCTION("split(A3287,""("")"),"To Heart ")</f>
        <v xml:space="preserve">To Heart </v>
      </c>
      <c r="E3287" t="str">
        <f ca="1">IFERROR(__xludf.DUMMYFUNCTION("""COMPUTED_VALUE"""),"TV Series 1999– )")</f>
        <v>TV Series 1999– )</v>
      </c>
    </row>
    <row r="3288" spans="1:5" ht="13" x14ac:dyDescent="0.15">
      <c r="A3288" s="5" t="s">
        <v>3342</v>
      </c>
      <c r="D3288" t="str">
        <f ca="1">IFERROR(__xludf.DUMMYFUNCTION("split(A3288,""("")"),"Today Is Maria's Day ")</f>
        <v xml:space="preserve">Today Is Maria's Day </v>
      </c>
      <c r="E3288" t="str">
        <f ca="1">IFERROR(__xludf.DUMMYFUNCTION("""COMPUTED_VALUE"""),"TV Series 2005)")</f>
        <v>TV Series 2005)</v>
      </c>
    </row>
    <row r="3289" spans="1:5" ht="13" x14ac:dyDescent="0.15">
      <c r="A3289" s="5" t="s">
        <v>3343</v>
      </c>
      <c r="D3289" t="str">
        <f ca="1">IFERROR(__xludf.DUMMYFUNCTION("split(A3289,""("")"),"Todd and the Book of Pure Evil ")</f>
        <v xml:space="preserve">Todd and the Book of Pure Evil </v>
      </c>
      <c r="E3289" t="str">
        <f ca="1">IFERROR(__xludf.DUMMYFUNCTION("""COMPUTED_VALUE"""),"TV Series 2010– )")</f>
        <v>TV Series 2010– )</v>
      </c>
    </row>
    <row r="3290" spans="1:5" ht="13" x14ac:dyDescent="0.15">
      <c r="A3290" s="5" t="s">
        <v>102</v>
      </c>
      <c r="D3290" t="str">
        <f ca="1">IFERROR(__xludf.DUMMYFUNCTION("split(A3290,""("")"),"Todd McFarlane's Spawn ")</f>
        <v xml:space="preserve">Todd McFarlane's Spawn </v>
      </c>
      <c r="E3290" t="str">
        <f ca="1">IFERROR(__xludf.DUMMYFUNCTION("""COMPUTED_VALUE"""),"TV Series 1997–1999)")</f>
        <v>TV Series 1997–1999)</v>
      </c>
    </row>
    <row r="3291" spans="1:5" ht="13" x14ac:dyDescent="0.15">
      <c r="A3291" s="5" t="s">
        <v>3344</v>
      </c>
      <c r="D3291" t="str">
        <f ca="1">IFERROR(__xludf.DUMMYFUNCTION("split(A3291,""("")"),"Tôka gettan ")</f>
        <v xml:space="preserve">Tôka gettan </v>
      </c>
      <c r="E3291" t="str">
        <f ca="1">IFERROR(__xludf.DUMMYFUNCTION("""COMPUTED_VALUE"""),"TV Series 2007– )")</f>
        <v>TV Series 2007– )</v>
      </c>
    </row>
    <row r="3292" spans="1:5" ht="13" x14ac:dyDescent="0.15">
      <c r="A3292" s="5" t="s">
        <v>3345</v>
      </c>
      <c r="D3292" t="str">
        <f ca="1">IFERROR(__xludf.DUMMYFUNCTION("split(A3292,""("")"),"Tokio Private Police ")</f>
        <v xml:space="preserve">Tokio Private Police </v>
      </c>
      <c r="E3292" t="str">
        <f ca="1">IFERROR(__xludf.DUMMYFUNCTION("""COMPUTED_VALUE"""),"TV Series 1997– )")</f>
        <v>TV Series 1997– )</v>
      </c>
    </row>
    <row r="3293" spans="1:5" ht="13" x14ac:dyDescent="0.15">
      <c r="A3293" s="5" t="s">
        <v>3346</v>
      </c>
      <c r="D3293" t="str">
        <f ca="1">IFERROR(__xludf.DUMMYFUNCTION("split(A3293,""("")"),"Toledo ")</f>
        <v xml:space="preserve">Toledo </v>
      </c>
      <c r="E3293" t="str">
        <f ca="1">IFERROR(__xludf.DUMMYFUNCTION("""COMPUTED_VALUE"""),"TV Series 2012)")</f>
        <v>TV Series 2012)</v>
      </c>
    </row>
    <row r="3294" spans="1:5" ht="13" x14ac:dyDescent="0.15">
      <c r="A3294" s="5" t="s">
        <v>20</v>
      </c>
      <c r="D3294" t="str">
        <f ca="1">IFERROR(__xludf.DUMMYFUNCTION("split(A3294,""("")"),"Tom Clancy's Jack Ryan ")</f>
        <v xml:space="preserve">Tom Clancy's Jack Ryan </v>
      </c>
      <c r="E3294" t="str">
        <f ca="1">IFERROR(__xludf.DUMMYFUNCTION("""COMPUTED_VALUE"""),"TV Series 2018– )")</f>
        <v>TV Series 2018– )</v>
      </c>
    </row>
    <row r="3295" spans="1:5" ht="13" x14ac:dyDescent="0.15">
      <c r="A3295" s="5" t="s">
        <v>3347</v>
      </c>
      <c r="D3295" t="str">
        <f ca="1">IFERROR(__xludf.DUMMYFUNCTION("split(A3295,""("")"),"Tom Daley ")</f>
        <v xml:space="preserve">Tom Daley </v>
      </c>
      <c r="E3295" t="str">
        <f ca="1">IFERROR(__xludf.DUMMYFUNCTION("""COMPUTED_VALUE"""),"TV Series 2010– )")</f>
        <v>TV Series 2010– )</v>
      </c>
    </row>
    <row r="3296" spans="1:5" ht="13" x14ac:dyDescent="0.15">
      <c r="A3296" s="5" t="s">
        <v>3348</v>
      </c>
      <c r="D3296" t="str">
        <f ca="1">IFERROR(__xludf.DUMMYFUNCTION("split(A3296,""("")"),"Tomás Mike Pernica ")</f>
        <v xml:space="preserve">Tomás Mike Pernica </v>
      </c>
      <c r="E3296" t="str">
        <f ca="1">IFERROR(__xludf.DUMMYFUNCTION("""COMPUTED_VALUE"""),"TV Series 2015– )")</f>
        <v>TV Series 2015– )</v>
      </c>
    </row>
    <row r="3297" spans="1:5" ht="13" x14ac:dyDescent="0.15">
      <c r="A3297" s="5" t="s">
        <v>3349</v>
      </c>
      <c r="D3297" t="str">
        <f ca="1">IFERROR(__xludf.DUMMYFUNCTION("split(A3297,""("")"),"Toopy &amp; Binoo ")</f>
        <v xml:space="preserve">Toopy &amp; Binoo </v>
      </c>
      <c r="E3297" t="str">
        <f ca="1">IFERROR(__xludf.DUMMYFUNCTION("""COMPUTED_VALUE"""),"TV Series 2005– )")</f>
        <v>TV Series 2005– )</v>
      </c>
    </row>
    <row r="3298" spans="1:5" ht="13" x14ac:dyDescent="0.15">
      <c r="A3298" s="5" t="s">
        <v>3350</v>
      </c>
      <c r="D3298" t="str">
        <f ca="1">IFERROR(__xludf.DUMMYFUNCTION("split(A3298,""("")"),"Top Chef ")</f>
        <v xml:space="preserve">Top Chef </v>
      </c>
      <c r="E3298" t="str">
        <f ca="1">IFERROR(__xludf.DUMMYFUNCTION("""COMPUTED_VALUE"""),"TV Series 2006– )")</f>
        <v>TV Series 2006– )</v>
      </c>
    </row>
    <row r="3299" spans="1:5" ht="13" x14ac:dyDescent="0.15">
      <c r="A3299" s="5" t="s">
        <v>3351</v>
      </c>
      <c r="D3299" t="str">
        <f ca="1">IFERROR(__xludf.DUMMYFUNCTION("split(A3299,""("")"),"Top Gear ")</f>
        <v xml:space="preserve">Top Gear </v>
      </c>
      <c r="E3299" t="str">
        <f ca="1">IFERROR(__xludf.DUMMYFUNCTION("""COMPUTED_VALUE"""),"TV Series 2002– )")</f>
        <v>TV Series 2002– )</v>
      </c>
    </row>
    <row r="3300" spans="1:5" ht="13" x14ac:dyDescent="0.15">
      <c r="A3300" s="5" t="s">
        <v>655</v>
      </c>
      <c r="D3300" t="str">
        <f ca="1">IFERROR(__xludf.DUMMYFUNCTION("split(A3300,""("")"),"Top Gear USA ")</f>
        <v xml:space="preserve">Top Gear USA </v>
      </c>
      <c r="E3300" t="str">
        <f ca="1">IFERROR(__xludf.DUMMYFUNCTION("""COMPUTED_VALUE"""),"TV Series 2008– )")</f>
        <v>TV Series 2008– )</v>
      </c>
    </row>
    <row r="3301" spans="1:5" ht="13" x14ac:dyDescent="0.15">
      <c r="A3301" s="5" t="s">
        <v>3352</v>
      </c>
      <c r="D3301" t="str">
        <f ca="1">IFERROR(__xludf.DUMMYFUNCTION("split(A3301,""("")"),"Torchwood ")</f>
        <v xml:space="preserve">Torchwood </v>
      </c>
      <c r="E3301" t="str">
        <f ca="1">IFERROR(__xludf.DUMMYFUNCTION("""COMPUTED_VALUE"""),"TV Series 2006–2011)")</f>
        <v>TV Series 2006–2011)</v>
      </c>
    </row>
    <row r="3302" spans="1:5" ht="13" x14ac:dyDescent="0.15">
      <c r="A3302" s="5" t="s">
        <v>3353</v>
      </c>
      <c r="D3302" t="str">
        <f ca="1">IFERROR(__xludf.DUMMYFUNCTION("split(A3302,""("")"),"Tosh.0 ")</f>
        <v xml:space="preserve">Tosh.0 </v>
      </c>
      <c r="E3302" t="str">
        <f ca="1">IFERROR(__xludf.DUMMYFUNCTION("""COMPUTED_VALUE"""),"TV Series 2009– )")</f>
        <v>TV Series 2009– )</v>
      </c>
    </row>
    <row r="3303" spans="1:5" ht="13" x14ac:dyDescent="0.15">
      <c r="A3303" s="5" t="s">
        <v>3354</v>
      </c>
      <c r="D3303" t="str">
        <f ca="1">IFERROR(__xludf.DUMMYFUNCTION("split(A3303,""("")"),"Toshi densetsu shirizu ")</f>
        <v xml:space="preserve">Toshi densetsu shirizu </v>
      </c>
      <c r="E3303" t="str">
        <f ca="1">IFERROR(__xludf.DUMMYFUNCTION("""COMPUTED_VALUE"""),"TV Series 2016– )")</f>
        <v>TV Series 2016– )</v>
      </c>
    </row>
    <row r="3304" spans="1:5" ht="13" x14ac:dyDescent="0.15">
      <c r="A3304" s="5" t="s">
        <v>3355</v>
      </c>
      <c r="D3304" t="str">
        <f ca="1">IFERROR(__xludf.DUMMYFUNCTION("split(A3304,""("")"),"Total Bellas ")</f>
        <v xml:space="preserve">Total Bellas </v>
      </c>
      <c r="E3304" t="str">
        <f ca="1">IFERROR(__xludf.DUMMYFUNCTION("""COMPUTED_VALUE"""),"TV Series 2016– )")</f>
        <v>TV Series 2016– )</v>
      </c>
    </row>
    <row r="3305" spans="1:5" ht="13" x14ac:dyDescent="0.15">
      <c r="A3305" s="5" t="s">
        <v>3356</v>
      </c>
      <c r="D3305" t="str">
        <f ca="1">IFERROR(__xludf.DUMMYFUNCTION("split(A3305,""("")"),"Total Divas ")</f>
        <v xml:space="preserve">Total Divas </v>
      </c>
      <c r="E3305" t="str">
        <f ca="1">IFERROR(__xludf.DUMMYFUNCTION("""COMPUTED_VALUE"""),"TV Series 2013– )")</f>
        <v>TV Series 2013– )</v>
      </c>
    </row>
    <row r="3306" spans="1:5" ht="13" x14ac:dyDescent="0.15">
      <c r="A3306" s="5" t="s">
        <v>3357</v>
      </c>
      <c r="D3306" t="str">
        <f ca="1">IFERROR(__xludf.DUMMYFUNCTION("split(A3306,""("")"),"Total Onslaught ")</f>
        <v xml:space="preserve">Total Onslaught </v>
      </c>
      <c r="E3306" t="str">
        <f ca="1">IFERROR(__xludf.DUMMYFUNCTION("""COMPUTED_VALUE"""),"TV Series 2004– )")</f>
        <v>TV Series 2004– )</v>
      </c>
    </row>
    <row r="3307" spans="1:5" ht="13" x14ac:dyDescent="0.15">
      <c r="A3307" s="5" t="s">
        <v>3358</v>
      </c>
      <c r="D3307" t="str">
        <f ca="1">IFERROR(__xludf.DUMMYFUNCTION("split(A3307,""("")"),"Total Wipeout ")</f>
        <v xml:space="preserve">Total Wipeout </v>
      </c>
      <c r="E3307" t="str">
        <f ca="1">IFERROR(__xludf.DUMMYFUNCTION("""COMPUTED_VALUE"""),"TV Series 2009–2012)")</f>
        <v>TV Series 2009–2012)</v>
      </c>
    </row>
    <row r="3308" spans="1:5" ht="13" x14ac:dyDescent="0.15">
      <c r="A3308" s="5" t="s">
        <v>3359</v>
      </c>
      <c r="D3308" t="str">
        <f ca="1">IFERROR(__xludf.DUMMYFUNCTION("split(A3308,""("")"),"Totally Spies! ")</f>
        <v xml:space="preserve">Totally Spies! </v>
      </c>
      <c r="E3308" t="str">
        <f ca="1">IFERROR(__xludf.DUMMYFUNCTION("""COMPUTED_VALUE"""),"TV Series 2001–2014)")</f>
        <v>TV Series 2001–2014)</v>
      </c>
    </row>
    <row r="3309" spans="1:5" ht="13" x14ac:dyDescent="0.15">
      <c r="A3309" s="5" t="s">
        <v>3360</v>
      </c>
      <c r="D3309" t="str">
        <f ca="1">IFERROR(__xludf.DUMMYFUNCTION("split(A3309,""("")"),"Townsend Television ")</f>
        <v xml:space="preserve">Townsend Television </v>
      </c>
      <c r="E3309" t="str">
        <f ca="1">IFERROR(__xludf.DUMMYFUNCTION("""COMPUTED_VALUE"""),"TV Series 1993– )")</f>
        <v>TV Series 1993– )</v>
      </c>
    </row>
    <row r="3310" spans="1:5" ht="13" x14ac:dyDescent="0.15">
      <c r="A3310" s="5" t="s">
        <v>3361</v>
      </c>
      <c r="D3310" t="str">
        <f ca="1">IFERROR(__xludf.DUMMYFUNCTION("split(A3310,""("")"),"Tracey Ullman's Show ")</f>
        <v xml:space="preserve">Tracey Ullman's Show </v>
      </c>
      <c r="E3310" t="str">
        <f ca="1">IFERROR(__xludf.DUMMYFUNCTION("""COMPUTED_VALUE"""),"TV Series 2016– )")</f>
        <v>TV Series 2016– )</v>
      </c>
    </row>
    <row r="3311" spans="1:5" ht="13" x14ac:dyDescent="0.15">
      <c r="A3311" s="5" t="s">
        <v>3362</v>
      </c>
      <c r="D3311" t="str">
        <f ca="1">IFERROR(__xludf.DUMMYFUNCTION("split(A3311,""("")"),"Trail of Lies ")</f>
        <v xml:space="preserve">Trail of Lies </v>
      </c>
      <c r="E3311" t="str">
        <f ca="1">IFERROR(__xludf.DUMMYFUNCTION("""COMPUTED_VALUE"""),"TV Series 2013–2014)")</f>
        <v>TV Series 2013–2014)</v>
      </c>
    </row>
    <row r="3312" spans="1:5" ht="13" x14ac:dyDescent="0.15">
      <c r="A3312" s="5" t="s">
        <v>3363</v>
      </c>
      <c r="D3312" t="str">
        <f ca="1">IFERROR(__xludf.DUMMYFUNCTION("split(A3312,""("")"),"Trailer Park Boys ")</f>
        <v xml:space="preserve">Trailer Park Boys </v>
      </c>
      <c r="E3312" t="str">
        <f ca="1">IFERROR(__xludf.DUMMYFUNCTION("""COMPUTED_VALUE"""),"TV Series 2001–2018)")</f>
        <v>TV Series 2001–2018)</v>
      </c>
    </row>
    <row r="3313" spans="1:5" ht="13" x14ac:dyDescent="0.15">
      <c r="A3313" s="5" t="s">
        <v>482</v>
      </c>
      <c r="D3313" t="str">
        <f ca="1">IFERROR(__xludf.DUMMYFUNCTION("split(A3313,""("")"),"Transformers Prime ")</f>
        <v xml:space="preserve">Transformers Prime </v>
      </c>
      <c r="E3313" t="str">
        <f ca="1">IFERROR(__xludf.DUMMYFUNCTION("""COMPUTED_VALUE"""),"TV Series 2010–2013)")</f>
        <v>TV Series 2010–2013)</v>
      </c>
    </row>
    <row r="3314" spans="1:5" ht="13" x14ac:dyDescent="0.15">
      <c r="A3314" s="5" t="s">
        <v>483</v>
      </c>
      <c r="D3314" t="str">
        <f ca="1">IFERROR(__xludf.DUMMYFUNCTION("split(A3314,""("")"),"Transformers: Armada ")</f>
        <v xml:space="preserve">Transformers: Armada </v>
      </c>
      <c r="E3314" t="str">
        <f ca="1">IFERROR(__xludf.DUMMYFUNCTION("""COMPUTED_VALUE"""),"TV Series 2002–2003)")</f>
        <v>TV Series 2002–2003)</v>
      </c>
    </row>
    <row r="3315" spans="1:5" ht="13" x14ac:dyDescent="0.15">
      <c r="A3315" s="5" t="s">
        <v>484</v>
      </c>
      <c r="D3315" t="str">
        <f ca="1">IFERROR(__xludf.DUMMYFUNCTION("split(A3315,""("")"),"Transformers: Energon ")</f>
        <v xml:space="preserve">Transformers: Energon </v>
      </c>
      <c r="E3315" t="str">
        <f ca="1">IFERROR(__xludf.DUMMYFUNCTION("""COMPUTED_VALUE"""),"TV Series 2004)")</f>
        <v>TV Series 2004)</v>
      </c>
    </row>
    <row r="3316" spans="1:5" ht="13" x14ac:dyDescent="0.15">
      <c r="A3316" s="5" t="s">
        <v>485</v>
      </c>
      <c r="D3316" t="str">
        <f ca="1">IFERROR(__xludf.DUMMYFUNCTION("split(A3316,""("")"),"Transformers: Robots in Disguise ")</f>
        <v xml:space="preserve">Transformers: Robots in Disguise </v>
      </c>
      <c r="E3316" t="str">
        <f ca="1">IFERROR(__xludf.DUMMYFUNCTION("""COMPUTED_VALUE"""),"TV Series 2000– )")</f>
        <v>TV Series 2000– )</v>
      </c>
    </row>
    <row r="3317" spans="1:5" ht="13" x14ac:dyDescent="0.15">
      <c r="A3317" s="5" t="s">
        <v>486</v>
      </c>
      <c r="D3317" t="str">
        <f ca="1">IFERROR(__xludf.DUMMYFUNCTION("split(A3317,""("")"),"Transformers: Robots in Disguise ")</f>
        <v xml:space="preserve">Transformers: Robots in Disguise </v>
      </c>
      <c r="E3317" t="str">
        <f ca="1">IFERROR(__xludf.DUMMYFUNCTION("""COMPUTED_VALUE"""),"TV Series 2014–2017)")</f>
        <v>TV Series 2014–2017)</v>
      </c>
    </row>
    <row r="3318" spans="1:5" ht="13" x14ac:dyDescent="0.15">
      <c r="A3318" s="5" t="s">
        <v>3364</v>
      </c>
      <c r="D3318" t="str">
        <f ca="1">IFERROR(__xludf.DUMMYFUNCTION("split(A3318,""("")"),"Travel Man: 48 Hours in... ")</f>
        <v xml:space="preserve">Travel Man: 48 Hours in... </v>
      </c>
      <c r="E3318" t="str">
        <f ca="1">IFERROR(__xludf.DUMMYFUNCTION("""COMPUTED_VALUE"""),"TV Series 2015– )")</f>
        <v>TV Series 2015– )</v>
      </c>
    </row>
    <row r="3319" spans="1:5" ht="13" x14ac:dyDescent="0.15">
      <c r="A3319" s="5" t="s">
        <v>3365</v>
      </c>
      <c r="D3319" t="str">
        <f ca="1">IFERROR(__xludf.DUMMYFUNCTION("split(A3319,""("")"),"Travels By Narrowboat ")</f>
        <v xml:space="preserve">Travels By Narrowboat </v>
      </c>
      <c r="E3319" t="str">
        <f ca="1">IFERROR(__xludf.DUMMYFUNCTION("""COMPUTED_VALUE"""),"TV Series 2018– )")</f>
        <v>TV Series 2018– )</v>
      </c>
    </row>
    <row r="3320" spans="1:5" ht="13" x14ac:dyDescent="0.15">
      <c r="A3320" s="5" t="s">
        <v>3366</v>
      </c>
      <c r="D3320" t="str">
        <f ca="1">IFERROR(__xludf.DUMMYFUNCTION("split(A3320,""("")"),"Treme ")</f>
        <v xml:space="preserve">Treme </v>
      </c>
      <c r="E3320" t="str">
        <f ca="1">IFERROR(__xludf.DUMMYFUNCTION("""COMPUTED_VALUE"""),"TV Series 2010–2013)")</f>
        <v>TV Series 2010–2013)</v>
      </c>
    </row>
    <row r="3321" spans="1:5" ht="13" x14ac:dyDescent="0.15">
      <c r="A3321" s="5" t="s">
        <v>3367</v>
      </c>
      <c r="D3321" t="str">
        <f ca="1">IFERROR(__xludf.DUMMYFUNCTION("split(A3321,""("")"),"Tresh-obzor ")</f>
        <v xml:space="preserve">Tresh-obzor </v>
      </c>
      <c r="E3321" t="str">
        <f ca="1">IFERROR(__xludf.DUMMYFUNCTION("""COMPUTED_VALUE"""),"TV Series 2012– )")</f>
        <v>TV Series 2012– )</v>
      </c>
    </row>
    <row r="3322" spans="1:5" ht="13" x14ac:dyDescent="0.15">
      <c r="A3322" s="5" t="s">
        <v>3368</v>
      </c>
      <c r="D3322" t="str">
        <f ca="1">IFERROR(__xludf.DUMMYFUNCTION("split(A3322,""("")"),"Trigun ")</f>
        <v xml:space="preserve">Trigun </v>
      </c>
      <c r="E3322" t="str">
        <f ca="1">IFERROR(__xludf.DUMMYFUNCTION("""COMPUTED_VALUE"""),"TV Series 1998)")</f>
        <v>TV Series 1998)</v>
      </c>
    </row>
    <row r="3323" spans="1:5" ht="13" x14ac:dyDescent="0.15">
      <c r="A3323" s="5" t="s">
        <v>3369</v>
      </c>
      <c r="D3323" t="str">
        <f ca="1">IFERROR(__xludf.DUMMYFUNCTION("split(A3323,""("")"),"Trinity ")</f>
        <v xml:space="preserve">Trinity </v>
      </c>
      <c r="E3323" t="str">
        <f ca="1">IFERROR(__xludf.DUMMYFUNCTION("""COMPUTED_VALUE"""),"TV Series 2009)")</f>
        <v>TV Series 2009)</v>
      </c>
    </row>
    <row r="3324" spans="1:5" ht="13" x14ac:dyDescent="0.15">
      <c r="A3324" s="5" t="s">
        <v>3370</v>
      </c>
      <c r="D3324" t="str">
        <f ca="1">IFERROR(__xludf.DUMMYFUNCTION("split(A3324,""("")"),"Tripping the Rift ")</f>
        <v xml:space="preserve">Tripping the Rift </v>
      </c>
      <c r="E3324" t="str">
        <f ca="1">IFERROR(__xludf.DUMMYFUNCTION("""COMPUTED_VALUE"""),"TV Series 2004–2007)")</f>
        <v>TV Series 2004–2007)</v>
      </c>
    </row>
    <row r="3325" spans="1:5" ht="13" x14ac:dyDescent="0.15">
      <c r="A3325" s="5" t="s">
        <v>3371</v>
      </c>
      <c r="D3325" t="str">
        <f ca="1">IFERROR(__xludf.DUMMYFUNCTION("split(A3325,""("")"),"Tropes vs. Women in Video Games ")</f>
        <v xml:space="preserve">Tropes vs. Women in Video Games </v>
      </c>
      <c r="E3325" t="str">
        <f ca="1">IFERROR(__xludf.DUMMYFUNCTION("""COMPUTED_VALUE"""),"TV Series 2013– )")</f>
        <v>TV Series 2013– )</v>
      </c>
    </row>
    <row r="3326" spans="1:5" ht="13" x14ac:dyDescent="0.15">
      <c r="A3326" s="5" t="s">
        <v>687</v>
      </c>
      <c r="D3326" t="str">
        <f ca="1">IFERROR(__xludf.DUMMYFUNCTION("split(A3326,""("")"),"Troy: Fall of a City ")</f>
        <v xml:space="preserve">Troy: Fall of a City </v>
      </c>
      <c r="E3326" t="str">
        <f ca="1">IFERROR(__xludf.DUMMYFUNCTION("""COMPUTED_VALUE"""),"TV Series 2018– )")</f>
        <v>TV Series 2018– )</v>
      </c>
    </row>
    <row r="3327" spans="1:5" ht="13" x14ac:dyDescent="0.15">
      <c r="A3327" s="5" t="s">
        <v>3372</v>
      </c>
      <c r="D3327" t="str">
        <f ca="1">IFERROR(__xludf.DUMMYFUNCTION("split(A3327,""("")"),"Trpaslík ")</f>
        <v xml:space="preserve">Trpaslík </v>
      </c>
      <c r="E3327" t="str">
        <f ca="1">IFERROR(__xludf.DUMMYFUNCTION("""COMPUTED_VALUE"""),"TV Series 2017– )")</f>
        <v>TV Series 2017– )</v>
      </c>
    </row>
    <row r="3328" spans="1:5" ht="13" x14ac:dyDescent="0.15">
      <c r="A3328" s="5" t="s">
        <v>3373</v>
      </c>
      <c r="D3328" t="str">
        <f ca="1">IFERROR(__xludf.DUMMYFUNCTION("split(A3328,""("")"),"Tru Calling ")</f>
        <v xml:space="preserve">Tru Calling </v>
      </c>
      <c r="E3328" t="str">
        <f ca="1">IFERROR(__xludf.DUMMYFUNCTION("""COMPUTED_VALUE"""),"TV Series 2003–2005)")</f>
        <v>TV Series 2003–2005)</v>
      </c>
    </row>
    <row r="3329" spans="1:5" ht="13" x14ac:dyDescent="0.15">
      <c r="A3329" s="5" t="s">
        <v>21</v>
      </c>
      <c r="D3329" t="str">
        <f ca="1">IFERROR(__xludf.DUMMYFUNCTION("split(A3329,""("")"),"True Blood ")</f>
        <v xml:space="preserve">True Blood </v>
      </c>
      <c r="E3329" t="str">
        <f ca="1">IFERROR(__xludf.DUMMYFUNCTION("""COMPUTED_VALUE"""),"TV Series 2008–2014)")</f>
        <v>TV Series 2008–2014)</v>
      </c>
    </row>
    <row r="3330" spans="1:5" ht="13" x14ac:dyDescent="0.15">
      <c r="A3330" s="5" t="s">
        <v>298</v>
      </c>
      <c r="D3330" t="str">
        <f ca="1">IFERROR(__xludf.DUMMYFUNCTION("split(A3330,""("")"),"True Detective ")</f>
        <v xml:space="preserve">True Detective </v>
      </c>
      <c r="E3330" t="str">
        <f ca="1">IFERROR(__xludf.DUMMYFUNCTION("""COMPUTED_VALUE"""),"TV Series 2014– )")</f>
        <v>TV Series 2014– )</v>
      </c>
    </row>
    <row r="3331" spans="1:5" ht="13" x14ac:dyDescent="0.15">
      <c r="A3331" s="5" t="s">
        <v>3374</v>
      </c>
      <c r="D3331" t="str">
        <f ca="1">IFERROR(__xludf.DUMMYFUNCTION("split(A3331,""("")"),"True Jackson, VP ")</f>
        <v xml:space="preserve">True Jackson, VP </v>
      </c>
      <c r="E3331" t="str">
        <f ca="1">IFERROR(__xludf.DUMMYFUNCTION("""COMPUTED_VALUE"""),"TV Series 2008–2011)")</f>
        <v>TV Series 2008–2011)</v>
      </c>
    </row>
    <row r="3332" spans="1:5" ht="13" x14ac:dyDescent="0.15">
      <c r="A3332" s="5" t="s">
        <v>3375</v>
      </c>
      <c r="D3332" t="str">
        <f ca="1">IFERROR(__xludf.DUMMYFUNCTION("split(A3332,""("")"),"True Justice ")</f>
        <v xml:space="preserve">True Justice </v>
      </c>
      <c r="E3332" t="str">
        <f ca="1">IFERROR(__xludf.DUMMYFUNCTION("""COMPUTED_VALUE"""),"TV Series 2010–2012)")</f>
        <v>TV Series 2010–2012)</v>
      </c>
    </row>
    <row r="3333" spans="1:5" ht="13" x14ac:dyDescent="0.15">
      <c r="A3333" s="5" t="s">
        <v>3376</v>
      </c>
      <c r="D3333" t="str">
        <f ca="1">IFERROR(__xludf.DUMMYFUNCTION("split(A3333,""("")"),"True Women ")</f>
        <v xml:space="preserve">True Women </v>
      </c>
      <c r="E3333" t="str">
        <f ca="1">IFERROR(__xludf.DUMMYFUNCTION("""COMPUTED_VALUE"""),"TV Movie 1997)")</f>
        <v>TV Movie 1997)</v>
      </c>
    </row>
    <row r="3334" spans="1:5" ht="13" x14ac:dyDescent="0.15">
      <c r="A3334" s="5" t="s">
        <v>3377</v>
      </c>
      <c r="D3334" t="str">
        <f ca="1">IFERROR(__xludf.DUMMYFUNCTION("split(A3334,""("")"),"Trust ")</f>
        <v xml:space="preserve">Trust </v>
      </c>
      <c r="E3334" t="str">
        <f ca="1">IFERROR(__xludf.DUMMYFUNCTION("""COMPUTED_VALUE"""),"TV Series 2018– )")</f>
        <v>TV Series 2018– )</v>
      </c>
    </row>
    <row r="3335" spans="1:5" ht="13" x14ac:dyDescent="0.15">
      <c r="A3335" s="5" t="s">
        <v>3378</v>
      </c>
      <c r="D3335" t="str">
        <f ca="1">IFERROR(__xludf.DUMMYFUNCTION("split(A3335,""("")"),"Truthhorse ")</f>
        <v xml:space="preserve">Truthhorse </v>
      </c>
      <c r="E3335" t="str">
        <f ca="1">IFERROR(__xludf.DUMMYFUNCTION("""COMPUTED_VALUE"""),"TV Series 2004–2005)")</f>
        <v>TV Series 2004–2005)</v>
      </c>
    </row>
    <row r="3336" spans="1:5" ht="13" x14ac:dyDescent="0.15">
      <c r="A3336" s="5" t="s">
        <v>244</v>
      </c>
      <c r="D3336" t="str">
        <f ca="1">IFERROR(__xludf.DUMMYFUNCTION("split(A3336,""("")"),"Turn Up Charlie ")</f>
        <v xml:space="preserve">Turn Up Charlie </v>
      </c>
      <c r="E3336" t="str">
        <f ca="1">IFERROR(__xludf.DUMMYFUNCTION("""COMPUTED_VALUE"""),"TV Series 2018– )")</f>
        <v>TV Series 2018– )</v>
      </c>
    </row>
    <row r="3337" spans="1:5" ht="13" x14ac:dyDescent="0.15">
      <c r="A3337" s="5" t="s">
        <v>3379</v>
      </c>
      <c r="D3337" t="str">
        <f ca="1">IFERROR(__xludf.DUMMYFUNCTION("split(A3337,""("")"),"TURN: Washington's Spies ")</f>
        <v xml:space="preserve">TURN: Washington's Spies </v>
      </c>
      <c r="E3337" t="str">
        <f ca="1">IFERROR(__xludf.DUMMYFUNCTION("""COMPUTED_VALUE"""),"TV Series 2014–2017)")</f>
        <v>TV Series 2014–2017)</v>
      </c>
    </row>
    <row r="3338" spans="1:5" ht="13" x14ac:dyDescent="0.15">
      <c r="A3338" s="5" t="s">
        <v>3380</v>
      </c>
      <c r="D3338" t="str">
        <f ca="1">IFERROR(__xludf.DUMMYFUNCTION("split(A3338,""("")"),"TV Funhouse ")</f>
        <v xml:space="preserve">TV Funhouse </v>
      </c>
      <c r="E3338" t="str">
        <f ca="1">IFERROR(__xludf.DUMMYFUNCTION("""COMPUTED_VALUE"""),"TV Series 2000–2001)")</f>
        <v>TV Series 2000–2001)</v>
      </c>
    </row>
    <row r="3339" spans="1:5" ht="13" x14ac:dyDescent="0.15">
      <c r="A3339" s="5" t="s">
        <v>3381</v>
      </c>
      <c r="D3339" t="str">
        <f ca="1">IFERROR(__xludf.DUMMYFUNCTION("split(A3339,""("")"),"Twin Peaks ")</f>
        <v xml:space="preserve">Twin Peaks </v>
      </c>
      <c r="E3339" t="str">
        <f ca="1">IFERROR(__xludf.DUMMYFUNCTION("""COMPUTED_VALUE"""),"TV Series 1990–1991)")</f>
        <v>TV Series 1990–1991)</v>
      </c>
    </row>
    <row r="3340" spans="1:5" ht="13" x14ac:dyDescent="0.15">
      <c r="A3340" s="5" t="s">
        <v>656</v>
      </c>
      <c r="D3340" t="str">
        <f ca="1">IFERROR(__xludf.DUMMYFUNCTION("split(A3340,""("")"),"Twin Peaks ")</f>
        <v xml:space="preserve">Twin Peaks </v>
      </c>
      <c r="E3340" t="str">
        <f ca="1">IFERROR(__xludf.DUMMYFUNCTION("""COMPUTED_VALUE"""),"TV Series 2017)")</f>
        <v>TV Series 2017)</v>
      </c>
    </row>
    <row r="3341" spans="1:5" ht="13" x14ac:dyDescent="0.15">
      <c r="A3341" s="5" t="s">
        <v>3382</v>
      </c>
      <c r="D3341" t="str">
        <f ca="1">IFERROR(__xludf.DUMMYFUNCTION("split(A3341,""("")"),"Twin Turbos ")</f>
        <v xml:space="preserve">Twin Turbos </v>
      </c>
      <c r="E3341" t="str">
        <f ca="1">IFERROR(__xludf.DUMMYFUNCTION("""COMPUTED_VALUE"""),"TV Series 2018)")</f>
        <v>TV Series 2018)</v>
      </c>
    </row>
    <row r="3342" spans="1:5" ht="13" x14ac:dyDescent="0.15">
      <c r="A3342" s="5" t="s">
        <v>3383</v>
      </c>
      <c r="D3342" t="str">
        <f ca="1">IFERROR(__xludf.DUMMYFUNCTION("split(A3342,""("")"),"Twisted ")</f>
        <v xml:space="preserve">Twisted </v>
      </c>
      <c r="E3342" t="str">
        <f ca="1">IFERROR(__xludf.DUMMYFUNCTION("""COMPUTED_VALUE"""),"TV Series 2013–2014)")</f>
        <v>TV Series 2013–2014)</v>
      </c>
    </row>
    <row r="3343" spans="1:5" ht="13" x14ac:dyDescent="0.15">
      <c r="A3343" s="5" t="s">
        <v>383</v>
      </c>
      <c r="D3343" t="str">
        <f ca="1">IFERROR(__xludf.DUMMYFUNCTION("split(A3343,""("")"),"Two and a Half Men ")</f>
        <v xml:space="preserve">Two and a Half Men </v>
      </c>
      <c r="E3343" t="str">
        <f ca="1">IFERROR(__xludf.DUMMYFUNCTION("""COMPUTED_VALUE"""),"TV Series 2003–2015)")</f>
        <v>TV Series 2003–2015)</v>
      </c>
    </row>
    <row r="3344" spans="1:5" ht="13" x14ac:dyDescent="0.15">
      <c r="A3344" s="5" t="s">
        <v>3384</v>
      </c>
      <c r="D3344" t="str">
        <f ca="1">IFERROR(__xludf.DUMMYFUNCTION("split(A3344,""("")"),"Two Doors Down ")</f>
        <v xml:space="preserve">Two Doors Down </v>
      </c>
      <c r="E3344" t="str">
        <f ca="1">IFERROR(__xludf.DUMMYFUNCTION("""COMPUTED_VALUE"""),"TV Series 2016– )")</f>
        <v>TV Series 2016– )</v>
      </c>
    </row>
    <row r="3345" spans="1:5" ht="13" x14ac:dyDescent="0.15">
      <c r="A3345" s="5" t="s">
        <v>3385</v>
      </c>
      <c r="D3345" t="str">
        <f ca="1">IFERROR(__xludf.DUMMYFUNCTION("split(A3345,""("")"),"Two Guys, a Girl and a Pizza Place ")</f>
        <v xml:space="preserve">Two Guys, a Girl and a Pizza Place </v>
      </c>
      <c r="E3345" t="str">
        <f ca="1">IFERROR(__xludf.DUMMYFUNCTION("""COMPUTED_VALUE"""),"TV Series 1998–2001)")</f>
        <v>TV Series 1998–2001)</v>
      </c>
    </row>
    <row r="3346" spans="1:5" ht="13" x14ac:dyDescent="0.15">
      <c r="A3346" s="5" t="s">
        <v>3386</v>
      </c>
      <c r="D3346" t="str">
        <f ca="1">IFERROR(__xludf.DUMMYFUNCTION("split(A3346,""("")"),"Two Sentence Horror Stories ")</f>
        <v xml:space="preserve">Two Sentence Horror Stories </v>
      </c>
      <c r="E3346" t="str">
        <f ca="1">IFERROR(__xludf.DUMMYFUNCTION("""COMPUTED_VALUE"""),"TV Series 2017– )")</f>
        <v>TV Series 2017– )</v>
      </c>
    </row>
    <row r="3347" spans="1:5" ht="13" x14ac:dyDescent="0.15">
      <c r="A3347" s="5" t="s">
        <v>3387</v>
      </c>
      <c r="D3347" t="str">
        <f ca="1">IFERROR(__xludf.DUMMYFUNCTION("split(A3347,""("")"),"Tyranny ")</f>
        <v xml:space="preserve">Tyranny </v>
      </c>
      <c r="E3347" t="str">
        <f ca="1">IFERROR(__xludf.DUMMYFUNCTION("""COMPUTED_VALUE"""),"TV Series 2008– )")</f>
        <v>TV Series 2008– )</v>
      </c>
    </row>
    <row r="3348" spans="1:5" ht="13" x14ac:dyDescent="0.15">
      <c r="A3348" s="5" t="s">
        <v>3388</v>
      </c>
      <c r="D3348" t="str">
        <f ca="1">IFERROR(__xludf.DUMMYFUNCTION("split(A3348,""("")"),"UCB Comedy Originals ")</f>
        <v xml:space="preserve">UCB Comedy Originals </v>
      </c>
      <c r="E3348" t="str">
        <f ca="1">IFERROR(__xludf.DUMMYFUNCTION("""COMPUTED_VALUE"""),"TV Series 2007– )")</f>
        <v>TV Series 2007– )</v>
      </c>
    </row>
    <row r="3349" spans="1:5" ht="13" x14ac:dyDescent="0.15">
      <c r="A3349" s="5" t="s">
        <v>3389</v>
      </c>
      <c r="D3349" t="str">
        <f ca="1">IFERROR(__xludf.DUMMYFUNCTION("split(A3349,""("")"),"Uga Uga ")</f>
        <v xml:space="preserve">Uga Uga </v>
      </c>
      <c r="E3349" t="str">
        <f ca="1">IFERROR(__xludf.DUMMYFUNCTION("""COMPUTED_VALUE"""),"TV Series 2000–2001)")</f>
        <v>TV Series 2000–2001)</v>
      </c>
    </row>
    <row r="3350" spans="1:5" ht="13" x14ac:dyDescent="0.15">
      <c r="A3350" s="5" t="s">
        <v>3390</v>
      </c>
      <c r="D3350" t="str">
        <f ca="1">IFERROR(__xludf.DUMMYFUNCTION("split(A3350,""("")"),"Ugly Americans ")</f>
        <v xml:space="preserve">Ugly Americans </v>
      </c>
      <c r="E3350" t="str">
        <f ca="1">IFERROR(__xludf.DUMMYFUNCTION("""COMPUTED_VALUE"""),"TV Series 2010–2012)")</f>
        <v>TV Series 2010–2012)</v>
      </c>
    </row>
    <row r="3351" spans="1:5" ht="13" x14ac:dyDescent="0.15">
      <c r="A3351" s="5" t="s">
        <v>245</v>
      </c>
      <c r="D3351" t="str">
        <f ca="1">IFERROR(__xludf.DUMMYFUNCTION("split(A3351,""("")"),"Ugly Betty ")</f>
        <v xml:space="preserve">Ugly Betty </v>
      </c>
      <c r="E3351" t="str">
        <f ca="1">IFERROR(__xludf.DUMMYFUNCTION("""COMPUTED_VALUE"""),"TV Series 2006–2010)")</f>
        <v>TV Series 2006–2010)</v>
      </c>
    </row>
    <row r="3352" spans="1:5" ht="13" x14ac:dyDescent="0.15">
      <c r="A3352" s="5" t="s">
        <v>246</v>
      </c>
      <c r="D3352" t="str">
        <f ca="1">IFERROR(__xludf.DUMMYFUNCTION("split(A3352,""("")"),"Ugly Delicious ")</f>
        <v xml:space="preserve">Ugly Delicious </v>
      </c>
      <c r="E3352" t="str">
        <f ca="1">IFERROR(__xludf.DUMMYFUNCTION("""COMPUTED_VALUE"""),"TV Series 2018– )")</f>
        <v>TV Series 2018– )</v>
      </c>
    </row>
    <row r="3353" spans="1:5" ht="13" x14ac:dyDescent="0.15">
      <c r="A3353" s="5" t="s">
        <v>3391</v>
      </c>
      <c r="D3353" t="str">
        <f ca="1">IFERROR(__xludf.DUMMYFUNCTION("split(A3353,""("")"),"Ultimate Cake Off ")</f>
        <v xml:space="preserve">Ultimate Cake Off </v>
      </c>
      <c r="E3353" t="str">
        <f ca="1">IFERROR(__xludf.DUMMYFUNCTION("""COMPUTED_VALUE"""),"TV Series 2009– )")</f>
        <v>TV Series 2009– )</v>
      </c>
    </row>
    <row r="3354" spans="1:5" ht="13" x14ac:dyDescent="0.15">
      <c r="A3354" s="5" t="s">
        <v>91</v>
      </c>
      <c r="D3354" t="str">
        <f ca="1">IFERROR(__xludf.DUMMYFUNCTION("split(A3354,""("")"),"Ultimate Spider-Man ")</f>
        <v xml:space="preserve">Ultimate Spider-Man </v>
      </c>
      <c r="E3354" t="str">
        <f ca="1">IFERROR(__xludf.DUMMYFUNCTION("""COMPUTED_VALUE"""),"TV Series 2012–2017)")</f>
        <v>TV Series 2012–2017)</v>
      </c>
    </row>
    <row r="3355" spans="1:5" ht="13" x14ac:dyDescent="0.15">
      <c r="A3355" s="5" t="s">
        <v>3392</v>
      </c>
      <c r="D3355" t="str">
        <f ca="1">IFERROR(__xludf.DUMMYFUNCTION("split(A3355,""("")"),"Ultraviolet ")</f>
        <v xml:space="preserve">Ultraviolet </v>
      </c>
      <c r="E3355" t="str">
        <f ca="1">IFERROR(__xludf.DUMMYFUNCTION("""COMPUTED_VALUE"""),"TV Series 2017– )")</f>
        <v>TV Series 2017– )</v>
      </c>
    </row>
    <row r="3356" spans="1:5" ht="13" x14ac:dyDescent="0.15">
      <c r="A3356" s="5" t="s">
        <v>3393</v>
      </c>
      <c r="D3356" t="str">
        <f ca="1">IFERROR(__xludf.DUMMYFUNCTION("split(A3356,""("")"),"Ultraviolet: Code 044 ")</f>
        <v xml:space="preserve">Ultraviolet: Code 044 </v>
      </c>
      <c r="E3356" t="str">
        <f ca="1">IFERROR(__xludf.DUMMYFUNCTION("""COMPUTED_VALUE"""),"TV Series 2008– )")</f>
        <v>TV Series 2008– )</v>
      </c>
    </row>
    <row r="3357" spans="1:5" ht="13" x14ac:dyDescent="0.15">
      <c r="A3357" s="5" t="s">
        <v>3394</v>
      </c>
      <c r="D3357" t="str">
        <f ca="1">IFERROR(__xludf.DUMMYFUNCTION("split(A3357,""("")"),"Ulysses 31 ")</f>
        <v xml:space="preserve">Ulysses 31 </v>
      </c>
      <c r="E3357" t="str">
        <f ca="1">IFERROR(__xludf.DUMMYFUNCTION("""COMPUTED_VALUE"""),"TV Series 1981–1982)")</f>
        <v>TV Series 1981–1982)</v>
      </c>
    </row>
    <row r="3358" spans="1:5" ht="13" x14ac:dyDescent="0.15">
      <c r="A3358" s="5" t="s">
        <v>3395</v>
      </c>
      <c r="D3358" t="str">
        <f ca="1">IFERROR(__xludf.DUMMYFUNCTION("split(A3358,""("")"),"Um Menino Muito Maluquinho ")</f>
        <v xml:space="preserve">Um Menino Muito Maluquinho </v>
      </c>
      <c r="E3358" t="str">
        <f ca="1">IFERROR(__xludf.DUMMYFUNCTION("""COMPUTED_VALUE"""),"TV Series 2006– )")</f>
        <v>TV Series 2006– )</v>
      </c>
    </row>
    <row r="3359" spans="1:5" ht="13" x14ac:dyDescent="0.15">
      <c r="A3359" s="5" t="s">
        <v>3396</v>
      </c>
      <c r="D3359" t="str">
        <f ca="1">IFERROR(__xludf.DUMMYFUNCTION("split(A3359,""("")"),"Unan1mous ")</f>
        <v xml:space="preserve">Unan1mous </v>
      </c>
      <c r="E3359" t="str">
        <f ca="1">IFERROR(__xludf.DUMMYFUNCTION("""COMPUTED_VALUE"""),"TV Series 2006– )")</f>
        <v>TV Series 2006– )</v>
      </c>
    </row>
    <row r="3360" spans="1:5" ht="13" x14ac:dyDescent="0.15">
      <c r="A3360" s="5" t="s">
        <v>384</v>
      </c>
      <c r="D3360" t="str">
        <f ca="1">IFERROR(__xludf.DUMMYFUNCTION("split(A3360,""("")"),"Unbreakable Kimmy Schmidt ")</f>
        <v xml:space="preserve">Unbreakable Kimmy Schmidt </v>
      </c>
      <c r="E3360" t="str">
        <f ca="1">IFERROR(__xludf.DUMMYFUNCTION("""COMPUTED_VALUE"""),"TV Series 2015–2019)")</f>
        <v>TV Series 2015–2019)</v>
      </c>
    </row>
    <row r="3361" spans="1:5" ht="13" x14ac:dyDescent="0.15">
      <c r="A3361" s="5" t="s">
        <v>457</v>
      </c>
      <c r="D3361" t="str">
        <f ca="1">IFERROR(__xludf.DUMMYFUNCTION("split(A3361,""("")"),"Uncle Grandpa ")</f>
        <v xml:space="preserve">Uncle Grandpa </v>
      </c>
      <c r="E3361" t="str">
        <f ca="1">IFERROR(__xludf.DUMMYFUNCTION("""COMPUTED_VALUE"""),"TV Series 2010–2017)")</f>
        <v>TV Series 2010–2017)</v>
      </c>
    </row>
    <row r="3362" spans="1:5" ht="13" x14ac:dyDescent="0.15">
      <c r="A3362" s="5" t="s">
        <v>3397</v>
      </c>
      <c r="D3362" t="str">
        <f ca="1">IFERROR(__xludf.DUMMYFUNCTION("split(A3362,""("")"),"Undeclared ")</f>
        <v xml:space="preserve">Undeclared </v>
      </c>
      <c r="E3362" t="str">
        <f ca="1">IFERROR(__xludf.DUMMYFUNCTION("""COMPUTED_VALUE"""),"TV Series 2001–2003)")</f>
        <v>TV Series 2001–2003)</v>
      </c>
    </row>
    <row r="3363" spans="1:5" ht="13" x14ac:dyDescent="0.15">
      <c r="A3363" s="5" t="s">
        <v>3398</v>
      </c>
      <c r="D3363" t="str">
        <f ca="1">IFERROR(__xludf.DUMMYFUNCTION("split(A3363,""("")"),"Under the Dome ")</f>
        <v xml:space="preserve">Under the Dome </v>
      </c>
      <c r="E3363" t="str">
        <f ca="1">IFERROR(__xludf.DUMMYFUNCTION("""COMPUTED_VALUE"""),"TV Series 2013–2015)")</f>
        <v>TV Series 2013–2015)</v>
      </c>
    </row>
    <row r="3364" spans="1:5" ht="13" x14ac:dyDescent="0.15">
      <c r="A3364" s="5" t="s">
        <v>3399</v>
      </c>
      <c r="D3364" t="str">
        <f ca="1">IFERROR(__xludf.DUMMYFUNCTION("split(A3364,""("")"),"Undercover Boss ")</f>
        <v xml:space="preserve">Undercover Boss </v>
      </c>
      <c r="E3364" t="str">
        <f ca="1">IFERROR(__xludf.DUMMYFUNCTION("""COMPUTED_VALUE"""),"TV Series 2010– )")</f>
        <v>TV Series 2010– )</v>
      </c>
    </row>
    <row r="3365" spans="1:5" ht="13" x14ac:dyDescent="0.15">
      <c r="A3365" s="5" t="s">
        <v>458</v>
      </c>
      <c r="D3365" t="str">
        <f ca="1">IFERROR(__xludf.DUMMYFUNCTION("split(A3365,""("")"),"Undercover Boss Australia ")</f>
        <v xml:space="preserve">Undercover Boss Australia </v>
      </c>
      <c r="E3365" t="str">
        <f ca="1">IFERROR(__xludf.DUMMYFUNCTION("""COMPUTED_VALUE"""),"TV Series 2010– )")</f>
        <v>TV Series 2010– )</v>
      </c>
    </row>
    <row r="3366" spans="1:5" ht="13" x14ac:dyDescent="0.15">
      <c r="A3366" s="5" t="s">
        <v>459</v>
      </c>
      <c r="D3366" t="str">
        <f ca="1">IFERROR(__xludf.DUMMYFUNCTION("split(A3366,""("")"),"Undercover Boss Canada ")</f>
        <v xml:space="preserve">Undercover Boss Canada </v>
      </c>
      <c r="E3366" t="str">
        <f ca="1">IFERROR(__xludf.DUMMYFUNCTION("""COMPUTED_VALUE"""),"TV Series 2012– )")</f>
        <v>TV Series 2012– )</v>
      </c>
    </row>
    <row r="3367" spans="1:5" ht="13" x14ac:dyDescent="0.15">
      <c r="A3367" s="5" t="s">
        <v>3400</v>
      </c>
      <c r="D3367" t="str">
        <f ca="1">IFERROR(__xludf.DUMMYFUNCTION("split(A3367,""("")"),"Undergrads ")</f>
        <v xml:space="preserve">Undergrads </v>
      </c>
      <c r="E3367" t="str">
        <f ca="1">IFERROR(__xludf.DUMMYFUNCTION("""COMPUTED_VALUE"""),"TV Series 2001)")</f>
        <v>TV Series 2001)</v>
      </c>
    </row>
    <row r="3368" spans="1:5" ht="13" x14ac:dyDescent="0.15">
      <c r="A3368" s="5" t="s">
        <v>3401</v>
      </c>
      <c r="D3368" t="str">
        <f ca="1">IFERROR(__xludf.DUMMYFUNCTION("split(A3368,""("")"),"Underground ")</f>
        <v xml:space="preserve">Underground </v>
      </c>
      <c r="E3368" t="str">
        <f ca="1">IFERROR(__xludf.DUMMYFUNCTION("""COMPUTED_VALUE"""),"TV Series 2016– )")</f>
        <v>TV Series 2016– )</v>
      </c>
    </row>
    <row r="3369" spans="1:5" ht="13" x14ac:dyDescent="0.15">
      <c r="A3369" s="5" t="s">
        <v>3402</v>
      </c>
      <c r="D3369" t="str">
        <f ca="1">IFERROR(__xludf.DUMMYFUNCTION("split(A3369,""("")"),"Undressed ")</f>
        <v xml:space="preserve">Undressed </v>
      </c>
      <c r="E3369" t="str">
        <f ca="1">IFERROR(__xludf.DUMMYFUNCTION("""COMPUTED_VALUE"""),"TV Series 1999–2002)")</f>
        <v>TV Series 1999–2002)</v>
      </c>
    </row>
    <row r="3370" spans="1:5" ht="13" x14ac:dyDescent="0.15">
      <c r="A3370" s="5" t="s">
        <v>521</v>
      </c>
      <c r="D3370" t="str">
        <f ca="1">IFERROR(__xludf.DUMMYFUNCTION("split(A3370,""("")"),"Unikitty! ")</f>
        <v xml:space="preserve">Unikitty! </v>
      </c>
      <c r="E3370" t="str">
        <f ca="1">IFERROR(__xludf.DUMMYFUNCTION("""COMPUTED_VALUE"""),"TV Series 2017– )")</f>
        <v>TV Series 2017– )</v>
      </c>
    </row>
    <row r="3371" spans="1:5" ht="13" x14ac:dyDescent="0.15">
      <c r="A3371" s="5" t="s">
        <v>3403</v>
      </c>
      <c r="D3371" t="str">
        <f ca="1">IFERROR(__xludf.DUMMYFUNCTION("split(A3371,""("")"),"Union Church of La Harpe, Illinois ")</f>
        <v xml:space="preserve">Union Church of La Harpe, Illinois </v>
      </c>
      <c r="E3371" t="str">
        <f ca="1">IFERROR(__xludf.DUMMYFUNCTION("""COMPUTED_VALUE"""),"TV Series 2012– )")</f>
        <v>TV Series 2012– )</v>
      </c>
    </row>
    <row r="3372" spans="1:5" ht="13" x14ac:dyDescent="0.15">
      <c r="A3372" s="5" t="s">
        <v>259</v>
      </c>
      <c r="D3372" t="str">
        <f ca="1">IFERROR(__xludf.DUMMYFUNCTION("split(A3372,""("")"),"United States of Tara ")</f>
        <v xml:space="preserve">United States of Tara </v>
      </c>
      <c r="E3372" t="str">
        <f ca="1">IFERROR(__xludf.DUMMYFUNCTION("""COMPUTED_VALUE"""),"TV Series 2009–2011)")</f>
        <v>TV Series 2009–2011)</v>
      </c>
    </row>
    <row r="3373" spans="1:5" ht="13" x14ac:dyDescent="0.15">
      <c r="A3373" s="5" t="s">
        <v>3404</v>
      </c>
      <c r="D3373" t="str">
        <f ca="1">IFERROR(__xludf.DUMMYFUNCTION("split(A3373,""("")"),"Unnatural History ")</f>
        <v xml:space="preserve">Unnatural History </v>
      </c>
      <c r="E3373" t="str">
        <f ca="1">IFERROR(__xludf.DUMMYFUNCTION("""COMPUTED_VALUE"""),"TV Series 2010– )")</f>
        <v>TV Series 2010– )</v>
      </c>
    </row>
    <row r="3374" spans="1:5" ht="13" x14ac:dyDescent="0.15">
      <c r="A3374" s="5" t="s">
        <v>3405</v>
      </c>
      <c r="D3374" t="str">
        <f ca="1">IFERROR(__xludf.DUMMYFUNCTION("split(A3374,""("")"),"Unsolved Mysteries ")</f>
        <v xml:space="preserve">Unsolved Mysteries </v>
      </c>
      <c r="E3374" t="str">
        <f ca="1">IFERROR(__xludf.DUMMYFUNCTION("""COMPUTED_VALUE"""),"TV Series 1987–2010)")</f>
        <v>TV Series 1987–2010)</v>
      </c>
    </row>
    <row r="3375" spans="1:5" ht="13" x14ac:dyDescent="0.15">
      <c r="A3375" s="5" t="s">
        <v>247</v>
      </c>
      <c r="D3375" t="str">
        <f ca="1">IFERROR(__xludf.DUMMYFUNCTION("split(A3375,""("")"),"Unsolved: The Murders of Tupac and the Notorious B.I.G. ")</f>
        <v xml:space="preserve">Unsolved: The Murders of Tupac and the Notorious B.I.G. </v>
      </c>
      <c r="E3375" t="str">
        <f ca="1">IFERROR(__xludf.DUMMYFUNCTION("""COMPUTED_VALUE"""),"TV Series 2018– )")</f>
        <v>TV Series 2018– )</v>
      </c>
    </row>
    <row r="3376" spans="1:5" ht="13" x14ac:dyDescent="0.15">
      <c r="A3376" s="5" t="s">
        <v>3406</v>
      </c>
      <c r="D3376" t="str">
        <f ca="1">IFERROR(__xludf.DUMMYFUNCTION("split(A3376,""("")"),"Unusual Suspects ")</f>
        <v xml:space="preserve">Unusual Suspects </v>
      </c>
      <c r="E3376" t="str">
        <f ca="1">IFERROR(__xludf.DUMMYFUNCTION("""COMPUTED_VALUE"""),"TV Series 2010– )")</f>
        <v>TV Series 2010– )</v>
      </c>
    </row>
    <row r="3377" spans="1:5" ht="13" x14ac:dyDescent="0.15">
      <c r="A3377" s="5" t="s">
        <v>3407</v>
      </c>
      <c r="D3377" t="str">
        <f ca="1">IFERROR(__xludf.DUMMYFUNCTION("split(A3377,""("")"),"Upright Citizens Brigade ")</f>
        <v xml:space="preserve">Upright Citizens Brigade </v>
      </c>
      <c r="E3377" t="str">
        <f ca="1">IFERROR(__xludf.DUMMYFUNCTION("""COMPUTED_VALUE"""),"TV Series 1998–2000)")</f>
        <v>TV Series 1998–2000)</v>
      </c>
    </row>
    <row r="3378" spans="1:5" ht="13" x14ac:dyDescent="0.15">
      <c r="A3378" s="5" t="s">
        <v>3408</v>
      </c>
      <c r="D3378" t="str">
        <f ca="1">IFERROR(__xludf.DUMMYFUNCTION("split(A3378,""("")"),"Uranium: Twisting the Dragon's Tail ")</f>
        <v xml:space="preserve">Uranium: Twisting the Dragon's Tail </v>
      </c>
      <c r="E3378" t="str">
        <f ca="1">IFERROR(__xludf.DUMMYFUNCTION("""COMPUTED_VALUE"""),"TV Series 2015)")</f>
        <v>TV Series 2015)</v>
      </c>
    </row>
    <row r="3379" spans="1:5" ht="13" x14ac:dyDescent="0.15">
      <c r="A3379" s="5" t="s">
        <v>3409</v>
      </c>
      <c r="D3379" t="str">
        <f ca="1">IFERROR(__xludf.DUMMYFUNCTION("split(A3379,""("")"),"Urban Gothic ")</f>
        <v xml:space="preserve">Urban Gothic </v>
      </c>
      <c r="E3379" t="str">
        <f ca="1">IFERROR(__xludf.DUMMYFUNCTION("""COMPUTED_VALUE"""),"TV Series 2000– )")</f>
        <v>TV Series 2000– )</v>
      </c>
    </row>
    <row r="3380" spans="1:5" ht="13" x14ac:dyDescent="0.15">
      <c r="A3380" s="5" t="s">
        <v>3410</v>
      </c>
      <c r="D3380" t="str">
        <f ca="1">IFERROR(__xludf.DUMMYFUNCTION("split(A3380,""("")"),"Utopia ")</f>
        <v xml:space="preserve">Utopia </v>
      </c>
      <c r="E3380" t="str">
        <f ca="1">IFERROR(__xludf.DUMMYFUNCTION("""COMPUTED_VALUE"""),"TV Series 2014)")</f>
        <v>TV Series 2014)</v>
      </c>
    </row>
    <row r="3381" spans="1:5" ht="13" x14ac:dyDescent="0.15">
      <c r="A3381" s="5" t="s">
        <v>3411</v>
      </c>
      <c r="D3381" t="str">
        <f ca="1">IFERROR(__xludf.DUMMYFUNCTION("split(A3381,""("")"),"UUelcome ")</f>
        <v xml:space="preserve">UUelcome </v>
      </c>
      <c r="E3381" t="str">
        <f ca="1">IFERROR(__xludf.DUMMYFUNCTION("""COMPUTED_VALUE"""),"TV Series 2008– )")</f>
        <v>TV Series 2008– )</v>
      </c>
    </row>
    <row r="3382" spans="1:5" ht="13" x14ac:dyDescent="0.15">
      <c r="A3382" s="5" t="s">
        <v>415</v>
      </c>
      <c r="D3382" t="str">
        <f ca="1">IFERROR(__xludf.DUMMYFUNCTION("split(A3382,""("")"),"V ")</f>
        <v xml:space="preserve">V </v>
      </c>
      <c r="E3382" t="str">
        <f ca="1">IFERROR(__xludf.DUMMYFUNCTION("""COMPUTED_VALUE"""),"TV Series 2009–2011)")</f>
        <v>TV Series 2009–2011)</v>
      </c>
    </row>
    <row r="3383" spans="1:5" ht="13" x14ac:dyDescent="0.15">
      <c r="A3383" s="5" t="s">
        <v>3412</v>
      </c>
      <c r="D3383" t="str">
        <f ca="1">IFERROR(__xludf.DUMMYFUNCTION("split(A3383,""("")"),"Valley Metro Church ")</f>
        <v xml:space="preserve">Valley Metro Church </v>
      </c>
      <c r="E3383" t="str">
        <f ca="1">IFERROR(__xludf.DUMMYFUNCTION("""COMPUTED_VALUE"""),"TV Series 2011– )")</f>
        <v>TV Series 2011– )</v>
      </c>
    </row>
    <row r="3384" spans="1:5" ht="13" x14ac:dyDescent="0.15">
      <c r="A3384" s="5" t="s">
        <v>3413</v>
      </c>
      <c r="D3384" t="str">
        <f ca="1">IFERROR(__xludf.DUMMYFUNCTION("split(A3384,""("")"),"Valor ")</f>
        <v xml:space="preserve">Valor </v>
      </c>
      <c r="E3384" t="str">
        <f ca="1">IFERROR(__xludf.DUMMYFUNCTION("""COMPUTED_VALUE"""),"TV Series 2017–2018)")</f>
        <v>TV Series 2017–2018)</v>
      </c>
    </row>
    <row r="3385" spans="1:5" ht="13" x14ac:dyDescent="0.15">
      <c r="A3385" s="5" t="s">
        <v>3414</v>
      </c>
      <c r="D3385" t="str">
        <f ca="1">IFERROR(__xludf.DUMMYFUNCTION("split(A3385,""("")"),"Vampire Knight ")</f>
        <v xml:space="preserve">Vampire Knight </v>
      </c>
      <c r="E3385" t="str">
        <f ca="1">IFERROR(__xludf.DUMMYFUNCTION("""COMPUTED_VALUE"""),"TV Series 2008– )")</f>
        <v>TV Series 2008– )</v>
      </c>
    </row>
    <row r="3386" spans="1:5" ht="13" x14ac:dyDescent="0.15">
      <c r="A3386" s="5" t="s">
        <v>3415</v>
      </c>
      <c r="D3386" t="str">
        <f ca="1">IFERROR(__xludf.DUMMYFUNCTION("split(A3386,""("")"),"Vampires ")</f>
        <v xml:space="preserve">Vampires </v>
      </c>
      <c r="E3386" t="str">
        <f ca="1">IFERROR(__xludf.DUMMYFUNCTION("""COMPUTED_VALUE"""),"TV Mini-Series 2017)")</f>
        <v>TV Mini-Series 2017)</v>
      </c>
    </row>
    <row r="3387" spans="1:5" ht="13" x14ac:dyDescent="0.15">
      <c r="A3387" s="5" t="s">
        <v>111</v>
      </c>
      <c r="D3387" t="str">
        <f ca="1">IFERROR(__xludf.DUMMYFUNCTION("split(A3387,""("")"),"Van Helsing ")</f>
        <v xml:space="preserve">Van Helsing </v>
      </c>
      <c r="E3387" t="str">
        <f ca="1">IFERROR(__xludf.DUMMYFUNCTION("""COMPUTED_VALUE"""),"TV Series 2016– )")</f>
        <v>TV Series 2016– )</v>
      </c>
    </row>
    <row r="3388" spans="1:5" ht="13" x14ac:dyDescent="0.15">
      <c r="A3388" s="5" t="s">
        <v>3416</v>
      </c>
      <c r="D3388" t="str">
        <f ca="1">IFERROR(__xludf.DUMMYFUNCTION("split(A3388,""("")"),"Vanderpump Rules ")</f>
        <v xml:space="preserve">Vanderpump Rules </v>
      </c>
      <c r="E3388" t="str">
        <f ca="1">IFERROR(__xludf.DUMMYFUNCTION("""COMPUTED_VALUE"""),"TV Series 2013– )")</f>
        <v>TV Series 2013– )</v>
      </c>
    </row>
    <row r="3389" spans="1:5" ht="13" x14ac:dyDescent="0.15">
      <c r="A3389" s="5" t="s">
        <v>3417</v>
      </c>
      <c r="D3389" t="str">
        <f ca="1">IFERROR(__xludf.DUMMYFUNCTION("split(A3389,""("")"),"Vasiliy Stalin ")</f>
        <v xml:space="preserve">Vasiliy Stalin </v>
      </c>
      <c r="E3389" t="str">
        <f ca="1">IFERROR(__xludf.DUMMYFUNCTION("""COMPUTED_VALUE"""),"TV Series 2013)")</f>
        <v>TV Series 2013)</v>
      </c>
    </row>
    <row r="3390" spans="1:5" ht="13" x14ac:dyDescent="0.15">
      <c r="A3390" s="5" t="s">
        <v>657</v>
      </c>
      <c r="D3390" t="str">
        <f ca="1">IFERROR(__xludf.DUMMYFUNCTION("split(A3390,""("")"),"Veep ")</f>
        <v xml:space="preserve">Veep </v>
      </c>
      <c r="E3390" t="str">
        <f ca="1">IFERROR(__xludf.DUMMYFUNCTION("""COMPUTED_VALUE"""),"TV Series 2012–2019)")</f>
        <v>TV Series 2012–2019)</v>
      </c>
    </row>
    <row r="3391" spans="1:5" ht="13" x14ac:dyDescent="0.15">
      <c r="A3391" s="5" t="s">
        <v>3418</v>
      </c>
      <c r="D3391" t="str">
        <f ca="1">IFERROR(__xludf.DUMMYFUNCTION("split(A3391,""("")"),"Vegas ")</f>
        <v xml:space="preserve">Vegas </v>
      </c>
      <c r="E3391" t="str">
        <f ca="1">IFERROR(__xludf.DUMMYFUNCTION("""COMPUTED_VALUE"""),"TV Series 2012–2013)")</f>
        <v>TV Series 2012–2013)</v>
      </c>
    </row>
    <row r="3392" spans="1:5" ht="13" x14ac:dyDescent="0.15">
      <c r="A3392" s="5" t="s">
        <v>3419</v>
      </c>
      <c r="D3392" t="str">
        <f ca="1">IFERROR(__xludf.DUMMYFUNCTION("split(A3392,""("")"),"Velvet Collection ")</f>
        <v xml:space="preserve">Velvet Collection </v>
      </c>
      <c r="E3392" t="str">
        <f ca="1">IFERROR(__xludf.DUMMYFUNCTION("""COMPUTED_VALUE"""),"TV Series 2017– )")</f>
        <v>TV Series 2017– )</v>
      </c>
    </row>
    <row r="3393" spans="1:5" ht="13" x14ac:dyDescent="0.15">
      <c r="A3393" s="5" t="s">
        <v>3420</v>
      </c>
      <c r="D3393" t="str">
        <f ca="1">IFERROR(__xludf.DUMMYFUNCTION("split(A3393,""("")"),"Venus Versus Virus ")</f>
        <v xml:space="preserve">Venus Versus Virus </v>
      </c>
      <c r="E3393" t="str">
        <f ca="1">IFERROR(__xludf.DUMMYFUNCTION("""COMPUTED_VALUE"""),"TV Series 2007– )")</f>
        <v>TV Series 2007– )</v>
      </c>
    </row>
    <row r="3394" spans="1:5" ht="13" x14ac:dyDescent="0.15">
      <c r="A3394" s="5" t="s">
        <v>3421</v>
      </c>
      <c r="D3394" t="str">
        <f ca="1">IFERROR(__xludf.DUMMYFUNCTION("split(A3394,""("")"),"Vera ")</f>
        <v xml:space="preserve">Vera </v>
      </c>
      <c r="E3394" t="str">
        <f ca="1">IFERROR(__xludf.DUMMYFUNCTION("""COMPUTED_VALUE"""),"TV Series 2011– )")</f>
        <v>TV Series 2011– )</v>
      </c>
    </row>
    <row r="3395" spans="1:5" ht="13" x14ac:dyDescent="0.15">
      <c r="A3395" s="5" t="s">
        <v>3422</v>
      </c>
      <c r="D3395" t="str">
        <f ca="1">IFERROR(__xludf.DUMMYFUNCTION("split(A3395,""("")"),"Verbotene Liebe ")</f>
        <v xml:space="preserve">Verbotene Liebe </v>
      </c>
      <c r="E3395" t="str">
        <f ca="1">IFERROR(__xludf.DUMMYFUNCTION("""COMPUTED_VALUE"""),"TV Series 1995– )")</f>
        <v>TV Series 1995– )</v>
      </c>
    </row>
    <row r="3396" spans="1:5" ht="13" x14ac:dyDescent="0.15">
      <c r="A3396" s="5" t="s">
        <v>3423</v>
      </c>
      <c r="D3396" t="str">
        <f ca="1">IFERROR(__xludf.DUMMYFUNCTION("split(A3396,""("")"),"Vergüenza ")</f>
        <v xml:space="preserve">Vergüenza </v>
      </c>
      <c r="E3396" t="str">
        <f ca="1">IFERROR(__xludf.DUMMYFUNCTION("""COMPUTED_VALUE"""),"TV Series 2017– )")</f>
        <v>TV Series 2017– )</v>
      </c>
    </row>
    <row r="3397" spans="1:5" ht="13" x14ac:dyDescent="0.15">
      <c r="A3397" s="5" t="s">
        <v>3424</v>
      </c>
      <c r="D3397" t="str">
        <f ca="1">IFERROR(__xludf.DUMMYFUNCTION("split(A3397,""("")"),"Verity Baptist Church ")</f>
        <v xml:space="preserve">Verity Baptist Church </v>
      </c>
      <c r="E3397" t="str">
        <f ca="1">IFERROR(__xludf.DUMMYFUNCTION("""COMPUTED_VALUE"""),"TV Series 2013– )")</f>
        <v>TV Series 2013– )</v>
      </c>
    </row>
    <row r="3398" spans="1:5" ht="13" x14ac:dyDescent="0.15">
      <c r="A3398" s="5" t="s">
        <v>3425</v>
      </c>
      <c r="D3398" t="str">
        <f ca="1">IFERROR(__xludf.DUMMYFUNCTION("split(A3398,""("")"),"Veronica Mars ")</f>
        <v xml:space="preserve">Veronica Mars </v>
      </c>
      <c r="E3398" t="str">
        <f ca="1">IFERROR(__xludf.DUMMYFUNCTION("""COMPUTED_VALUE"""),"TV Series 2004–2019)")</f>
        <v>TV Series 2004–2019)</v>
      </c>
    </row>
    <row r="3399" spans="1:5" ht="13" x14ac:dyDescent="0.15">
      <c r="A3399" s="5" t="s">
        <v>3426</v>
      </c>
      <c r="D3399" t="str">
        <f ca="1">IFERROR(__xludf.DUMMYFUNCTION("split(A3399,""("")"),"Veronika Spurná ")</f>
        <v xml:space="preserve">Veronika Spurná </v>
      </c>
      <c r="E3399" t="str">
        <f ca="1">IFERROR(__xludf.DUMMYFUNCTION("""COMPUTED_VALUE"""),"TV Series 2015– )")</f>
        <v>TV Series 2015– )</v>
      </c>
    </row>
    <row r="3400" spans="1:5" ht="13" x14ac:dyDescent="0.15">
      <c r="A3400" s="5" t="s">
        <v>3427</v>
      </c>
      <c r="D3400" t="str">
        <f ca="1">IFERROR(__xludf.DUMMYFUNCTION("split(A3400,""("")"),"Versailles ")</f>
        <v xml:space="preserve">Versailles </v>
      </c>
      <c r="E3400" t="str">
        <f ca="1">IFERROR(__xludf.DUMMYFUNCTION("""COMPUTED_VALUE"""),"TV Series 2015–2018)")</f>
        <v>TV Series 2015–2018)</v>
      </c>
    </row>
    <row r="3401" spans="1:5" ht="13" x14ac:dyDescent="0.15">
      <c r="A3401" s="5" t="s">
        <v>3428</v>
      </c>
      <c r="D3401" t="str">
        <f ca="1">IFERROR(__xludf.DUMMYFUNCTION("split(A3401,""("")"),"Vicious ")</f>
        <v xml:space="preserve">Vicious </v>
      </c>
      <c r="E3401" t="str">
        <f ca="1">IFERROR(__xludf.DUMMYFUNCTION("""COMPUTED_VALUE"""),"TV Series 2013–2016)")</f>
        <v>TV Series 2013–2016)</v>
      </c>
    </row>
    <row r="3402" spans="1:5" ht="13" x14ac:dyDescent="0.15">
      <c r="A3402" s="5" t="s">
        <v>3429</v>
      </c>
      <c r="D3402" t="str">
        <f ca="1">IFERROR(__xludf.DUMMYFUNCTION("split(A3402,""("")"),"Victor &amp; Valentino ")</f>
        <v xml:space="preserve">Victor &amp; Valentino </v>
      </c>
      <c r="E3402" t="str">
        <f ca="1">IFERROR(__xludf.DUMMYFUNCTION("""COMPUTED_VALUE"""),"TV Series 2019– )")</f>
        <v>TV Series 2019– )</v>
      </c>
    </row>
    <row r="3403" spans="1:5" ht="13" x14ac:dyDescent="0.15">
      <c r="A3403" s="5" t="s">
        <v>3430</v>
      </c>
      <c r="D3403" t="str">
        <f ca="1">IFERROR(__xludf.DUMMYFUNCTION("split(A3403,""("")"),"Victoria ")</f>
        <v xml:space="preserve">Victoria </v>
      </c>
      <c r="E3403" t="str">
        <f ca="1">IFERROR(__xludf.DUMMYFUNCTION("""COMPUTED_VALUE"""),"TV Series 2016– )")</f>
        <v>TV Series 2016– )</v>
      </c>
    </row>
    <row r="3404" spans="1:5" ht="13" x14ac:dyDescent="0.15">
      <c r="A3404" s="5" t="s">
        <v>3431</v>
      </c>
      <c r="D3404" t="str">
        <f ca="1">IFERROR(__xludf.DUMMYFUNCTION("split(A3404,""("")"),"Victoria &amp; Albert ")</f>
        <v xml:space="preserve">Victoria &amp; Albert </v>
      </c>
      <c r="E3404" t="str">
        <f ca="1">IFERROR(__xludf.DUMMYFUNCTION("""COMPUTED_VALUE"""),"TV Movie 2001)")</f>
        <v>TV Movie 2001)</v>
      </c>
    </row>
    <row r="3405" spans="1:5" ht="13" x14ac:dyDescent="0.15">
      <c r="A3405" s="5" t="s">
        <v>3432</v>
      </c>
      <c r="D3405" t="str">
        <f ca="1">IFERROR(__xludf.DUMMYFUNCTION("split(A3405,""("")"),"Victoria Wood ")</f>
        <v xml:space="preserve">Victoria Wood </v>
      </c>
      <c r="E3405" t="str">
        <f ca="1">IFERROR(__xludf.DUMMYFUNCTION("""COMPUTED_VALUE"""),"TV Series 1989)")</f>
        <v>TV Series 1989)</v>
      </c>
    </row>
    <row r="3406" spans="1:5" ht="13" x14ac:dyDescent="0.15">
      <c r="A3406" s="5" t="s">
        <v>3433</v>
      </c>
      <c r="D3406" t="str">
        <f ca="1">IFERROR(__xludf.DUMMYFUNCTION("split(A3406,""("")"),"Victorious ")</f>
        <v xml:space="preserve">Victorious </v>
      </c>
      <c r="E3406" t="str">
        <f ca="1">IFERROR(__xludf.DUMMYFUNCTION("""COMPUTED_VALUE"""),"TV Series 2010–2013)")</f>
        <v>TV Series 2010–2013)</v>
      </c>
    </row>
    <row r="3407" spans="1:5" ht="13" x14ac:dyDescent="0.15">
      <c r="A3407" s="5" t="s">
        <v>3434</v>
      </c>
      <c r="D3407" t="str">
        <f ca="1">IFERROR(__xludf.DUMMYFUNCTION("split(A3407,""("")"),"Vida ")</f>
        <v xml:space="preserve">Vida </v>
      </c>
      <c r="E3407" t="str">
        <f ca="1">IFERROR(__xludf.DUMMYFUNCTION("""COMPUTED_VALUE"""),"TV Series 2018– )")</f>
        <v>TV Series 2018– )</v>
      </c>
    </row>
    <row r="3408" spans="1:5" ht="13" x14ac:dyDescent="0.15">
      <c r="A3408" s="5" t="s">
        <v>3435</v>
      </c>
      <c r="D3408" t="str">
        <f ca="1">IFERROR(__xludf.DUMMYFUNCTION("split(A3408,""("")"),"Video Girl Ai ")</f>
        <v xml:space="preserve">Video Girl Ai </v>
      </c>
      <c r="E3408" t="str">
        <f ca="1">IFERROR(__xludf.DUMMYFUNCTION("""COMPUTED_VALUE"""),"TV Series 1992– )")</f>
        <v>TV Series 1992– )</v>
      </c>
    </row>
    <row r="3409" spans="1:5" ht="13" x14ac:dyDescent="0.15">
      <c r="A3409" s="5" t="s">
        <v>688</v>
      </c>
      <c r="D3409" t="str">
        <f ca="1">IFERROR(__xludf.DUMMYFUNCTION("split(A3409,""("")"),"Vikings ")</f>
        <v xml:space="preserve">Vikings </v>
      </c>
      <c r="E3409" t="str">
        <f ca="1">IFERROR(__xludf.DUMMYFUNCTION("""COMPUTED_VALUE"""),"TV Series 2013– )")</f>
        <v>TV Series 2013– )</v>
      </c>
    </row>
    <row r="3410" spans="1:5" ht="13" x14ac:dyDescent="0.15">
      <c r="A3410" s="5" t="s">
        <v>3436</v>
      </c>
      <c r="D3410" t="str">
        <f ca="1">IFERROR(__xludf.DUMMYFUNCTION("split(A3410,""("")"),"Vinari ")</f>
        <v xml:space="preserve">Vinari </v>
      </c>
      <c r="E3410" t="str">
        <f ca="1">IFERROR(__xludf.DUMMYFUNCTION("""COMPUTED_VALUE"""),"TV Series 2014– )")</f>
        <v>TV Series 2014– )</v>
      </c>
    </row>
    <row r="3411" spans="1:5" ht="13" x14ac:dyDescent="0.15">
      <c r="A3411" s="5" t="s">
        <v>323</v>
      </c>
      <c r="D3411" t="str">
        <f ca="1">IFERROR(__xludf.DUMMYFUNCTION("split(A3411,""("")"),"Vinyl ")</f>
        <v xml:space="preserve">Vinyl </v>
      </c>
      <c r="E3411" t="str">
        <f ca="1">IFERROR(__xludf.DUMMYFUNCTION("""COMPUTED_VALUE"""),"TV Series 2016)")</f>
        <v>TV Series 2016)</v>
      </c>
    </row>
    <row r="3412" spans="1:5" ht="13" x14ac:dyDescent="0.15">
      <c r="A3412" s="5" t="s">
        <v>3437</v>
      </c>
      <c r="D3412" t="str">
        <f ca="1">IFERROR(__xludf.DUMMYFUNCTION("split(A3412,""("")"),"Violetta ")</f>
        <v xml:space="preserve">Violetta </v>
      </c>
      <c r="E3412" t="str">
        <f ca="1">IFERROR(__xludf.DUMMYFUNCTION("""COMPUTED_VALUE"""),"TV Series 2012– )")</f>
        <v>TV Series 2012– )</v>
      </c>
    </row>
    <row r="3413" spans="1:5" ht="13" x14ac:dyDescent="0.15">
      <c r="A3413" s="5" t="s">
        <v>3438</v>
      </c>
      <c r="D3413" t="str">
        <f ca="1">IFERROR(__xludf.DUMMYFUNCTION("split(A3413,""("")"),"Visionaries: Knights of the Magical Light ")</f>
        <v xml:space="preserve">Visionaries: Knights of the Magical Light </v>
      </c>
      <c r="E3413" t="str">
        <f ca="1">IFERROR(__xludf.DUMMYFUNCTION("""COMPUTED_VALUE"""),"TV Series 1987)")</f>
        <v>TV Series 1987)</v>
      </c>
    </row>
    <row r="3414" spans="1:5" ht="13" x14ac:dyDescent="0.15">
      <c r="A3414" s="5" t="s">
        <v>3439</v>
      </c>
      <c r="D3414" t="str">
        <f ca="1">IFERROR(__xludf.DUMMYFUNCTION("split(A3414,""("")"),"Vital Signs ")</f>
        <v xml:space="preserve">Vital Signs </v>
      </c>
      <c r="E3414" t="str">
        <f ca="1">IFERROR(__xludf.DUMMYFUNCTION("""COMPUTED_VALUE"""),"TV Series 2006– )")</f>
        <v>TV Series 2006– )</v>
      </c>
    </row>
    <row r="3415" spans="1:5" ht="13" x14ac:dyDescent="0.15">
      <c r="A3415" s="5" t="s">
        <v>3440</v>
      </c>
      <c r="D3415" t="str">
        <f ca="1">IFERROR(__xludf.DUMMYFUNCTION("split(A3415,""("")"),"Viva Variety ")</f>
        <v xml:space="preserve">Viva Variety </v>
      </c>
      <c r="E3415" t="str">
        <f ca="1">IFERROR(__xludf.DUMMYFUNCTION("""COMPUTED_VALUE"""),"TV Series 1997–1999)")</f>
        <v>TV Series 1997–1999)</v>
      </c>
    </row>
    <row r="3416" spans="1:5" ht="13" x14ac:dyDescent="0.15">
      <c r="A3416" s="5" t="s">
        <v>3441</v>
      </c>
      <c r="D3416" t="str">
        <f ca="1">IFERROR(__xludf.DUMMYFUNCTION("split(A3416,""("")"),"Vixen ")</f>
        <v xml:space="preserve">Vixen </v>
      </c>
      <c r="E3416" t="str">
        <f ca="1">IFERROR(__xludf.DUMMYFUNCTION("""COMPUTED_VALUE"""),"TV Series 2015–2016)")</f>
        <v>TV Series 2015–2016)</v>
      </c>
    </row>
    <row r="3417" spans="1:5" ht="13" x14ac:dyDescent="0.15">
      <c r="A3417" s="5" t="s">
        <v>3442</v>
      </c>
      <c r="D3417" t="str">
        <f ca="1">IFERROR(__xludf.DUMMYFUNCTION("split(A3417,""("")"),"Voltron: Legendary Defender ")</f>
        <v xml:space="preserve">Voltron: Legendary Defender </v>
      </c>
      <c r="E3417" t="str">
        <f ca="1">IFERROR(__xludf.DUMMYFUNCTION("""COMPUTED_VALUE"""),"TV Series 2016–2018)")</f>
        <v>TV Series 2016–2018)</v>
      </c>
    </row>
    <row r="3418" spans="1:5" ht="13" x14ac:dyDescent="0.15">
      <c r="A3418" s="5" t="s">
        <v>3443</v>
      </c>
      <c r="D3418" t="str">
        <f ca="1">IFERROR(__xludf.DUMMYFUNCTION("split(A3418,""("")"),"Voltron: The Third Dimension ")</f>
        <v xml:space="preserve">Voltron: The Third Dimension </v>
      </c>
      <c r="E3418" t="str">
        <f ca="1">IFERROR(__xludf.DUMMYFUNCTION("""COMPUTED_VALUE"""),"TV Series 1998–2000)")</f>
        <v>TV Series 1998–2000)</v>
      </c>
    </row>
    <row r="3419" spans="1:5" ht="13" x14ac:dyDescent="0.15">
      <c r="A3419" s="5" t="s">
        <v>3444</v>
      </c>
      <c r="D3419" t="str">
        <f ca="1">IFERROR(__xludf.DUMMYFUNCTION("split(A3419,""("")"),"Voyage of the Unicorn ")</f>
        <v xml:space="preserve">Voyage of the Unicorn </v>
      </c>
      <c r="E3419" t="str">
        <f ca="1">IFERROR(__xludf.DUMMYFUNCTION("""COMPUTED_VALUE"""),"TV Movie 2001)")</f>
        <v>TV Movie 2001)</v>
      </c>
    </row>
    <row r="3420" spans="1:5" ht="13" x14ac:dyDescent="0.15">
      <c r="A3420" s="5" t="s">
        <v>3445</v>
      </c>
      <c r="D3420" t="str">
        <f ca="1">IFERROR(__xludf.DUMMYFUNCTION("split(A3420,""("")"),"Vsechny moje lásky ")</f>
        <v xml:space="preserve">Vsechny moje lásky </v>
      </c>
      <c r="E3420" t="str">
        <f ca="1">IFERROR(__xludf.DUMMYFUNCTION("""COMPUTED_VALUE"""),"TV Series 2015– )")</f>
        <v>TV Series 2015– )</v>
      </c>
    </row>
    <row r="3421" spans="1:5" ht="13" x14ac:dyDescent="0.15">
      <c r="A3421" s="5" t="s">
        <v>3446</v>
      </c>
      <c r="D3421" t="str">
        <f ca="1">IFERROR(__xludf.DUMMYFUNCTION("split(A3421,""("")"),"Vysehrad ")</f>
        <v xml:space="preserve">Vysehrad </v>
      </c>
      <c r="E3421" t="str">
        <f ca="1">IFERROR(__xludf.DUMMYFUNCTION("""COMPUTED_VALUE"""),"TV Series 2016– )")</f>
        <v>TV Series 2016– )</v>
      </c>
    </row>
    <row r="3422" spans="1:5" ht="13" x14ac:dyDescent="0.15">
      <c r="A3422" s="5" t="s">
        <v>3447</v>
      </c>
      <c r="D3422" t="str">
        <f ca="1">IFERROR(__xludf.DUMMYFUNCTION("split(A3422,""("")"),"W.I.T.C.H. ")</f>
        <v xml:space="preserve">W.I.T.C.H. </v>
      </c>
      <c r="E3422" t="str">
        <f ca="1">IFERROR(__xludf.DUMMYFUNCTION("""COMPUTED_VALUE"""),"TV Series 2004–2006)")</f>
        <v>TV Series 2004–2006)</v>
      </c>
    </row>
    <row r="3423" spans="1:5" ht="13" x14ac:dyDescent="0.15">
      <c r="A3423" s="5" t="s">
        <v>3448</v>
      </c>
      <c r="D3423" t="str">
        <f ca="1">IFERROR(__xludf.DUMMYFUNCTION("split(A3423,""("")"),"Wacky Races ")</f>
        <v xml:space="preserve">Wacky Races </v>
      </c>
      <c r="E3423" t="str">
        <f ca="1">IFERROR(__xludf.DUMMYFUNCTION("""COMPUTED_VALUE"""),"TV Series 2017– )")</f>
        <v>TV Series 2017– )</v>
      </c>
    </row>
    <row r="3424" spans="1:5" ht="13" x14ac:dyDescent="0.15">
      <c r="A3424" s="5" t="s">
        <v>3449</v>
      </c>
      <c r="D3424" t="str">
        <f ca="1">IFERROR(__xludf.DUMMYFUNCTION("split(A3424,""("")"),"Wainy Days ")</f>
        <v xml:space="preserve">Wainy Days </v>
      </c>
      <c r="E3424" t="str">
        <f ca="1">IFERROR(__xludf.DUMMYFUNCTION("""COMPUTED_VALUE"""),"TV Series 2007– )")</f>
        <v>TV Series 2007– )</v>
      </c>
    </row>
    <row r="3425" spans="1:5" ht="13" x14ac:dyDescent="0.15">
      <c r="A3425" s="5" t="s">
        <v>3450</v>
      </c>
      <c r="D3425" t="str">
        <f ca="1">IFERROR(__xludf.DUMMYFUNCTION("split(A3425,""("")"),"Waiting for God ")</f>
        <v xml:space="preserve">Waiting for God </v>
      </c>
      <c r="E3425" t="str">
        <f ca="1">IFERROR(__xludf.DUMMYFUNCTION("""COMPUTED_VALUE"""),"TV Series 1990–1994)")</f>
        <v>TV Series 1990–1994)</v>
      </c>
    </row>
    <row r="3426" spans="1:5" ht="13" x14ac:dyDescent="0.15">
      <c r="A3426" s="5" t="s">
        <v>3451</v>
      </c>
      <c r="D3426" t="str">
        <f ca="1">IFERROR(__xludf.DUMMYFUNCTION("split(A3426,""("")"),"Wake, Rattle &amp; Roll ")</f>
        <v xml:space="preserve">Wake, Rattle &amp; Roll </v>
      </c>
      <c r="E3426" t="str">
        <f ca="1">IFERROR(__xludf.DUMMYFUNCTION("""COMPUTED_VALUE"""),"TV Series 1990–1992)")</f>
        <v>TV Series 1990–1992)</v>
      </c>
    </row>
    <row r="3427" spans="1:5" ht="13" x14ac:dyDescent="0.15">
      <c r="A3427" s="5" t="s">
        <v>3452</v>
      </c>
      <c r="D3427" t="str">
        <f ca="1">IFERROR(__xludf.DUMMYFUNCTION("split(A3427,""("")"),"Waking the Dead ")</f>
        <v xml:space="preserve">Waking the Dead </v>
      </c>
      <c r="E3427" t="str">
        <f ca="1">IFERROR(__xludf.DUMMYFUNCTION("""COMPUTED_VALUE"""),"TV Series 2000–2011)")</f>
        <v>TV Series 2000–2011)</v>
      </c>
    </row>
    <row r="3428" spans="1:5" ht="13" x14ac:dyDescent="0.15">
      <c r="A3428" s="5" t="s">
        <v>3453</v>
      </c>
      <c r="D3428" t="str">
        <f ca="1">IFERROR(__xludf.DUMMYFUNCTION("split(A3428,""("")"),"Walang hanggan ")</f>
        <v xml:space="preserve">Walang hanggan </v>
      </c>
      <c r="E3428" t="str">
        <f ca="1">IFERROR(__xludf.DUMMYFUNCTION("""COMPUTED_VALUE"""),"TV Series 2012)")</f>
        <v>TV Series 2012)</v>
      </c>
    </row>
    <row r="3429" spans="1:5" ht="13" x14ac:dyDescent="0.15">
      <c r="A3429" s="5" t="s">
        <v>263</v>
      </c>
      <c r="D3429" t="str">
        <f ca="1">IFERROR(__xludf.DUMMYFUNCTION("split(A3429,""("")"),"Walker, Texas Ranger ")</f>
        <v xml:space="preserve">Walker, Texas Ranger </v>
      </c>
      <c r="E3429" t="str">
        <f ca="1">IFERROR(__xludf.DUMMYFUNCTION("""COMPUTED_VALUE"""),"TV Series 1993–2001)")</f>
        <v>TV Series 1993–2001)</v>
      </c>
    </row>
    <row r="3430" spans="1:5" ht="13" x14ac:dyDescent="0.15">
      <c r="A3430" s="5" t="s">
        <v>3454</v>
      </c>
      <c r="D3430" t="str">
        <f ca="1">IFERROR(__xludf.DUMMYFUNCTION("split(A3430,""("")"),"Walking the Amazon ")</f>
        <v xml:space="preserve">Walking the Amazon </v>
      </c>
      <c r="E3430" t="str">
        <f ca="1">IFERROR(__xludf.DUMMYFUNCTION("""COMPUTED_VALUE"""),"TV Series 2011– )")</f>
        <v>TV Series 2011– )</v>
      </c>
    </row>
    <row r="3431" spans="1:5" ht="13" x14ac:dyDescent="0.15">
      <c r="A3431" s="5" t="s">
        <v>3455</v>
      </c>
      <c r="D3431" t="str">
        <f ca="1">IFERROR(__xludf.DUMMYFUNCTION("split(A3431,""("")"),"Wallander ")</f>
        <v xml:space="preserve">Wallander </v>
      </c>
      <c r="E3431" t="str">
        <f ca="1">IFERROR(__xludf.DUMMYFUNCTION("""COMPUTED_VALUE"""),"TV Series 2005–2013)")</f>
        <v>TV Series 2005–2013)</v>
      </c>
    </row>
    <row r="3432" spans="1:5" ht="13" x14ac:dyDescent="0.15">
      <c r="A3432" s="5" t="s">
        <v>3456</v>
      </c>
      <c r="D3432" t="str">
        <f ca="1">IFERROR(__xludf.DUMMYFUNCTION("split(A3432,""("")"),"Wallander ")</f>
        <v xml:space="preserve">Wallander </v>
      </c>
      <c r="E3432" t="str">
        <f ca="1">IFERROR(__xludf.DUMMYFUNCTION("""COMPUTED_VALUE"""),"TV Series 2008–2016)")</f>
        <v>TV Series 2008–2016)</v>
      </c>
    </row>
    <row r="3433" spans="1:5" ht="13" x14ac:dyDescent="0.15">
      <c r="A3433" s="5" t="s">
        <v>3457</v>
      </c>
      <c r="D3433" t="str">
        <f ca="1">IFERROR(__xludf.DUMMYFUNCTION("split(A3433,""("")"),"Wan pîsu ")</f>
        <v xml:space="preserve">Wan pîsu </v>
      </c>
      <c r="E3433" t="str">
        <f ca="1">IFERROR(__xludf.DUMMYFUNCTION("""COMPUTED_VALUE"""),"TV Series 1999– )")</f>
        <v>TV Series 1999– )</v>
      </c>
    </row>
    <row r="3434" spans="1:5" ht="13" x14ac:dyDescent="0.15">
      <c r="A3434" s="5" t="s">
        <v>3458</v>
      </c>
      <c r="D3434" t="str">
        <f ca="1">IFERROR(__xludf.DUMMYFUNCTION("split(A3434,""("")"),"Wander Over Yonder ")</f>
        <v xml:space="preserve">Wander Over Yonder </v>
      </c>
      <c r="E3434" t="str">
        <f ca="1">IFERROR(__xludf.DUMMYFUNCTION("""COMPUTED_VALUE"""),"TV Series 2013–2016)")</f>
        <v>TV Series 2013–2016)</v>
      </c>
    </row>
    <row r="3435" spans="1:5" ht="13" x14ac:dyDescent="0.15">
      <c r="A3435" s="5" t="s">
        <v>299</v>
      </c>
      <c r="D3435" t="str">
        <f ca="1">IFERROR(__xludf.DUMMYFUNCTION("split(A3435,""("")"),"Wanderlust ")</f>
        <v xml:space="preserve">Wanderlust </v>
      </c>
      <c r="E3435" t="str">
        <f ca="1">IFERROR(__xludf.DUMMYFUNCTION("""COMPUTED_VALUE"""),"TV Series 2018– )")</f>
        <v>TV Series 2018– )</v>
      </c>
    </row>
    <row r="3436" spans="1:5" ht="13" x14ac:dyDescent="0.15">
      <c r="A3436" s="5" t="s">
        <v>3459</v>
      </c>
      <c r="D3436" t="str">
        <f ca="1">IFERROR(__xludf.DUMMYFUNCTION("split(A3436,""("")"),"Wangzi bian qingwa ")</f>
        <v xml:space="preserve">Wangzi bian qingwa </v>
      </c>
      <c r="E3436" t="str">
        <f ca="1">IFERROR(__xludf.DUMMYFUNCTION("""COMPUTED_VALUE"""),"TV Series 2005– )")</f>
        <v>TV Series 2005– )</v>
      </c>
    </row>
    <row r="3437" spans="1:5" ht="13" x14ac:dyDescent="0.15">
      <c r="A3437" s="5" t="s">
        <v>3460</v>
      </c>
      <c r="D3437" t="str">
        <f ca="1">IFERROR(__xludf.DUMMYFUNCTION("split(A3437,""("")"),"Wanna Be the Strongest in the World ")</f>
        <v xml:space="preserve">Wanna Be the Strongest in the World </v>
      </c>
      <c r="E3437" t="str">
        <f ca="1">IFERROR(__xludf.DUMMYFUNCTION("""COMPUTED_VALUE"""),"TV Series 2013– )")</f>
        <v>TV Series 2013– )</v>
      </c>
    </row>
    <row r="3438" spans="1:5" ht="13" x14ac:dyDescent="0.15">
      <c r="A3438" s="5" t="s">
        <v>3461</v>
      </c>
      <c r="D3438" t="str">
        <f ca="1">IFERROR(__xludf.DUMMYFUNCTION("split(A3438,""("")"),"Wanted ")</f>
        <v xml:space="preserve">Wanted </v>
      </c>
      <c r="E3438" t="str">
        <f ca="1">IFERROR(__xludf.DUMMYFUNCTION("""COMPUTED_VALUE"""),"TV Series 1996–1997)")</f>
        <v>TV Series 1996–1997)</v>
      </c>
    </row>
    <row r="3439" spans="1:5" ht="13" x14ac:dyDescent="0.15">
      <c r="A3439" s="5" t="s">
        <v>170</v>
      </c>
      <c r="D3439" t="str">
        <f ca="1">IFERROR(__xludf.DUMMYFUNCTION("split(A3439,""("")"),"War of the Worlds ")</f>
        <v xml:space="preserve">War of the Worlds </v>
      </c>
      <c r="E3439" t="str">
        <f ca="1">IFERROR(__xludf.DUMMYFUNCTION("""COMPUTED_VALUE"""),"TV Series 1988–1990)")</f>
        <v>TV Series 1988–1990)</v>
      </c>
    </row>
    <row r="3440" spans="1:5" ht="13" x14ac:dyDescent="0.15">
      <c r="A3440" s="5" t="s">
        <v>3462</v>
      </c>
      <c r="D3440" t="str">
        <f ca="1">IFERROR(__xludf.DUMMYFUNCTION("split(A3440,""("")"),"Warship ")</f>
        <v xml:space="preserve">Warship </v>
      </c>
      <c r="E3440" t="str">
        <f ca="1">IFERROR(__xludf.DUMMYFUNCTION("""COMPUTED_VALUE"""),"TV Series 2001– )")</f>
        <v>TV Series 2001– )</v>
      </c>
    </row>
    <row r="3441" spans="1:5" ht="13" x14ac:dyDescent="0.15">
      <c r="A3441" s="5" t="s">
        <v>3463</v>
      </c>
      <c r="D3441" t="str">
        <f ca="1">IFERROR(__xludf.DUMMYFUNCTION("split(A3441,""("")"),"Wat nu weer!? ")</f>
        <v xml:space="preserve">Wat nu weer!? </v>
      </c>
      <c r="E3441" t="str">
        <f ca="1">IFERROR(__xludf.DUMMYFUNCTION("""COMPUTED_VALUE"""),"TV Series 1995– )")</f>
        <v>TV Series 1995– )</v>
      </c>
    </row>
    <row r="3442" spans="1:5" ht="13" x14ac:dyDescent="0.15">
      <c r="A3442" s="5" t="s">
        <v>3464</v>
      </c>
      <c r="D3442" t="str">
        <f ca="1">IFERROR(__xludf.DUMMYFUNCTION("split(A3442,""("")"),"WataMote: No Matter How I Look at It, It's You Guys' Fault I'm Not Popular! ")</f>
        <v xml:space="preserve">WataMote: No Matter How I Look at It, It's You Guys' Fault I'm Not Popular! </v>
      </c>
      <c r="E3442" t="str">
        <f ca="1">IFERROR(__xludf.DUMMYFUNCTION("""COMPUTED_VALUE"""),"TV Series 2013)")</f>
        <v>TV Series 2013)</v>
      </c>
    </row>
    <row r="3443" spans="1:5" ht="13" x14ac:dyDescent="0.15">
      <c r="A3443" s="5" t="s">
        <v>3465</v>
      </c>
      <c r="D3443" t="str">
        <f ca="1">IFERROR(__xludf.DUMMYFUNCTION("split(A3443,""("")"),"Water Rats ")</f>
        <v xml:space="preserve">Water Rats </v>
      </c>
      <c r="E3443" t="str">
        <f ca="1">IFERROR(__xludf.DUMMYFUNCTION("""COMPUTED_VALUE"""),"TV Series 1996–2001)")</f>
        <v>TV Series 1996–2001)</v>
      </c>
    </row>
    <row r="3444" spans="1:5" ht="13" x14ac:dyDescent="0.15">
      <c r="A3444" s="5" t="s">
        <v>3466</v>
      </c>
      <c r="D3444" t="str">
        <f ca="1">IFERROR(__xludf.DUMMYFUNCTION("split(A3444,""("")"),"Wayne and Shuster in Black and White ")</f>
        <v xml:space="preserve">Wayne and Shuster in Black and White </v>
      </c>
      <c r="E3444" t="str">
        <f ca="1">IFERROR(__xludf.DUMMYFUNCTION("""COMPUTED_VALUE"""),"TV Series 1996– )")</f>
        <v>TV Series 1996– )</v>
      </c>
    </row>
    <row r="3445" spans="1:5" ht="13" x14ac:dyDescent="0.15">
      <c r="A3445" s="5" t="s">
        <v>3467</v>
      </c>
      <c r="D3445" t="str">
        <f ca="1">IFERROR(__xludf.DUMMYFUNCTION("split(A3445,""("")"),"Ways of the Heart ")</f>
        <v xml:space="preserve">Ways of the Heart </v>
      </c>
      <c r="E3445" t="str">
        <f ca="1">IFERROR(__xludf.DUMMYFUNCTION("""COMPUTED_VALUE"""),"TV Series 2007–2008)")</f>
        <v>TV Series 2007–2008)</v>
      </c>
    </row>
    <row r="3446" spans="1:5" ht="13" x14ac:dyDescent="0.15">
      <c r="A3446" s="5" t="s">
        <v>3468</v>
      </c>
      <c r="D3446" t="str">
        <f ca="1">IFERROR(__xludf.DUMMYFUNCTION("split(A3446,""("")"),"We Bare Bears ")</f>
        <v xml:space="preserve">We Bare Bears </v>
      </c>
      <c r="E3446" t="str">
        <f ca="1">IFERROR(__xludf.DUMMYFUNCTION("""COMPUTED_VALUE"""),"TV Series 2014– )")</f>
        <v>TV Series 2014– )</v>
      </c>
    </row>
    <row r="3447" spans="1:5" ht="13" x14ac:dyDescent="0.15">
      <c r="A3447" s="5" t="s">
        <v>3469</v>
      </c>
      <c r="D3447" t="str">
        <f ca="1">IFERROR(__xludf.DUMMYFUNCTION("split(A3447,""("")"),"Weather Report Girl ")</f>
        <v xml:space="preserve">Weather Report Girl </v>
      </c>
      <c r="E3447" t="str">
        <f ca="1">IFERROR(__xludf.DUMMYFUNCTION("""COMPUTED_VALUE"""),"TV Series 1994– )")</f>
        <v>TV Series 1994– )</v>
      </c>
    </row>
    <row r="3448" spans="1:5" ht="13" x14ac:dyDescent="0.15">
      <c r="A3448" s="5" t="s">
        <v>3470</v>
      </c>
      <c r="D3448" t="str">
        <f ca="1">IFERROR(__xludf.DUMMYFUNCTION("split(A3448,""("")"),"Webdreams ")</f>
        <v xml:space="preserve">Webdreams </v>
      </c>
      <c r="E3448" t="str">
        <f ca="1">IFERROR(__xludf.DUMMYFUNCTION("""COMPUTED_VALUE"""),"TV Series 2005– )")</f>
        <v>TV Series 2005– )</v>
      </c>
    </row>
    <row r="3449" spans="1:5" ht="13" x14ac:dyDescent="0.15">
      <c r="A3449" s="5" t="s">
        <v>385</v>
      </c>
      <c r="D3449" t="str">
        <f ca="1">IFERROR(__xludf.DUMMYFUNCTION("split(A3449,""("")"),"Weeds ")</f>
        <v xml:space="preserve">Weeds </v>
      </c>
      <c r="E3449" t="str">
        <f ca="1">IFERROR(__xludf.DUMMYFUNCTION("""COMPUTED_VALUE"""),"TV Series 2005–2012)")</f>
        <v>TV Series 2005–2012)</v>
      </c>
    </row>
    <row r="3450" spans="1:5" ht="13" x14ac:dyDescent="0.15">
      <c r="A3450" s="5" t="s">
        <v>92</v>
      </c>
      <c r="D3450" t="str">
        <f ca="1">IFERROR(__xludf.DUMMYFUNCTION("split(A3450,""("")"),"Welcome to Pooh Corner ")</f>
        <v xml:space="preserve">Welcome to Pooh Corner </v>
      </c>
      <c r="E3450" t="str">
        <f ca="1">IFERROR(__xludf.DUMMYFUNCTION("""COMPUTED_VALUE"""),"TV Series 1983–1986)")</f>
        <v>TV Series 1983–1986)</v>
      </c>
    </row>
    <row r="3451" spans="1:5" ht="13" x14ac:dyDescent="0.15">
      <c r="A3451" s="5" t="s">
        <v>3471</v>
      </c>
      <c r="D3451" t="str">
        <f ca="1">IFERROR(__xludf.DUMMYFUNCTION("split(A3451,""("")"),"Wentworth ")</f>
        <v xml:space="preserve">Wentworth </v>
      </c>
      <c r="E3451" t="str">
        <f ca="1">IFERROR(__xludf.DUMMYFUNCTION("""COMPUTED_VALUE"""),"TV Series 2013– )")</f>
        <v>TV Series 2013– )</v>
      </c>
    </row>
    <row r="3452" spans="1:5" ht="13" x14ac:dyDescent="0.15">
      <c r="A3452" s="5" t="s">
        <v>3472</v>
      </c>
      <c r="D3452" t="str">
        <f ca="1">IFERROR(__xludf.DUMMYFUNCTION("split(A3452,""("")"),"Westenwind ")</f>
        <v xml:space="preserve">Westenwind </v>
      </c>
      <c r="E3452" t="str">
        <f ca="1">IFERROR(__xludf.DUMMYFUNCTION("""COMPUTED_VALUE"""),"TV Series 1999–2003)")</f>
        <v>TV Series 1999–2003)</v>
      </c>
    </row>
    <row r="3453" spans="1:5" ht="13" x14ac:dyDescent="0.15">
      <c r="A3453" s="5" t="s">
        <v>14</v>
      </c>
      <c r="D3453" t="str">
        <f ca="1">IFERROR(__xludf.DUMMYFUNCTION("split(A3453,""("")"),"Westworld ")</f>
        <v xml:space="preserve">Westworld </v>
      </c>
      <c r="E3453" t="str">
        <f ca="1">IFERROR(__xludf.DUMMYFUNCTION("""COMPUTED_VALUE"""),"TV Series 2016– )")</f>
        <v>TV Series 2016– )</v>
      </c>
    </row>
    <row r="3454" spans="1:5" ht="13" x14ac:dyDescent="0.15">
      <c r="A3454" s="5" t="s">
        <v>407</v>
      </c>
      <c r="D3454" t="str">
        <f ca="1">IFERROR(__xludf.DUMMYFUNCTION("split(A3454,""("")"),"Wet Hot American Summer: Ten Years Later ")</f>
        <v xml:space="preserve">Wet Hot American Summer: Ten Years Later </v>
      </c>
      <c r="E3454" t="str">
        <f ca="1">IFERROR(__xludf.DUMMYFUNCTION("""COMPUTED_VALUE"""),"TV Series 2017)")</f>
        <v>TV Series 2017)</v>
      </c>
    </row>
    <row r="3455" spans="1:5" ht="13" x14ac:dyDescent="0.15">
      <c r="A3455" s="5" t="s">
        <v>3473</v>
      </c>
      <c r="D3455" t="str">
        <f ca="1">IFERROR(__xludf.DUMMYFUNCTION("split(A3455,""("")"),"Whale Wars ")</f>
        <v xml:space="preserve">Whale Wars </v>
      </c>
      <c r="E3455" t="str">
        <f ca="1">IFERROR(__xludf.DUMMYFUNCTION("""COMPUTED_VALUE"""),"TV Series 2008– )")</f>
        <v>TV Series 2008– )</v>
      </c>
    </row>
    <row r="3456" spans="1:5" ht="13" x14ac:dyDescent="0.15">
      <c r="A3456" s="5" t="s">
        <v>3474</v>
      </c>
      <c r="D3456" t="str">
        <f ca="1">IFERROR(__xludf.DUMMYFUNCTION("split(A3456,""("")"),"What About Brian ")</f>
        <v xml:space="preserve">What About Brian </v>
      </c>
      <c r="E3456" t="str">
        <f ca="1">IFERROR(__xludf.DUMMYFUNCTION("""COMPUTED_VALUE"""),"TV Series 2006–2007)")</f>
        <v>TV Series 2006–2007)</v>
      </c>
    </row>
    <row r="3457" spans="1:5" ht="13" x14ac:dyDescent="0.15">
      <c r="A3457" s="5" t="s">
        <v>3475</v>
      </c>
      <c r="D3457" t="str">
        <f ca="1">IFERROR(__xludf.DUMMYFUNCTION("split(A3457,""("")"),"What Happens in Kavos ")</f>
        <v xml:space="preserve">What Happens in Kavos </v>
      </c>
      <c r="E3457" t="str">
        <f ca="1">IFERROR(__xludf.DUMMYFUNCTION("""COMPUTED_VALUE"""),"TV Series 2013– )")</f>
        <v>TV Series 2013– )</v>
      </c>
    </row>
    <row r="3458" spans="1:5" ht="13" x14ac:dyDescent="0.15">
      <c r="A3458" s="5" t="s">
        <v>460</v>
      </c>
      <c r="D3458" t="str">
        <f ca="1">IFERROR(__xludf.DUMMYFUNCTION("split(A3458,""("")"),"What We Do in the Shadows ")</f>
        <v xml:space="preserve">What We Do in the Shadows </v>
      </c>
      <c r="E3458" t="str">
        <f ca="1">IFERROR(__xludf.DUMMYFUNCTION("""COMPUTED_VALUE"""),"TV Series 2019– )")</f>
        <v>TV Series 2019– )</v>
      </c>
    </row>
    <row r="3459" spans="1:5" ht="13" x14ac:dyDescent="0.15">
      <c r="A3459" s="5" t="s">
        <v>3476</v>
      </c>
      <c r="D3459" t="str">
        <f ca="1">IFERROR(__xludf.DUMMYFUNCTION("split(A3459,""("")"),"Wheeler Dealers ")</f>
        <v xml:space="preserve">Wheeler Dealers </v>
      </c>
      <c r="E3459" t="str">
        <f ca="1">IFERROR(__xludf.DUMMYFUNCTION("""COMPUTED_VALUE"""),"TV Series 2003– )")</f>
        <v>TV Series 2003– )</v>
      </c>
    </row>
    <row r="3460" spans="1:5" ht="13" x14ac:dyDescent="0.15">
      <c r="A3460" s="5" t="s">
        <v>3477</v>
      </c>
      <c r="D3460" t="str">
        <f ca="1">IFERROR(__xludf.DUMMYFUNCTION("split(A3460,""("")"),"When Heroes Fly ")</f>
        <v xml:space="preserve">When Heroes Fly </v>
      </c>
      <c r="E3460" t="str">
        <f ca="1">IFERROR(__xludf.DUMMYFUNCTION("""COMPUTED_VALUE"""),"TV Series 2018– )")</f>
        <v>TV Series 2018– )</v>
      </c>
    </row>
    <row r="3461" spans="1:5" ht="13" x14ac:dyDescent="0.15">
      <c r="A3461" s="5" t="s">
        <v>3478</v>
      </c>
      <c r="D3461" t="str">
        <f ca="1">IFERROR(__xludf.DUMMYFUNCTION("split(A3461,""("")"),"When They Cry ")</f>
        <v xml:space="preserve">When They Cry </v>
      </c>
      <c r="E3461" t="str">
        <f ca="1">IFERROR(__xludf.DUMMYFUNCTION("""COMPUTED_VALUE"""),"TV Series 2006– )")</f>
        <v>TV Series 2006– )</v>
      </c>
    </row>
    <row r="3462" spans="1:5" ht="13" x14ac:dyDescent="0.15">
      <c r="A3462" s="5" t="s">
        <v>3479</v>
      </c>
      <c r="D3462" t="str">
        <f ca="1">IFERROR(__xludf.DUMMYFUNCTION("split(A3462,""("")"),"Whispering Jane ASMR ")</f>
        <v xml:space="preserve">Whispering Jane ASMR </v>
      </c>
      <c r="E3462" t="str">
        <f ca="1">IFERROR(__xludf.DUMMYFUNCTION("""COMPUTED_VALUE"""),"TV Series 2016– )")</f>
        <v>TV Series 2016– )</v>
      </c>
    </row>
    <row r="3463" spans="1:5" ht="13" x14ac:dyDescent="0.15">
      <c r="A3463" s="5" t="s">
        <v>3480</v>
      </c>
      <c r="D3463" t="str">
        <f ca="1">IFERROR(__xludf.DUMMYFUNCTION("split(A3463,""("")"),"White Collar ")</f>
        <v xml:space="preserve">White Collar </v>
      </c>
      <c r="E3463" t="str">
        <f ca="1">IFERROR(__xludf.DUMMYFUNCTION("""COMPUTED_VALUE"""),"TV Series 2009–2014)")</f>
        <v>TV Series 2009–2014)</v>
      </c>
    </row>
    <row r="3464" spans="1:5" ht="13" x14ac:dyDescent="0.15">
      <c r="A3464" s="5" t="s">
        <v>3481</v>
      </c>
      <c r="D3464" t="str">
        <f ca="1">IFERROR(__xludf.DUMMYFUNCTION("split(A3464,""("")"),"White Gold ")</f>
        <v xml:space="preserve">White Gold </v>
      </c>
      <c r="E3464" t="str">
        <f ca="1">IFERROR(__xludf.DUMMYFUNCTION("""COMPUTED_VALUE"""),"TV Series 2017– )")</f>
        <v>TV Series 2017– )</v>
      </c>
    </row>
    <row r="3465" spans="1:5" ht="13" x14ac:dyDescent="0.15">
      <c r="A3465" s="5" t="s">
        <v>3482</v>
      </c>
      <c r="D3465" t="str">
        <f ca="1">IFERROR(__xludf.DUMMYFUNCTION("split(A3465,""("")"),"Whitechapel ")</f>
        <v xml:space="preserve">Whitechapel </v>
      </c>
      <c r="E3465" t="str">
        <f ca="1">IFERROR(__xludf.DUMMYFUNCTION("""COMPUTED_VALUE"""),"TV Series 2009–2013)")</f>
        <v>TV Series 2009–2013)</v>
      </c>
    </row>
    <row r="3466" spans="1:5" ht="13" x14ac:dyDescent="0.15">
      <c r="A3466" s="5" t="s">
        <v>3483</v>
      </c>
      <c r="D3466" t="str">
        <f ca="1">IFERROR(__xludf.DUMMYFUNCTION("split(A3466,""("")"),"WhiteMike193 ")</f>
        <v xml:space="preserve">WhiteMike193 </v>
      </c>
      <c r="E3466" t="str">
        <f ca="1">IFERROR(__xludf.DUMMYFUNCTION("""COMPUTED_VALUE"""),"TV Series 2010–2015)")</f>
        <v>TV Series 2010–2015)</v>
      </c>
    </row>
    <row r="3467" spans="1:5" ht="13" x14ac:dyDescent="0.15">
      <c r="A3467" s="5" t="s">
        <v>3484</v>
      </c>
      <c r="D3467" t="str">
        <f ca="1">IFERROR(__xludf.DUMMYFUNCTION("split(A3467,""("")"),"Who Do You Think You Are? ")</f>
        <v xml:space="preserve">Who Do You Think You Are? </v>
      </c>
      <c r="E3467" t="str">
        <f ca="1">IFERROR(__xludf.DUMMYFUNCTION("""COMPUTED_VALUE"""),"TV Series 2010– )")</f>
        <v>TV Series 2010– )</v>
      </c>
    </row>
    <row r="3468" spans="1:5" ht="13" x14ac:dyDescent="0.15">
      <c r="A3468" s="5" t="s">
        <v>3485</v>
      </c>
      <c r="D3468" t="str">
        <f ca="1">IFERROR(__xludf.DUMMYFUNCTION("split(A3468,""("")"),"Who Is America? ")</f>
        <v xml:space="preserve">Who Is America? </v>
      </c>
      <c r="E3468" t="str">
        <f ca="1">IFERROR(__xludf.DUMMYFUNCTION("""COMPUTED_VALUE"""),"TV Series 2018– )")</f>
        <v>TV Series 2018– )</v>
      </c>
    </row>
    <row r="3469" spans="1:5" ht="13" x14ac:dyDescent="0.15">
      <c r="A3469" s="5" t="s">
        <v>3486</v>
      </c>
      <c r="D3469" t="str">
        <f ca="1">IFERROR(__xludf.DUMMYFUNCTION("split(A3469,""("")"),"Who Is Shinobi RedEye? ")</f>
        <v xml:space="preserve">Who Is Shinobi RedEye? </v>
      </c>
      <c r="E3469" t="str">
        <f ca="1">IFERROR(__xludf.DUMMYFUNCTION("""COMPUTED_VALUE"""),"TV Series 2016)")</f>
        <v>TV Series 2016)</v>
      </c>
    </row>
    <row r="3470" spans="1:5" ht="13" x14ac:dyDescent="0.15">
      <c r="A3470" s="5" t="s">
        <v>3487</v>
      </c>
      <c r="D3470" t="str">
        <f ca="1">IFERROR(__xludf.DUMMYFUNCTION("split(A3470,""("")"),"Who's Still Standing? ")</f>
        <v xml:space="preserve">Who's Still Standing? </v>
      </c>
      <c r="E3470" t="str">
        <f ca="1">IFERROR(__xludf.DUMMYFUNCTION("""COMPUTED_VALUE"""),"TV Series 2011–2012)")</f>
        <v>TV Series 2011–2012)</v>
      </c>
    </row>
    <row r="3471" spans="1:5" ht="13" x14ac:dyDescent="0.15">
      <c r="A3471" s="5" t="s">
        <v>3488</v>
      </c>
      <c r="D3471" t="str">
        <f ca="1">IFERROR(__xludf.DUMMYFUNCTION("split(A3471,""("")"),"Who's the Boss? ")</f>
        <v xml:space="preserve">Who's the Boss? </v>
      </c>
      <c r="E3471" t="str">
        <f ca="1">IFERROR(__xludf.DUMMYFUNCTION("""COMPUTED_VALUE"""),"TV Series 1984–1992)")</f>
        <v>TV Series 1984–1992)</v>
      </c>
    </row>
    <row r="3472" spans="1:5" ht="13" x14ac:dyDescent="0.15">
      <c r="A3472" s="5" t="s">
        <v>3489</v>
      </c>
      <c r="D3472" t="str">
        <f ca="1">IFERROR(__xludf.DUMMYFUNCTION("split(A3472,""("")"),"Whoops Apocalypse ")</f>
        <v xml:space="preserve">Whoops Apocalypse </v>
      </c>
      <c r="E3472" t="str">
        <f ca="1">IFERROR(__xludf.DUMMYFUNCTION("""COMPUTED_VALUE"""),"TV Series 1982– )")</f>
        <v>TV Series 1982– )</v>
      </c>
    </row>
    <row r="3473" spans="1:6" ht="13" x14ac:dyDescent="0.15">
      <c r="A3473" s="5" t="s">
        <v>3490</v>
      </c>
      <c r="D3473" t="str">
        <f ca="1">IFERROR(__xludf.DUMMYFUNCTION("split(A3473,""("")"),"Whose Line Is It Anyway? ")</f>
        <v xml:space="preserve">Whose Line Is It Anyway? </v>
      </c>
      <c r="E3473" t="str">
        <f ca="1">IFERROR(__xludf.DUMMYFUNCTION("""COMPUTED_VALUE"""),"TV Series 1998–2007)")</f>
        <v>TV Series 1998–2007)</v>
      </c>
    </row>
    <row r="3474" spans="1:6" ht="13" x14ac:dyDescent="0.15">
      <c r="A3474" s="5" t="s">
        <v>3491</v>
      </c>
      <c r="D3474" t="str">
        <f ca="1">IFERROR(__xludf.DUMMYFUNCTION("split(A3474,""("")"),"Wild 'N Out ")</f>
        <v xml:space="preserve">Wild 'N Out </v>
      </c>
      <c r="E3474" t="str">
        <f ca="1">IFERROR(__xludf.DUMMYFUNCTION("""COMPUTED_VALUE"""),"TV Series 2005– )")</f>
        <v>TV Series 2005– )</v>
      </c>
    </row>
    <row r="3475" spans="1:6" ht="13" x14ac:dyDescent="0.15">
      <c r="A3475" s="5" t="s">
        <v>3492</v>
      </c>
      <c r="D3475" t="str">
        <f ca="1">IFERROR(__xludf.DUMMYFUNCTION("split(A3475,""("")"),"Wild Heart ")</f>
        <v xml:space="preserve">Wild Heart </v>
      </c>
      <c r="E3475" t="str">
        <f ca="1">IFERROR(__xludf.DUMMYFUNCTION("""COMPUTED_VALUE"""),"TV Series 2009– )")</f>
        <v>TV Series 2009– )</v>
      </c>
    </row>
    <row r="3476" spans="1:6" ht="13" x14ac:dyDescent="0.15">
      <c r="A3476" s="5" t="s">
        <v>3493</v>
      </c>
      <c r="D3476" t="str">
        <f ca="1">IFERROR(__xludf.DUMMYFUNCTION("split(A3476,""("")"),"Wild Things with Dominic Monaghan ")</f>
        <v xml:space="preserve">Wild Things with Dominic Monaghan </v>
      </c>
      <c r="E3476" t="str">
        <f ca="1">IFERROR(__xludf.DUMMYFUNCTION("""COMPUTED_VALUE"""),"TV Series 2012– )")</f>
        <v>TV Series 2012– )</v>
      </c>
    </row>
    <row r="3477" spans="1:6" ht="13" x14ac:dyDescent="0.15">
      <c r="A3477" s="5" t="s">
        <v>3494</v>
      </c>
      <c r="D3477" t="str">
        <f ca="1">IFERROR(__xludf.DUMMYFUNCTION("split(A3477,""("")"),"Wildfire ")</f>
        <v xml:space="preserve">Wildfire </v>
      </c>
      <c r="E3477" t="str">
        <f ca="1">IFERROR(__xludf.DUMMYFUNCTION("""COMPUTED_VALUE"""),"TV Series 1986– )")</f>
        <v>TV Series 1986– )</v>
      </c>
    </row>
    <row r="3478" spans="1:6" ht="13" x14ac:dyDescent="0.15">
      <c r="A3478" s="5" t="s">
        <v>3495</v>
      </c>
      <c r="D3478" t="str">
        <f ca="1">IFERROR(__xludf.DUMMYFUNCTION("split(A3478,""("")"),"Wildflower ")</f>
        <v xml:space="preserve">Wildflower </v>
      </c>
      <c r="E3478" t="str">
        <f ca="1">IFERROR(__xludf.DUMMYFUNCTION("""COMPUTED_VALUE"""),"TV Series 2017– )")</f>
        <v>TV Series 2017– )</v>
      </c>
    </row>
    <row r="3479" spans="1:6" ht="13" x14ac:dyDescent="0.15">
      <c r="A3479" s="5" t="s">
        <v>3496</v>
      </c>
      <c r="D3479" t="str">
        <f ca="1">IFERROR(__xludf.DUMMYFUNCTION("split(A3479,""("")"),"Wilfred ")</f>
        <v xml:space="preserve">Wilfred </v>
      </c>
      <c r="E3479" t="str">
        <f ca="1">IFERROR(__xludf.DUMMYFUNCTION("""COMPUTED_VALUE"""),"TV Series 2011–2014)")</f>
        <v>TV Series 2011–2014)</v>
      </c>
    </row>
    <row r="3480" spans="1:6" ht="13" x14ac:dyDescent="0.15">
      <c r="A3480" s="5" t="s">
        <v>3497</v>
      </c>
      <c r="D3480" t="str">
        <f ca="1">IFERROR(__xludf.DUMMYFUNCTION("split(A3480,""("")"),"Will ")</f>
        <v xml:space="preserve">Will </v>
      </c>
      <c r="E3480" t="str">
        <f ca="1">IFERROR(__xludf.DUMMYFUNCTION("""COMPUTED_VALUE"""),"TV Series 2017)")</f>
        <v>TV Series 2017)</v>
      </c>
    </row>
    <row r="3481" spans="1:6" ht="13" x14ac:dyDescent="0.15">
      <c r="A3481" s="5" t="s">
        <v>3498</v>
      </c>
      <c r="D3481" t="str">
        <f ca="1">IFERROR(__xludf.DUMMYFUNCTION("split(A3481,""("")"),"Will &amp; Grace ")</f>
        <v xml:space="preserve">Will &amp; Grace </v>
      </c>
      <c r="E3481" t="str">
        <f ca="1">IFERROR(__xludf.DUMMYFUNCTION("""COMPUTED_VALUE"""),"TV Series 1998– )")</f>
        <v>TV Series 1998– )</v>
      </c>
    </row>
    <row r="3482" spans="1:6" ht="13" x14ac:dyDescent="0.15">
      <c r="A3482" s="5" t="s">
        <v>3499</v>
      </c>
      <c r="D3482" t="str">
        <f ca="1">IFERROR(__xludf.DUMMYFUNCTION("split(A3482,""("")"),"William and Mary ")</f>
        <v xml:space="preserve">William and Mary </v>
      </c>
      <c r="E3482" t="str">
        <f ca="1">IFERROR(__xludf.DUMMYFUNCTION("""COMPUTED_VALUE"""),"TV Series 2003– )")</f>
        <v>TV Series 2003– )</v>
      </c>
    </row>
    <row r="3483" spans="1:6" ht="13" x14ac:dyDescent="0.15">
      <c r="A3483" s="7" t="s">
        <v>3500</v>
      </c>
      <c r="D3483" t="str">
        <f ca="1">IFERROR(__xludf.DUMMYFUNCTION("split(A3483,""("")"),"Wind Blows in Chang Lin ")</f>
        <v xml:space="preserve">Wind Blows in Chang Lin </v>
      </c>
      <c r="E3483" t="str">
        <f ca="1">IFERROR(__xludf.DUMMYFUNCTION("""COMPUTED_VALUE"""),"Nirvana in Fire II) ")</f>
        <v xml:space="preserve">Nirvana in Fire II) </v>
      </c>
      <c r="F3483" t="str">
        <f ca="1">IFERROR(__xludf.DUMMYFUNCTION("""COMPUTED_VALUE"""),"TV Series 2017–2018)")</f>
        <v>TV Series 2017–2018)</v>
      </c>
    </row>
    <row r="3484" spans="1:6" ht="13" x14ac:dyDescent="0.15">
      <c r="A3484" s="5" t="s">
        <v>3501</v>
      </c>
      <c r="D3484" t="str">
        <f ca="1">IFERROR(__xludf.DUMMYFUNCTION("split(A3484,""("")"),"Wing Commander Academy ")</f>
        <v xml:space="preserve">Wing Commander Academy </v>
      </c>
      <c r="E3484" t="str">
        <f ca="1">IFERROR(__xludf.DUMMYFUNCTION("""COMPUTED_VALUE"""),"TV Series 1996)")</f>
        <v>TV Series 1996)</v>
      </c>
    </row>
    <row r="3485" spans="1:6" ht="13" x14ac:dyDescent="0.15">
      <c r="A3485" s="5" t="s">
        <v>3502</v>
      </c>
      <c r="D3485" t="str">
        <f ca="1">IFERROR(__xludf.DUMMYFUNCTION("split(A3485,""("")"),"Winx Club ")</f>
        <v xml:space="preserve">Winx Club </v>
      </c>
      <c r="E3485" t="str">
        <f ca="1">IFERROR(__xludf.DUMMYFUNCTION("""COMPUTED_VALUE"""),"TV Series 2004– )")</f>
        <v>TV Series 2004– )</v>
      </c>
    </row>
    <row r="3486" spans="1:6" ht="13" x14ac:dyDescent="0.15">
      <c r="A3486" s="5" t="s">
        <v>3503</v>
      </c>
      <c r="D3486" t="str">
        <f ca="1">IFERROR(__xludf.DUMMYFUNCTION("split(A3486,""("")"),"Wipeout ")</f>
        <v xml:space="preserve">Wipeout </v>
      </c>
      <c r="E3486" t="str">
        <f ca="1">IFERROR(__xludf.DUMMYFUNCTION("""COMPUTED_VALUE"""),"TV Series 2008–2014)")</f>
        <v>TV Series 2008–2014)</v>
      </c>
    </row>
    <row r="3487" spans="1:6" ht="13" x14ac:dyDescent="0.15">
      <c r="A3487" s="5" t="s">
        <v>3504</v>
      </c>
      <c r="D3487" t="str">
        <f ca="1">IFERROR(__xludf.DUMMYFUNCTION("split(A3487,""("")"),"Wisdom of the Crowd ")</f>
        <v xml:space="preserve">Wisdom of the Crowd </v>
      </c>
      <c r="E3487" t="str">
        <f ca="1">IFERROR(__xludf.DUMMYFUNCTION("""COMPUTED_VALUE"""),"TV Series 2017–2018)")</f>
        <v>TV Series 2017–2018)</v>
      </c>
    </row>
    <row r="3488" spans="1:6" ht="13" x14ac:dyDescent="0.15">
      <c r="A3488" s="5" t="s">
        <v>3505</v>
      </c>
      <c r="D3488" t="str">
        <f ca="1">IFERROR(__xludf.DUMMYFUNCTION("split(A3488,""("")"),"Wishbone ")</f>
        <v xml:space="preserve">Wishbone </v>
      </c>
      <c r="E3488" t="str">
        <f ca="1">IFERROR(__xludf.DUMMYFUNCTION("""COMPUTED_VALUE"""),"TV Series 1995–1998)")</f>
        <v>TV Series 1995–1998)</v>
      </c>
    </row>
    <row r="3489" spans="1:5" ht="13" x14ac:dyDescent="0.15">
      <c r="A3489" s="5" t="s">
        <v>3506</v>
      </c>
      <c r="D3489" t="str">
        <f ca="1">IFERROR(__xludf.DUMMYFUNCTION("split(A3489,""("")"),"Witch Hunter Robin ")</f>
        <v xml:space="preserve">Witch Hunter Robin </v>
      </c>
      <c r="E3489" t="str">
        <f ca="1">IFERROR(__xludf.DUMMYFUNCTION("""COMPUTED_VALUE"""),"TV Series 2002–2003)")</f>
        <v>TV Series 2002–2003)</v>
      </c>
    </row>
    <row r="3490" spans="1:5" ht="13" x14ac:dyDescent="0.15">
      <c r="A3490" s="5" t="s">
        <v>3507</v>
      </c>
      <c r="D3490" t="str">
        <f ca="1">IFERROR(__xludf.DUMMYFUNCTION("split(A3490,""("")"),"Witchblade ")</f>
        <v xml:space="preserve">Witchblade </v>
      </c>
      <c r="E3490" t="str">
        <f ca="1">IFERROR(__xludf.DUMMYFUNCTION("""COMPUTED_VALUE"""),"TV Series 2001–2002)")</f>
        <v>TV Series 2001–2002)</v>
      </c>
    </row>
    <row r="3491" spans="1:5" ht="13" x14ac:dyDescent="0.15">
      <c r="A3491" s="5" t="s">
        <v>3508</v>
      </c>
      <c r="D3491" t="str">
        <f ca="1">IFERROR(__xludf.DUMMYFUNCTION("split(A3491,""("")"),"Without a Trace ")</f>
        <v xml:space="preserve">Without a Trace </v>
      </c>
      <c r="E3491" t="str">
        <f ca="1">IFERROR(__xludf.DUMMYFUNCTION("""COMPUTED_VALUE"""),"TV Series 2002–2009)")</f>
        <v>TV Series 2002–2009)</v>
      </c>
    </row>
    <row r="3492" spans="1:5" ht="13" x14ac:dyDescent="0.15">
      <c r="A3492" s="5" t="s">
        <v>3509</v>
      </c>
      <c r="D3492" t="str">
        <f ca="1">IFERROR(__xludf.DUMMYFUNCTION("split(A3492,""("")"),"Witless Protection Program ")</f>
        <v xml:space="preserve">Witless Protection Program </v>
      </c>
      <c r="E3492" t="str">
        <f ca="1">IFERROR(__xludf.DUMMYFUNCTION("""COMPUTED_VALUE"""),"TV Series 2016– )")</f>
        <v>TV Series 2016– )</v>
      </c>
    </row>
    <row r="3493" spans="1:5" ht="13" x14ac:dyDescent="0.15">
      <c r="A3493" s="5" t="s">
        <v>3510</v>
      </c>
      <c r="D3493" t="str">
        <f ca="1">IFERROR(__xludf.DUMMYFUNCTION("split(A3493,""("")"),"Witnesses ")</f>
        <v xml:space="preserve">Witnesses </v>
      </c>
      <c r="E3493" t="str">
        <f ca="1">IFERROR(__xludf.DUMMYFUNCTION("""COMPUTED_VALUE"""),"TV Series 2014– )")</f>
        <v>TV Series 2014– )</v>
      </c>
    </row>
    <row r="3494" spans="1:5" ht="13" x14ac:dyDescent="0.15">
      <c r="A3494" s="5" t="s">
        <v>3511</v>
      </c>
      <c r="D3494" t="str">
        <f ca="1">IFERROR(__xludf.DUMMYFUNCTION("split(A3494,""("")"),"Wives with Knives ")</f>
        <v xml:space="preserve">Wives with Knives </v>
      </c>
      <c r="E3494" t="str">
        <f ca="1">IFERROR(__xludf.DUMMYFUNCTION("""COMPUTED_VALUE"""),"TV Series 2012– )")</f>
        <v>TV Series 2012– )</v>
      </c>
    </row>
    <row r="3495" spans="1:5" ht="13" x14ac:dyDescent="0.15">
      <c r="A3495" s="5" t="s">
        <v>3512</v>
      </c>
      <c r="D3495" t="str">
        <f ca="1">IFERROR(__xludf.DUMMYFUNCTION("split(A3495,""("")"),"Wizards of Waverly Place ")</f>
        <v xml:space="preserve">Wizards of Waverly Place </v>
      </c>
      <c r="E3495" t="str">
        <f ca="1">IFERROR(__xludf.DUMMYFUNCTION("""COMPUTED_VALUE"""),"TV Series 2007–2012)")</f>
        <v>TV Series 2007–2012)</v>
      </c>
    </row>
    <row r="3496" spans="1:5" ht="13" x14ac:dyDescent="0.15">
      <c r="A3496" s="5" t="s">
        <v>3513</v>
      </c>
      <c r="D3496" t="str">
        <f ca="1">IFERROR(__xludf.DUMMYFUNCTION("split(A3496,""("")"),"Wolf's Rain ")</f>
        <v xml:space="preserve">Wolf's Rain </v>
      </c>
      <c r="E3496" t="str">
        <f ca="1">IFERROR(__xludf.DUMMYFUNCTION("""COMPUTED_VALUE"""),"TV Series 2003–2004)")</f>
        <v>TV Series 2003–2004)</v>
      </c>
    </row>
    <row r="3497" spans="1:5" ht="13" x14ac:dyDescent="0.15">
      <c r="A3497" s="5" t="s">
        <v>3514</v>
      </c>
      <c r="D3497" t="str">
        <f ca="1">IFERROR(__xludf.DUMMYFUNCTION("split(A3497,""("")"),"Wolkenfrei ASMR ")</f>
        <v xml:space="preserve">Wolkenfrei ASMR </v>
      </c>
      <c r="E3497" t="str">
        <f ca="1">IFERROR(__xludf.DUMMYFUNCTION("""COMPUTED_VALUE"""),"TV Series 2019– )")</f>
        <v>TV Series 2019– )</v>
      </c>
    </row>
    <row r="3498" spans="1:5" ht="13" x14ac:dyDescent="0.15">
      <c r="A3498" s="5" t="s">
        <v>93</v>
      </c>
      <c r="D3498" t="str">
        <f ca="1">IFERROR(__xludf.DUMMYFUNCTION("split(A3498,""("")"),"Wolverine and the X-Men ")</f>
        <v xml:space="preserve">Wolverine and the X-Men </v>
      </c>
      <c r="E3498" t="str">
        <f ca="1">IFERROR(__xludf.DUMMYFUNCTION("""COMPUTED_VALUE"""),"TV Series 2008–2009)")</f>
        <v>TV Series 2008–2009)</v>
      </c>
    </row>
    <row r="3499" spans="1:5" ht="13" x14ac:dyDescent="0.15">
      <c r="A3499" s="5" t="s">
        <v>3515</v>
      </c>
      <c r="D3499" t="str">
        <f ca="1">IFERROR(__xludf.DUMMYFUNCTION("split(A3499,""("")"),"Women Artists of Australia ")</f>
        <v xml:space="preserve">Women Artists of Australia </v>
      </c>
      <c r="E3499" t="str">
        <f ca="1">IFERROR(__xludf.DUMMYFUNCTION("""COMPUTED_VALUE"""),"TV Series 1981– )")</f>
        <v>TV Series 1981– )</v>
      </c>
    </row>
    <row r="3500" spans="1:5" ht="13" x14ac:dyDescent="0.15">
      <c r="A3500" s="5" t="s">
        <v>3516</v>
      </c>
      <c r="D3500" t="str">
        <f ca="1">IFERROR(__xludf.DUMMYFUNCTION("split(A3500,""("")"),"Women in Love ")</f>
        <v xml:space="preserve">Women in Love </v>
      </c>
      <c r="E3500" t="str">
        <f ca="1">IFERROR(__xludf.DUMMYFUNCTION("""COMPUTED_VALUE"""),"TV Series 2003– )")</f>
        <v>TV Series 2003– )</v>
      </c>
    </row>
    <row r="3501" spans="1:5" ht="13" x14ac:dyDescent="0.15">
      <c r="A3501" s="5" t="s">
        <v>3517</v>
      </c>
      <c r="D3501" t="str">
        <f ca="1">IFERROR(__xludf.DUMMYFUNCTION("split(A3501,""("")"),"Wonder Showzen ")</f>
        <v xml:space="preserve">Wonder Showzen </v>
      </c>
      <c r="E3501" t="str">
        <f ca="1">IFERROR(__xludf.DUMMYFUNCTION("""COMPUTED_VALUE"""),"TV Series 2005–2006)")</f>
        <v>TV Series 2005–2006)</v>
      </c>
    </row>
    <row r="3502" spans="1:5" ht="13" x14ac:dyDescent="0.15">
      <c r="A3502" s="5" t="s">
        <v>3518</v>
      </c>
      <c r="D3502" t="str">
        <f ca="1">IFERROR(__xludf.DUMMYFUNCTION("split(A3502,""("")"),"Wonderfalls ")</f>
        <v xml:space="preserve">Wonderfalls </v>
      </c>
      <c r="E3502" t="str">
        <f ca="1">IFERROR(__xludf.DUMMYFUNCTION("""COMPUTED_VALUE"""),"TV Series 2004)")</f>
        <v>TV Series 2004)</v>
      </c>
    </row>
    <row r="3503" spans="1:5" ht="13" x14ac:dyDescent="0.15">
      <c r="A3503" s="5" t="s">
        <v>3519</v>
      </c>
      <c r="D3503" t="str">
        <f ca="1">IFERROR(__xludf.DUMMYFUNCTION("split(A3503,""("")"),"Wonderkids ")</f>
        <v xml:space="preserve">Wonderkids </v>
      </c>
      <c r="E3503" t="str">
        <f ca="1">IFERROR(__xludf.DUMMYFUNCTION("""COMPUTED_VALUE"""),"TV Series 2001– )")</f>
        <v>TV Series 2001– )</v>
      </c>
    </row>
    <row r="3504" spans="1:5" ht="13" x14ac:dyDescent="0.15">
      <c r="A3504" s="5" t="s">
        <v>3520</v>
      </c>
      <c r="D3504" t="str">
        <f ca="1">IFERROR(__xludf.DUMMYFUNCTION("split(A3504,""("")"),"Wonderland ")</f>
        <v xml:space="preserve">Wonderland </v>
      </c>
      <c r="E3504" t="str">
        <f ca="1">IFERROR(__xludf.DUMMYFUNCTION("""COMPUTED_VALUE"""),"TV Series 2013–2015)")</f>
        <v>TV Series 2013–2015)</v>
      </c>
    </row>
    <row r="3505" spans="1:5" ht="13" x14ac:dyDescent="0.15">
      <c r="A3505" s="5" t="s">
        <v>3521</v>
      </c>
      <c r="D3505" t="str">
        <f ca="1">IFERROR(__xludf.DUMMYFUNCTION("split(A3505,""("")"),"Word of Truth Baptist Church ")</f>
        <v xml:space="preserve">Word of Truth Baptist Church </v>
      </c>
      <c r="E3505" t="str">
        <f ca="1">IFERROR(__xludf.DUMMYFUNCTION("""COMPUTED_VALUE"""),"TV Series 2013– )")</f>
        <v>TV Series 2013– )</v>
      </c>
    </row>
    <row r="3506" spans="1:5" ht="13" x14ac:dyDescent="0.15">
      <c r="A3506" s="5" t="s">
        <v>3522</v>
      </c>
      <c r="D3506" t="str">
        <f ca="1">IFERROR(__xludf.DUMMYFUNCTION("split(A3506,""("")"),"Work of Art: The Next Great Artist ")</f>
        <v xml:space="preserve">Work of Art: The Next Great Artist </v>
      </c>
      <c r="E3506" t="str">
        <f ca="1">IFERROR(__xludf.DUMMYFUNCTION("""COMPUTED_VALUE"""),"TV Series 2010– )")</f>
        <v>TV Series 2010– )</v>
      </c>
    </row>
    <row r="3507" spans="1:5" ht="13" x14ac:dyDescent="0.15">
      <c r="A3507" s="5" t="s">
        <v>3523</v>
      </c>
      <c r="D3507" t="str">
        <f ca="1">IFERROR(__xludf.DUMMYFUNCTION("split(A3507,""("")"),"Workin' Moms ")</f>
        <v xml:space="preserve">Workin' Moms </v>
      </c>
      <c r="E3507" t="str">
        <f ca="1">IFERROR(__xludf.DUMMYFUNCTION("""COMPUTED_VALUE"""),"TV Series 2017– )")</f>
        <v>TV Series 2017– )</v>
      </c>
    </row>
    <row r="3508" spans="1:5" ht="13" x14ac:dyDescent="0.15">
      <c r="A3508" s="5" t="s">
        <v>184</v>
      </c>
      <c r="D3508" t="str">
        <f ca="1">IFERROR(__xludf.DUMMYFUNCTION("split(A3508,""("")"),"World of Dance ")</f>
        <v xml:space="preserve">World of Dance </v>
      </c>
      <c r="E3508" t="str">
        <f ca="1">IFERROR(__xludf.DUMMYFUNCTION("""COMPUTED_VALUE"""),"TV Series 2017– )")</f>
        <v>TV Series 2017– )</v>
      </c>
    </row>
    <row r="3509" spans="1:5" ht="13" x14ac:dyDescent="0.15">
      <c r="A3509" s="5" t="s">
        <v>3524</v>
      </c>
      <c r="D3509" t="str">
        <f ca="1">IFERROR(__xludf.DUMMYFUNCTION("split(A3509,""("")"),"WPC 56 ")</f>
        <v xml:space="preserve">WPC 56 </v>
      </c>
      <c r="E3509" t="str">
        <f ca="1">IFERROR(__xludf.DUMMYFUNCTION("""COMPUTED_VALUE"""),"TV Series 2013– )")</f>
        <v>TV Series 2013– )</v>
      </c>
    </row>
    <row r="3510" spans="1:5" ht="13" x14ac:dyDescent="0.15">
      <c r="A3510" s="5" t="s">
        <v>3525</v>
      </c>
      <c r="D3510" t="str">
        <f ca="1">IFERROR(__xludf.DUMMYFUNCTION("split(A3510,""("")"),"Wrecked ")</f>
        <v xml:space="preserve">Wrecked </v>
      </c>
      <c r="E3510" t="str">
        <f ca="1">IFERROR(__xludf.DUMMYFUNCTION("""COMPUTED_VALUE"""),"TV Series 2016–2018)")</f>
        <v>TV Series 2016–2018)</v>
      </c>
    </row>
    <row r="3511" spans="1:5" ht="13" x14ac:dyDescent="0.15">
      <c r="A3511" s="5" t="s">
        <v>3526</v>
      </c>
      <c r="D3511" t="str">
        <f ca="1">IFERROR(__xludf.DUMMYFUNCTION("split(A3511,""("")"),"Wycliffe ")</f>
        <v xml:space="preserve">Wycliffe </v>
      </c>
      <c r="E3511" t="str">
        <f ca="1">IFERROR(__xludf.DUMMYFUNCTION("""COMPUTED_VALUE"""),"TV Series 1994– )")</f>
        <v>TV Series 1994– )</v>
      </c>
    </row>
    <row r="3512" spans="1:5" ht="13" x14ac:dyDescent="0.15">
      <c r="A3512" s="5" t="s">
        <v>171</v>
      </c>
      <c r="D3512" t="str">
        <f ca="1">IFERROR(__xludf.DUMMYFUNCTION("split(A3512,""("")"),"Wynonna Earp ")</f>
        <v xml:space="preserve">Wynonna Earp </v>
      </c>
      <c r="E3512" t="str">
        <f ca="1">IFERROR(__xludf.DUMMYFUNCTION("""COMPUTED_VALUE"""),"TV Series 2016– )")</f>
        <v>TV Series 2016– )</v>
      </c>
    </row>
    <row r="3513" spans="1:5" ht="13" x14ac:dyDescent="0.15">
      <c r="A3513" s="5" t="s">
        <v>3527</v>
      </c>
      <c r="D3513" t="str">
        <f ca="1">IFERROR(__xludf.DUMMYFUNCTION("split(A3513,""("")"),"X ")</f>
        <v xml:space="preserve">X </v>
      </c>
      <c r="E3513" t="str">
        <f ca="1">IFERROR(__xludf.DUMMYFUNCTION("""COMPUTED_VALUE"""),"TV Series 2001–2002)")</f>
        <v>TV Series 2001–2002)</v>
      </c>
    </row>
    <row r="3514" spans="1:5" ht="13" x14ac:dyDescent="0.15">
      <c r="A3514" s="5" t="s">
        <v>3528</v>
      </c>
      <c r="D3514" t="str">
        <f ca="1">IFERROR(__xludf.DUMMYFUNCTION("split(A3514,""("")"),"X Avion: The Weird Day ")</f>
        <v xml:space="preserve">X Avion: The Weird Day </v>
      </c>
      <c r="E3514" t="str">
        <f ca="1">IFERROR(__xludf.DUMMYFUNCTION("""COMPUTED_VALUE"""),"TV Series 2004–2010)")</f>
        <v>TV Series 2004–2010)</v>
      </c>
    </row>
    <row r="3515" spans="1:5" ht="13" x14ac:dyDescent="0.15">
      <c r="A3515" s="5" t="s">
        <v>3529</v>
      </c>
      <c r="D3515" t="str">
        <f ca="1">IFERROR(__xludf.DUMMYFUNCTION("split(A3515,""("")"),"X Company ")</f>
        <v xml:space="preserve">X Company </v>
      </c>
      <c r="E3515" t="str">
        <f ca="1">IFERROR(__xludf.DUMMYFUNCTION("""COMPUTED_VALUE"""),"TV Series 2015–2017)")</f>
        <v>TV Series 2015–2017)</v>
      </c>
    </row>
    <row r="3516" spans="1:5" ht="13" x14ac:dyDescent="0.15">
      <c r="A3516" s="5" t="s">
        <v>94</v>
      </c>
      <c r="D3516" t="str">
        <f ca="1">IFERROR(__xludf.DUMMYFUNCTION("split(A3516,""("")"),"X-Men: Evolution ")</f>
        <v xml:space="preserve">X-Men: Evolution </v>
      </c>
      <c r="E3516" t="str">
        <f ca="1">IFERROR(__xludf.DUMMYFUNCTION("""COMPUTED_VALUE"""),"TV Series 2000–2003)")</f>
        <v>TV Series 2000–2003)</v>
      </c>
    </row>
    <row r="3517" spans="1:5" ht="13" x14ac:dyDescent="0.15">
      <c r="A3517" s="5" t="s">
        <v>95</v>
      </c>
      <c r="D3517" t="str">
        <f ca="1">IFERROR(__xludf.DUMMYFUNCTION("split(A3517,""("")"),"X-Men: The Animated Series ")</f>
        <v xml:space="preserve">X-Men: The Animated Series </v>
      </c>
      <c r="E3517" t="str">
        <f ca="1">IFERROR(__xludf.DUMMYFUNCTION("""COMPUTED_VALUE"""),"TV Series 1992–1997)")</f>
        <v>TV Series 1992–1997)</v>
      </c>
    </row>
    <row r="3518" spans="1:5" ht="13" x14ac:dyDescent="0.15">
      <c r="A3518" s="5" t="s">
        <v>386</v>
      </c>
      <c r="D3518" t="str">
        <f ca="1">IFERROR(__xludf.DUMMYFUNCTION("split(A3518,""("")"),"Xena: Warrior Princess ")</f>
        <v xml:space="preserve">Xena: Warrior Princess </v>
      </c>
      <c r="E3518" t="str">
        <f ca="1">IFERROR(__xludf.DUMMYFUNCTION("""COMPUTED_VALUE"""),"TV Series 1995–2001)")</f>
        <v>TV Series 1995–2001)</v>
      </c>
    </row>
    <row r="3519" spans="1:5" ht="13" x14ac:dyDescent="0.15">
      <c r="A3519" s="5" t="s">
        <v>3530</v>
      </c>
      <c r="D3519" t="str">
        <f ca="1">IFERROR(__xludf.DUMMYFUNCTION("split(A3519,""("")"),"Xica da Silva ")</f>
        <v xml:space="preserve">Xica da Silva </v>
      </c>
      <c r="E3519" t="str">
        <f ca="1">IFERROR(__xludf.DUMMYFUNCTION("""COMPUTED_VALUE"""),"TV Series 1996– )")</f>
        <v>TV Series 1996– )</v>
      </c>
    </row>
    <row r="3520" spans="1:5" ht="13" x14ac:dyDescent="0.15">
      <c r="A3520" s="5" t="s">
        <v>3531</v>
      </c>
      <c r="D3520" t="str">
        <f ca="1">IFERROR(__xludf.DUMMYFUNCTION("split(A3520,""("")"),"XIII: The Series ")</f>
        <v xml:space="preserve">XIII: The Series </v>
      </c>
      <c r="E3520" t="str">
        <f ca="1">IFERROR(__xludf.DUMMYFUNCTION("""COMPUTED_VALUE"""),"TV Series 2011– )")</f>
        <v>TV Series 2011– )</v>
      </c>
    </row>
    <row r="3521" spans="1:5" ht="13" x14ac:dyDescent="0.15">
      <c r="A3521" s="5" t="s">
        <v>3532</v>
      </c>
      <c r="D3521" t="str">
        <f ca="1">IFERROR(__xludf.DUMMYFUNCTION("split(A3521,""("")"),"Xyber 9: New Dawn ")</f>
        <v xml:space="preserve">Xyber 9: New Dawn </v>
      </c>
      <c r="E3521" t="str">
        <f ca="1">IFERROR(__xludf.DUMMYFUNCTION("""COMPUTED_VALUE"""),"TV Series 1999– )")</f>
        <v>TV Series 1999– )</v>
      </c>
    </row>
    <row r="3522" spans="1:5" ht="13" x14ac:dyDescent="0.15">
      <c r="A3522" s="5" t="s">
        <v>3533</v>
      </c>
      <c r="D3522" t="str">
        <f ca="1">IFERROR(__xludf.DUMMYFUNCTION("split(A3522,""("")"),"Yallahrup Færgeby ")</f>
        <v xml:space="preserve">Yallahrup Færgeby </v>
      </c>
      <c r="E3522" t="str">
        <f ca="1">IFERROR(__xludf.DUMMYFUNCTION("""COMPUTED_VALUE"""),"TV Series 2007)")</f>
        <v>TV Series 2007)</v>
      </c>
    </row>
    <row r="3523" spans="1:5" ht="13" x14ac:dyDescent="0.15">
      <c r="A3523" s="5" t="s">
        <v>3534</v>
      </c>
      <c r="D3523" t="str">
        <f ca="1">IFERROR(__xludf.DUMMYFUNCTION("split(A3523,""("")"),"Yanusunokagami ")</f>
        <v xml:space="preserve">Yanusunokagami </v>
      </c>
      <c r="E3523" t="str">
        <f ca="1">IFERROR(__xludf.DUMMYFUNCTION("""COMPUTED_VALUE"""),"TV Series 1985–1986)")</f>
        <v>TV Series 1985–1986)</v>
      </c>
    </row>
    <row r="3524" spans="1:5" ht="13" x14ac:dyDescent="0.15">
      <c r="A3524" s="5" t="s">
        <v>3535</v>
      </c>
      <c r="D3524" t="str">
        <f ca="1">IFERROR(__xludf.DUMMYFUNCTION("split(A3524,""("")"),"Years of Living Dangerously ")</f>
        <v xml:space="preserve">Years of Living Dangerously </v>
      </c>
      <c r="E3524" t="str">
        <f ca="1">IFERROR(__xludf.DUMMYFUNCTION("""COMPUTED_VALUE"""),"TV Series 2014– )")</f>
        <v>TV Series 2014– )</v>
      </c>
    </row>
    <row r="3525" spans="1:5" ht="13" x14ac:dyDescent="0.15">
      <c r="A3525" s="5" t="s">
        <v>3536</v>
      </c>
      <c r="D3525" t="str">
        <f ca="1">IFERROR(__xludf.DUMMYFUNCTION("split(A3525,""("")"),"Yeh Meri Family ")</f>
        <v xml:space="preserve">Yeh Meri Family </v>
      </c>
      <c r="E3525" t="str">
        <f ca="1">IFERROR(__xludf.DUMMYFUNCTION("""COMPUTED_VALUE"""),"TV Series 2018– )")</f>
        <v>TV Series 2018– )</v>
      </c>
    </row>
    <row r="3526" spans="1:5" ht="13" x14ac:dyDescent="0.15">
      <c r="A3526" s="5" t="s">
        <v>260</v>
      </c>
      <c r="D3526" t="str">
        <f ca="1">IFERROR(__xludf.DUMMYFUNCTION("split(A3526,""("")"),"Yellowstone ")</f>
        <v xml:space="preserve">Yellowstone </v>
      </c>
      <c r="E3526" t="str">
        <f ca="1">IFERROR(__xludf.DUMMYFUNCTION("""COMPUTED_VALUE"""),"TV Series 2018– )")</f>
        <v>TV Series 2018– )</v>
      </c>
    </row>
    <row r="3527" spans="1:5" ht="13" x14ac:dyDescent="0.15">
      <c r="A3527" s="5" t="s">
        <v>3537</v>
      </c>
      <c r="D3527" t="str">
        <f ca="1">IFERROR(__xludf.DUMMYFUNCTION("split(A3527,""("")"),"Yes Minister ")</f>
        <v xml:space="preserve">Yes Minister </v>
      </c>
      <c r="E3527" t="str">
        <f ca="1">IFERROR(__xludf.DUMMYFUNCTION("""COMPUTED_VALUE"""),"TV Series 1980–1984)")</f>
        <v>TV Series 1980–1984)</v>
      </c>
    </row>
    <row r="3528" spans="1:5" ht="13" x14ac:dyDescent="0.15">
      <c r="A3528" s="5" t="s">
        <v>3538</v>
      </c>
      <c r="D3528" t="str">
        <f ca="1">IFERROR(__xludf.DUMMYFUNCTION("split(A3528,""("")"),"Yin Yang Yo! ")</f>
        <v xml:space="preserve">Yin Yang Yo! </v>
      </c>
      <c r="E3528" t="str">
        <f ca="1">IFERROR(__xludf.DUMMYFUNCTION("""COMPUTED_VALUE"""),"TV Series 2006–2009)")</f>
        <v>TV Series 2006–2009)</v>
      </c>
    </row>
    <row r="3529" spans="1:5" ht="13" x14ac:dyDescent="0.15">
      <c r="A3529" s="5" t="s">
        <v>3539</v>
      </c>
      <c r="D3529" t="str">
        <f ca="1">IFERROR(__xludf.DUMMYFUNCTION("split(A3529,""("")"),"Yo soy Bea ")</f>
        <v xml:space="preserve">Yo soy Bea </v>
      </c>
      <c r="E3529" t="str">
        <f ca="1">IFERROR(__xludf.DUMMYFUNCTION("""COMPUTED_VALUE"""),"TV Series 2006– )")</f>
        <v>TV Series 2006– )</v>
      </c>
    </row>
    <row r="3530" spans="1:5" ht="13" x14ac:dyDescent="0.15">
      <c r="A3530" s="5" t="s">
        <v>3540</v>
      </c>
      <c r="D3530" t="str">
        <f ca="1">IFERROR(__xludf.DUMMYFUNCTION("split(A3530,""("")"),"Yo Yogi! ")</f>
        <v xml:space="preserve">Yo Yogi! </v>
      </c>
      <c r="E3530" t="str">
        <f ca="1">IFERROR(__xludf.DUMMYFUNCTION("""COMPUTED_VALUE"""),"TV Series 1991–1992)")</f>
        <v>TV Series 1991–1992)</v>
      </c>
    </row>
    <row r="3531" spans="1:5" ht="13" x14ac:dyDescent="0.15">
      <c r="A3531" s="5" t="s">
        <v>3541</v>
      </c>
      <c r="D3531" t="str">
        <f ca="1">IFERROR(__xludf.DUMMYFUNCTION("split(A3531,""("")"),"Yogi's Treasure Hunt ")</f>
        <v xml:space="preserve">Yogi's Treasure Hunt </v>
      </c>
      <c r="E3531" t="str">
        <f ca="1">IFERROR(__xludf.DUMMYFUNCTION("""COMPUTED_VALUE"""),"TV Series 1985–1988)")</f>
        <v>TV Series 1985–1988)</v>
      </c>
    </row>
    <row r="3532" spans="1:5" ht="13" x14ac:dyDescent="0.15">
      <c r="A3532" s="5" t="s">
        <v>3542</v>
      </c>
      <c r="D3532" t="str">
        <f ca="1">IFERROR(__xludf.DUMMYFUNCTION("split(A3532,""("")"),"Yokohama kaidashi kikô ")</f>
        <v xml:space="preserve">Yokohama kaidashi kikô </v>
      </c>
      <c r="E3532" t="str">
        <f ca="1">IFERROR(__xludf.DUMMYFUNCTION("""COMPUTED_VALUE"""),"TV Series 1998– )")</f>
        <v>TV Series 1998– )</v>
      </c>
    </row>
    <row r="3533" spans="1:5" ht="13" x14ac:dyDescent="0.15">
      <c r="A3533" s="5" t="s">
        <v>3543</v>
      </c>
      <c r="D3533" t="str">
        <f ca="1">IFERROR(__xludf.DUMMYFUNCTION("split(A3533,""("")"),"YooHoo and Friends ")</f>
        <v xml:space="preserve">YooHoo and Friends </v>
      </c>
      <c r="E3533" t="str">
        <f ca="1">IFERROR(__xludf.DUMMYFUNCTION("""COMPUTED_VALUE"""),"TV Series 2011– )")</f>
        <v>TV Series 2011– )</v>
      </c>
    </row>
    <row r="3534" spans="1:5" ht="13" x14ac:dyDescent="0.15">
      <c r="A3534" s="5" t="s">
        <v>387</v>
      </c>
      <c r="D3534" t="str">
        <f ca="1">IFERROR(__xludf.DUMMYFUNCTION("split(A3534,""("")"),"You ")</f>
        <v xml:space="preserve">You </v>
      </c>
      <c r="E3534" t="str">
        <f ca="1">IFERROR(__xludf.DUMMYFUNCTION("""COMPUTED_VALUE"""),"TV Series 2018– )")</f>
        <v>TV Series 2018– )</v>
      </c>
    </row>
    <row r="3535" spans="1:5" ht="13" x14ac:dyDescent="0.15">
      <c r="A3535" s="5" t="s">
        <v>3544</v>
      </c>
      <c r="D3535" t="str">
        <f ca="1">IFERROR(__xludf.DUMMYFUNCTION("split(A3535,""("")"),"You Are Beautiful ")</f>
        <v xml:space="preserve">You Are Beautiful </v>
      </c>
      <c r="E3535" t="str">
        <f ca="1">IFERROR(__xludf.DUMMYFUNCTION("""COMPUTED_VALUE"""),"TV Series 2009– )")</f>
        <v>TV Series 2009– )</v>
      </c>
    </row>
    <row r="3536" spans="1:5" ht="13" x14ac:dyDescent="0.15">
      <c r="A3536" s="5" t="s">
        <v>3545</v>
      </c>
      <c r="D3536" t="str">
        <f ca="1">IFERROR(__xludf.DUMMYFUNCTION("split(A3536,""("")"),"You Got Trumped: The First 100 Days ")</f>
        <v xml:space="preserve">You Got Trumped: The First 100 Days </v>
      </c>
      <c r="E3536" t="str">
        <f ca="1">IFERROR(__xludf.DUMMYFUNCTION("""COMPUTED_VALUE"""),"TV Series 2016– )")</f>
        <v>TV Series 2016– )</v>
      </c>
    </row>
    <row r="3537" spans="1:5" ht="13" x14ac:dyDescent="0.15">
      <c r="A3537" s="5" t="s">
        <v>3546</v>
      </c>
      <c r="D3537" t="str">
        <f ca="1">IFERROR(__xludf.DUMMYFUNCTION("split(A3537,""("")"),"You Me Her ")</f>
        <v xml:space="preserve">You Me Her </v>
      </c>
      <c r="E3537" t="str">
        <f ca="1">IFERROR(__xludf.DUMMYFUNCTION("""COMPUTED_VALUE"""),"TV Series 2016– )")</f>
        <v>TV Series 2016– )</v>
      </c>
    </row>
    <row r="3538" spans="1:5" ht="13" x14ac:dyDescent="0.15">
      <c r="A3538" s="5" t="s">
        <v>3547</v>
      </c>
      <c r="D3538" t="str">
        <f ca="1">IFERROR(__xludf.DUMMYFUNCTION("split(A3538,""("")"),"You Rang, M'Lord? ")</f>
        <v xml:space="preserve">You Rang, M'Lord? </v>
      </c>
      <c r="E3538" t="str">
        <f ca="1">IFERROR(__xludf.DUMMYFUNCTION("""COMPUTED_VALUE"""),"TV Series 1988–1993)")</f>
        <v>TV Series 1988–1993)</v>
      </c>
    </row>
    <row r="3539" spans="1:5" ht="13" x14ac:dyDescent="0.15">
      <c r="A3539" s="5" t="s">
        <v>3548</v>
      </c>
      <c r="D3539" t="str">
        <f ca="1">IFERROR(__xludf.DUMMYFUNCTION("split(A3539,""("")"),"You the Jury ")</f>
        <v xml:space="preserve">You the Jury </v>
      </c>
      <c r="E3539" t="str">
        <f ca="1">IFERROR(__xludf.DUMMYFUNCTION("""COMPUTED_VALUE"""),"TV Series 2017)")</f>
        <v>TV Series 2017)</v>
      </c>
    </row>
    <row r="3540" spans="1:5" ht="13" x14ac:dyDescent="0.15">
      <c r="A3540" s="5" t="s">
        <v>3549</v>
      </c>
      <c r="D3540" t="str">
        <f ca="1">IFERROR(__xludf.DUMMYFUNCTION("split(A3540,""("")"),"You Wrote It, You Watch It ")</f>
        <v xml:space="preserve">You Wrote It, You Watch It </v>
      </c>
      <c r="E3540" t="str">
        <f ca="1">IFERROR(__xludf.DUMMYFUNCTION("""COMPUTED_VALUE"""),"TV Series 1992– )")</f>
        <v>TV Series 1992– )</v>
      </c>
    </row>
    <row r="3541" spans="1:5" ht="13" x14ac:dyDescent="0.15">
      <c r="A3541" s="5" t="s">
        <v>3550</v>
      </c>
      <c r="D3541" t="str">
        <f ca="1">IFERROR(__xludf.DUMMYFUNCTION("split(A3541,""("")"),"You're the Worst ")</f>
        <v xml:space="preserve">You're the Worst </v>
      </c>
      <c r="E3541" t="str">
        <f ca="1">IFERROR(__xludf.DUMMYFUNCTION("""COMPUTED_VALUE"""),"TV Series 2014–2019)")</f>
        <v>TV Series 2014–2019)</v>
      </c>
    </row>
    <row r="3542" spans="1:5" ht="13" x14ac:dyDescent="0.15">
      <c r="A3542" s="5" t="s">
        <v>3551</v>
      </c>
      <c r="D3542" t="str">
        <f ca="1">IFERROR(__xludf.DUMMYFUNCTION("split(A3542,""("")"),"You're Under Arrest! ")</f>
        <v xml:space="preserve">You're Under Arrest! </v>
      </c>
      <c r="E3542" t="str">
        <f ca="1">IFERROR(__xludf.DUMMYFUNCTION("""COMPUTED_VALUE"""),"TV Mini-Series 1996–2008)")</f>
        <v>TV Mini-Series 1996–2008)</v>
      </c>
    </row>
    <row r="3543" spans="1:5" ht="13" x14ac:dyDescent="0.15">
      <c r="A3543" s="5" t="s">
        <v>3552</v>
      </c>
      <c r="D3543" t="str">
        <f ca="1">IFERROR(__xludf.DUMMYFUNCTION("split(A3543,""("")"),"Young &amp; Hungry ")</f>
        <v xml:space="preserve">Young &amp; Hungry </v>
      </c>
      <c r="E3543" t="str">
        <f ca="1">IFERROR(__xludf.DUMMYFUNCTION("""COMPUTED_VALUE"""),"TV Series 2014– )")</f>
        <v>TV Series 2014– )</v>
      </c>
    </row>
    <row r="3544" spans="1:5" ht="13" x14ac:dyDescent="0.15">
      <c r="A3544" s="5" t="s">
        <v>3553</v>
      </c>
      <c r="D3544" t="str">
        <f ca="1">IFERROR(__xludf.DUMMYFUNCTION("split(A3544,""("")"),"Young &amp; Reckless ")</f>
        <v xml:space="preserve">Young &amp; Reckless </v>
      </c>
      <c r="E3544" t="str">
        <f ca="1">IFERROR(__xludf.DUMMYFUNCTION("""COMPUTED_VALUE"""),"TV Series 2016– )")</f>
        <v>TV Series 2016– )</v>
      </c>
    </row>
    <row r="3545" spans="1:5" ht="13" x14ac:dyDescent="0.15">
      <c r="A3545" s="5" t="s">
        <v>3554</v>
      </c>
      <c r="D3545" t="str">
        <f ca="1">IFERROR(__xludf.DUMMYFUNCTION("split(A3545,""("")"),"Young Americans ")</f>
        <v xml:space="preserve">Young Americans </v>
      </c>
      <c r="E3545" t="str">
        <f ca="1">IFERROR(__xludf.DUMMYFUNCTION("""COMPUTED_VALUE"""),"TV Series 2000)")</f>
        <v>TV Series 2000)</v>
      </c>
    </row>
    <row r="3546" spans="1:5" ht="13" x14ac:dyDescent="0.15">
      <c r="A3546" s="5" t="s">
        <v>3555</v>
      </c>
      <c r="D3546" t="str">
        <f ca="1">IFERROR(__xludf.DUMMYFUNCTION("split(A3546,""("")"),"Young Hearts ")</f>
        <v xml:space="preserve">Young Hearts </v>
      </c>
      <c r="E3546" t="str">
        <f ca="1">IFERROR(__xludf.DUMMYFUNCTION("""COMPUTED_VALUE"""),"TV Series 1995– )")</f>
        <v>TV Series 1995– )</v>
      </c>
    </row>
    <row r="3547" spans="1:5" ht="13" x14ac:dyDescent="0.15">
      <c r="A3547" s="5" t="s">
        <v>487</v>
      </c>
      <c r="D3547" t="str">
        <f ca="1">IFERROR(__xludf.DUMMYFUNCTION("split(A3547,""("")"),"Young Hercules ")</f>
        <v xml:space="preserve">Young Hercules </v>
      </c>
      <c r="E3547" t="str">
        <f ca="1">IFERROR(__xludf.DUMMYFUNCTION("""COMPUTED_VALUE"""),"TV Series 1998–1999)")</f>
        <v>TV Series 1998–1999)</v>
      </c>
    </row>
    <row r="3548" spans="1:5" ht="13" x14ac:dyDescent="0.15">
      <c r="A3548" s="5" t="s">
        <v>3556</v>
      </c>
      <c r="D3548" t="str">
        <f ca="1">IFERROR(__xludf.DUMMYFUNCTION("split(A3548,""("")"),"Young Justice ")</f>
        <v xml:space="preserve">Young Justice </v>
      </c>
      <c r="E3548" t="str">
        <f ca="1">IFERROR(__xludf.DUMMYFUNCTION("""COMPUTED_VALUE"""),"TV Series 2010– )")</f>
        <v>TV Series 2010– )</v>
      </c>
    </row>
    <row r="3549" spans="1:5" ht="13" x14ac:dyDescent="0.15">
      <c r="A3549" s="5" t="s">
        <v>300</v>
      </c>
      <c r="D3549" t="str">
        <f ca="1">IFERROR(__xludf.DUMMYFUNCTION("split(A3549,""("")"),"Younger ")</f>
        <v xml:space="preserve">Younger </v>
      </c>
      <c r="E3549" t="str">
        <f ca="1">IFERROR(__xludf.DUMMYFUNCTION("""COMPUTED_VALUE"""),"TV Series 2015– )")</f>
        <v>TV Series 2015– )</v>
      </c>
    </row>
    <row r="3550" spans="1:5" ht="13" x14ac:dyDescent="0.15">
      <c r="A3550" s="5" t="s">
        <v>3557</v>
      </c>
      <c r="D3550" t="str">
        <f ca="1">IFERROR(__xludf.DUMMYFUNCTION("split(A3550,""("")"),"Your Pretty Face Is Going to Hell ")</f>
        <v xml:space="preserve">Your Pretty Face Is Going to Hell </v>
      </c>
      <c r="E3550" t="str">
        <f ca="1">IFERROR(__xludf.DUMMYFUNCTION("""COMPUTED_VALUE"""),"TV Series 2013– )")</f>
        <v>TV Series 2013– )</v>
      </c>
    </row>
    <row r="3551" spans="1:5" ht="13" x14ac:dyDescent="0.15">
      <c r="A3551" s="5" t="s">
        <v>3558</v>
      </c>
      <c r="D3551" t="str">
        <f ca="1">IFERROR(__xludf.DUMMYFUNCTION("split(A3551,""("")"),"Yu Yu Hakusho: Ghost Files ")</f>
        <v xml:space="preserve">Yu Yu Hakusho: Ghost Files </v>
      </c>
      <c r="E3551" t="str">
        <f ca="1">IFERROR(__xludf.DUMMYFUNCTION("""COMPUTED_VALUE"""),"TV Series 1992–1995)")</f>
        <v>TV Series 1992–1995)</v>
      </c>
    </row>
    <row r="3552" spans="1:5" ht="13" x14ac:dyDescent="0.15">
      <c r="A3552" s="5" t="s">
        <v>96</v>
      </c>
      <c r="D3552" t="str">
        <f ca="1">IFERROR(__xludf.DUMMYFUNCTION("split(A3552,""("")"),"Yu-Gi-Oh! 5D's ")</f>
        <v xml:space="preserve">Yu-Gi-Oh! 5D's </v>
      </c>
      <c r="E3552" t="str">
        <f ca="1">IFERROR(__xludf.DUMMYFUNCTION("""COMPUTED_VALUE"""),"TV Series 2008–2011)")</f>
        <v>TV Series 2008–2011)</v>
      </c>
    </row>
    <row r="3553" spans="1:5" ht="13" x14ac:dyDescent="0.15">
      <c r="A3553" s="5" t="s">
        <v>97</v>
      </c>
      <c r="D3553" t="str">
        <f ca="1">IFERROR(__xludf.DUMMYFUNCTION("split(A3553,""("")"),"Yu-Gi-Oh! Arc-V ")</f>
        <v xml:space="preserve">Yu-Gi-Oh! Arc-V </v>
      </c>
      <c r="E3553" t="str">
        <f ca="1">IFERROR(__xludf.DUMMYFUNCTION("""COMPUTED_VALUE"""),"TV Series 2014–2018)")</f>
        <v>TV Series 2014–2018)</v>
      </c>
    </row>
    <row r="3554" spans="1:5" ht="13" x14ac:dyDescent="0.15">
      <c r="A3554" s="5" t="s">
        <v>98</v>
      </c>
      <c r="D3554" t="str">
        <f ca="1">IFERROR(__xludf.DUMMYFUNCTION("split(A3554,""("")"),"Yu-Gi-Oh! GX ")</f>
        <v xml:space="preserve">Yu-Gi-Oh! GX </v>
      </c>
      <c r="E3554" t="str">
        <f ca="1">IFERROR(__xludf.DUMMYFUNCTION("""COMPUTED_VALUE"""),"TV Series 2004–2008)")</f>
        <v>TV Series 2004–2008)</v>
      </c>
    </row>
    <row r="3555" spans="1:5" ht="13" x14ac:dyDescent="0.15">
      <c r="A3555" s="5" t="s">
        <v>99</v>
      </c>
      <c r="D3555" t="str">
        <f ca="1">IFERROR(__xludf.DUMMYFUNCTION("split(A3555,""("")"),"Yu-Gi-Oh! Zexal ")</f>
        <v xml:space="preserve">Yu-Gi-Oh! Zexal </v>
      </c>
      <c r="E3555" t="str">
        <f ca="1">IFERROR(__xludf.DUMMYFUNCTION("""COMPUTED_VALUE"""),"TV Series 2011–2014)")</f>
        <v>TV Series 2011–2014)</v>
      </c>
    </row>
    <row r="3556" spans="1:5" ht="13" x14ac:dyDescent="0.15">
      <c r="A3556" s="5" t="s">
        <v>3559</v>
      </c>
      <c r="D3556" t="str">
        <f ca="1">IFERROR(__xludf.DUMMYFUNCTION("split(A3556,""("")"),"Yuri!!! On Ice ")</f>
        <v xml:space="preserve">Yuri!!! On Ice </v>
      </c>
      <c r="E3556" t="str">
        <f ca="1">IFERROR(__xludf.DUMMYFUNCTION("""COMPUTED_VALUE"""),"TV Series 2016– )")</f>
        <v>TV Series 2016– )</v>
      </c>
    </row>
    <row r="3557" spans="1:5" ht="13" x14ac:dyDescent="0.15">
      <c r="A3557" s="5" t="s">
        <v>3560</v>
      </c>
      <c r="D3557" t="str">
        <f ca="1">IFERROR(__xludf.DUMMYFUNCTION("split(A3557,""("")"),"Z Nation ")</f>
        <v xml:space="preserve">Z Nation </v>
      </c>
      <c r="E3557" t="str">
        <f ca="1">IFERROR(__xludf.DUMMYFUNCTION("""COMPUTED_VALUE"""),"TV Series 2014–2018)")</f>
        <v>TV Series 2014–2018)</v>
      </c>
    </row>
    <row r="3558" spans="1:5" ht="13" x14ac:dyDescent="0.15">
      <c r="A3558" s="5" t="s">
        <v>3561</v>
      </c>
      <c r="D3558" t="str">
        <f ca="1">IFERROR(__xludf.DUMMYFUNCTION("split(A3558,""("")"),"Zakon buterbroda ")</f>
        <v xml:space="preserve">Zakon buterbroda </v>
      </c>
      <c r="E3558" t="str">
        <f ca="1">IFERROR(__xludf.DUMMYFUNCTION("""COMPUTED_VALUE"""),"TV Series 2015– )")</f>
        <v>TV Series 2015– )</v>
      </c>
    </row>
    <row r="3559" spans="1:5" ht="13" x14ac:dyDescent="0.15">
      <c r="A3559" s="5" t="s">
        <v>3562</v>
      </c>
      <c r="D3559" t="str">
        <f ca="1">IFERROR(__xludf.DUMMYFUNCTION("split(A3559,""("")"),"ZaumAndare a parare ")</f>
        <v xml:space="preserve">ZaumAndare a parare </v>
      </c>
      <c r="E3559" t="str">
        <f ca="1">IFERROR(__xludf.DUMMYFUNCTION("""COMPUTED_VALUE"""),"TV Series 2011– )")</f>
        <v>TV Series 2011– )</v>
      </c>
    </row>
    <row r="3560" spans="1:5" ht="13" x14ac:dyDescent="0.15">
      <c r="A3560" s="5" t="s">
        <v>3563</v>
      </c>
      <c r="D3560" t="str">
        <f ca="1">IFERROR(__xludf.DUMMYFUNCTION("split(A3560,""("")"),"Zig and Sharko ")</f>
        <v xml:space="preserve">Zig and Sharko </v>
      </c>
      <c r="E3560" t="str">
        <f ca="1">IFERROR(__xludf.DUMMYFUNCTION("""COMPUTED_VALUE"""),"TV Series 2010– )")</f>
        <v>TV Series 2010– )</v>
      </c>
    </row>
    <row r="3561" spans="1:5" ht="13" x14ac:dyDescent="0.15">
      <c r="A3561" s="5" t="s">
        <v>3564</v>
      </c>
      <c r="D3561" t="str">
        <f ca="1">IFERROR(__xludf.DUMMYFUNCTION("split(A3561,""("")"),"Zindagi Gulzar Hai ")</f>
        <v xml:space="preserve">Zindagi Gulzar Hai </v>
      </c>
      <c r="E3561" t="str">
        <f ca="1">IFERROR(__xludf.DUMMYFUNCTION("""COMPUTED_VALUE"""),"TV Series 2012–2013)")</f>
        <v>TV Series 2012–2013)</v>
      </c>
    </row>
    <row r="3562" spans="1:5" ht="13" x14ac:dyDescent="0.15">
      <c r="A3562" s="5" t="s">
        <v>3565</v>
      </c>
      <c r="D3562" t="str">
        <f ca="1">IFERROR(__xludf.DUMMYFUNCTION("split(A3562,""("")"),"Zoella ")</f>
        <v xml:space="preserve">Zoella </v>
      </c>
      <c r="E3562" t="str">
        <f ca="1">IFERROR(__xludf.DUMMYFUNCTION("""COMPUTED_VALUE"""),"TV Series 2009– )")</f>
        <v>TV Series 2009– )</v>
      </c>
    </row>
    <row r="3563" spans="1:5" ht="13" x14ac:dyDescent="0.15">
      <c r="A3563" s="5" t="s">
        <v>3566</v>
      </c>
      <c r="D3563" t="str">
        <f ca="1">IFERROR(__xludf.DUMMYFUNCTION("split(A3563,""("")"),"Zoey 101 ")</f>
        <v xml:space="preserve">Zoey 101 </v>
      </c>
      <c r="E3563" t="str">
        <f ca="1">IFERROR(__xludf.DUMMYFUNCTION("""COMPUTED_VALUE"""),"TV Series 2005–2008)")</f>
        <v>TV Series 2005–2008)</v>
      </c>
    </row>
    <row r="3564" spans="1:5" ht="13" x14ac:dyDescent="0.15">
      <c r="A3564" s="5" t="s">
        <v>3567</v>
      </c>
      <c r="D3564" t="str">
        <f ca="1">IFERROR(__xludf.DUMMYFUNCTION("split(A3564,""("")"),"Zofka a spol ")</f>
        <v xml:space="preserve">Zofka a spol </v>
      </c>
      <c r="E3564" t="str">
        <f ca="1">IFERROR(__xludf.DUMMYFUNCTION("""COMPUTED_VALUE"""),"TV Series 1986– )")</f>
        <v>TV Series 1986– )</v>
      </c>
    </row>
    <row r="3565" spans="1:5" ht="13" x14ac:dyDescent="0.15">
      <c r="A3565" s="5" t="s">
        <v>461</v>
      </c>
      <c r="D3565" t="str">
        <f ca="1">IFERROR(__xludf.DUMMYFUNCTION("split(A3565,""("")"),"Zombieland Saga ")</f>
        <v xml:space="preserve">Zombieland Saga </v>
      </c>
      <c r="E3565" t="str">
        <f ca="1">IFERROR(__xludf.DUMMYFUNCTION("""COMPUTED_VALUE"""),"TV Series 2018– )")</f>
        <v>TV Series 2018– )</v>
      </c>
    </row>
    <row r="3566" spans="1:5" ht="13" x14ac:dyDescent="0.15">
      <c r="A3566" s="5" t="s">
        <v>3568</v>
      </c>
      <c r="D3566" t="str">
        <f ca="1">IFERROR(__xludf.DUMMYFUNCTION("split(A3566,""("")"),"Zoo ")</f>
        <v xml:space="preserve">Zoo </v>
      </c>
      <c r="E3566" t="str">
        <f ca="1">IFERROR(__xludf.DUMMYFUNCTION("""COMPUTED_VALUE"""),"TV Series 2015–2017)")</f>
        <v>TV Series 2015–2017)</v>
      </c>
    </row>
    <row r="3567" spans="1:5" ht="13" x14ac:dyDescent="0.15">
      <c r="A3567" s="5" t="s">
        <v>462</v>
      </c>
      <c r="D3567" t="str">
        <f ca="1">IFERROR(__xludf.DUMMYFUNCTION("split(A3567,""("")"),"Zorro ")</f>
        <v xml:space="preserve">Zorro </v>
      </c>
      <c r="E3567" t="str">
        <f ca="1">IFERROR(__xludf.DUMMYFUNCTION("""COMPUTED_VALUE"""),"TV Series 1990–1993)")</f>
        <v>TV Series 1990–1993)</v>
      </c>
    </row>
    <row r="3568" spans="1:5" ht="13" x14ac:dyDescent="0.15">
      <c r="A3568" s="5" t="s">
        <v>463</v>
      </c>
      <c r="D3568" t="str">
        <f ca="1">IFERROR(__xludf.DUMMYFUNCTION("split(A3568,""("")"),"Zorro ")</f>
        <v xml:space="preserve">Zorro </v>
      </c>
      <c r="E3568" t="str">
        <f ca="1">IFERROR(__xludf.DUMMYFUNCTION("""COMPUTED_VALUE"""),"TV Series 1997– )")</f>
        <v>TV Series 1997– )</v>
      </c>
    </row>
    <row r="3569" spans="1:5" ht="13" x14ac:dyDescent="0.15">
      <c r="A3569" s="5" t="s">
        <v>464</v>
      </c>
      <c r="D3569" t="str">
        <f ca="1">IFERROR(__xludf.DUMMYFUNCTION("split(A3569,""("")"),"Zorro ")</f>
        <v xml:space="preserve">Zorro </v>
      </c>
      <c r="E3569" t="str">
        <f ca="1">IFERROR(__xludf.DUMMYFUNCTION("""COMPUTED_VALUE"""),"TV Series 2009– )")</f>
        <v>TV Series 2009– )</v>
      </c>
    </row>
    <row r="3570" spans="1:5" ht="13" x14ac:dyDescent="0.15">
      <c r="A3570" s="5" t="s">
        <v>3569</v>
      </c>
      <c r="D3570" t="str">
        <f ca="1">IFERROR(__xludf.DUMMYFUNCTION("split(A3570,""("")"),"Zyliara ASMR ")</f>
        <v xml:space="preserve">Zyliara ASMR </v>
      </c>
      <c r="E3570" t="str">
        <f ca="1">IFERROR(__xludf.DUMMYFUNCTION("""COMPUTED_VALUE"""),"TV Series 2018– )")</f>
        <v>TV Series 2018– )</v>
      </c>
    </row>
    <row r="3571" spans="1:5" ht="13" x14ac:dyDescent="0.15">
      <c r="A3571" s="5" t="s">
        <v>3570</v>
      </c>
      <c r="D3571" t="str">
        <f ca="1">IFERROR(__xludf.DUMMYFUNCTION("split(A3571,""("")"),"ZZZap! ")</f>
        <v xml:space="preserve">ZZZap! </v>
      </c>
      <c r="E3571" t="str">
        <f ca="1">IFERROR(__xludf.DUMMYFUNCTION("""COMPUTED_VALUE"""),"TV Series 1993–2001)")</f>
        <v>TV Series 1993–2001)</v>
      </c>
    </row>
    <row r="3572" spans="1:5" ht="13" x14ac:dyDescent="0.15">
      <c r="A3572" s="5"/>
    </row>
    <row r="3573" spans="1:5" ht="13" x14ac:dyDescent="0.15">
      <c r="A3573" s="5"/>
    </row>
    <row r="3574" spans="1:5" ht="13" x14ac:dyDescent="0.15">
      <c r="A3574" s="5"/>
    </row>
    <row r="3575" spans="1:5" ht="13" x14ac:dyDescent="0.15">
      <c r="A3575" s="5"/>
    </row>
    <row r="3576" spans="1:5" ht="13" x14ac:dyDescent="0.15">
      <c r="A3576" s="5"/>
    </row>
    <row r="3577" spans="1:5" ht="13" x14ac:dyDescent="0.15">
      <c r="A3577" s="5"/>
    </row>
    <row r="3578" spans="1:5" ht="13" x14ac:dyDescent="0.15">
      <c r="A3578" s="5"/>
    </row>
    <row r="3579" spans="1:5" ht="13" x14ac:dyDescent="0.15">
      <c r="A3579" s="5"/>
    </row>
    <row r="3580" spans="1:5" ht="13" x14ac:dyDescent="0.15">
      <c r="A3580" s="5"/>
    </row>
    <row r="3581" spans="1:5" ht="13" x14ac:dyDescent="0.15">
      <c r="A3581" s="5"/>
    </row>
    <row r="3582" spans="1:5" ht="13" x14ac:dyDescent="0.15">
      <c r="A3582" s="5"/>
    </row>
    <row r="3583" spans="1:5" ht="13" x14ac:dyDescent="0.15">
      <c r="A3583" s="5"/>
    </row>
    <row r="3584" spans="1:5" ht="13" x14ac:dyDescent="0.15">
      <c r="A3584" s="5"/>
    </row>
    <row r="3585" spans="1:1" ht="13" x14ac:dyDescent="0.15">
      <c r="A3585" s="5"/>
    </row>
    <row r="3586" spans="1:1" ht="13" x14ac:dyDescent="0.15">
      <c r="A3586" s="5"/>
    </row>
    <row r="3587" spans="1:1" ht="13" x14ac:dyDescent="0.15">
      <c r="A3587" s="5"/>
    </row>
    <row r="3588" spans="1:1" ht="13" x14ac:dyDescent="0.15">
      <c r="A3588" s="5"/>
    </row>
    <row r="3589" spans="1:1" ht="13" x14ac:dyDescent="0.15">
      <c r="A3589" s="5"/>
    </row>
    <row r="3590" spans="1:1" ht="13" x14ac:dyDescent="0.15">
      <c r="A3590" s="5"/>
    </row>
    <row r="3591" spans="1:1" ht="13" x14ac:dyDescent="0.15">
      <c r="A3591" s="5"/>
    </row>
    <row r="3592" spans="1:1" ht="13" x14ac:dyDescent="0.15">
      <c r="A3592" s="5"/>
    </row>
    <row r="3593" spans="1:1" ht="13" x14ac:dyDescent="0.15">
      <c r="A3593" s="5"/>
    </row>
    <row r="3594" spans="1:1" ht="13" x14ac:dyDescent="0.15">
      <c r="A3594" s="5"/>
    </row>
    <row r="3595" spans="1:1" ht="13" x14ac:dyDescent="0.15">
      <c r="A3595" s="5"/>
    </row>
    <row r="3596" spans="1:1" ht="13" x14ac:dyDescent="0.15">
      <c r="A3596" s="5"/>
    </row>
    <row r="3597" spans="1:1" ht="13" x14ac:dyDescent="0.15">
      <c r="A3597" s="5"/>
    </row>
    <row r="3598" spans="1:1" ht="13" x14ac:dyDescent="0.15">
      <c r="A3598" s="5"/>
    </row>
    <row r="3599" spans="1:1" ht="13" x14ac:dyDescent="0.15">
      <c r="A3599" s="5"/>
    </row>
    <row r="3600" spans="1:1" ht="13" x14ac:dyDescent="0.15">
      <c r="A3600" s="5"/>
    </row>
    <row r="3601" spans="1:1" ht="13" x14ac:dyDescent="0.15">
      <c r="A3601" s="5"/>
    </row>
    <row r="3602" spans="1:1" ht="13" x14ac:dyDescent="0.15">
      <c r="A3602" s="5"/>
    </row>
    <row r="3603" spans="1:1" ht="13" x14ac:dyDescent="0.15">
      <c r="A3603" s="5"/>
    </row>
    <row r="3604" spans="1:1" ht="13" x14ac:dyDescent="0.15">
      <c r="A3604" s="5"/>
    </row>
    <row r="3605" spans="1:1" ht="13" x14ac:dyDescent="0.15">
      <c r="A3605" s="5"/>
    </row>
    <row r="3606" spans="1:1" ht="13" x14ac:dyDescent="0.15">
      <c r="A3606" s="5"/>
    </row>
    <row r="3607" spans="1:1" ht="13" x14ac:dyDescent="0.15">
      <c r="A3607" s="5"/>
    </row>
    <row r="3608" spans="1:1" ht="13" x14ac:dyDescent="0.15">
      <c r="A3608" s="5"/>
    </row>
    <row r="3609" spans="1:1" ht="13" x14ac:dyDescent="0.15">
      <c r="A3609" s="5"/>
    </row>
    <row r="3610" spans="1:1" ht="13" x14ac:dyDescent="0.15">
      <c r="A3610" s="5"/>
    </row>
    <row r="3611" spans="1:1" ht="13" x14ac:dyDescent="0.15">
      <c r="A3611" s="5"/>
    </row>
    <row r="3612" spans="1:1" ht="13" x14ac:dyDescent="0.15">
      <c r="A3612" s="5"/>
    </row>
    <row r="3613" spans="1:1" ht="13" x14ac:dyDescent="0.15">
      <c r="A3613" s="5"/>
    </row>
    <row r="3614" spans="1:1" ht="13" x14ac:dyDescent="0.15">
      <c r="A3614" s="5"/>
    </row>
    <row r="3615" spans="1:1" ht="13" x14ac:dyDescent="0.15">
      <c r="A3615" s="5"/>
    </row>
    <row r="3616" spans="1:1" ht="13" x14ac:dyDescent="0.15">
      <c r="A3616" s="5"/>
    </row>
    <row r="3617" spans="1:1" ht="13" x14ac:dyDescent="0.15">
      <c r="A3617" s="5"/>
    </row>
    <row r="3618" spans="1:1" ht="13" x14ac:dyDescent="0.15">
      <c r="A3618" s="5"/>
    </row>
    <row r="3619" spans="1:1" ht="13" x14ac:dyDescent="0.15">
      <c r="A3619" s="5"/>
    </row>
    <row r="3620" spans="1:1" ht="13" x14ac:dyDescent="0.15">
      <c r="A3620" s="5"/>
    </row>
    <row r="3621" spans="1:1" ht="13" x14ac:dyDescent="0.15">
      <c r="A3621" s="5"/>
    </row>
    <row r="3622" spans="1:1" ht="13" x14ac:dyDescent="0.15">
      <c r="A3622" s="5"/>
    </row>
    <row r="3623" spans="1:1" ht="13" x14ac:dyDescent="0.15">
      <c r="A3623" s="5"/>
    </row>
    <row r="3624" spans="1:1" ht="13" x14ac:dyDescent="0.15">
      <c r="A3624" s="5"/>
    </row>
    <row r="3625" spans="1:1" ht="13" x14ac:dyDescent="0.15">
      <c r="A3625" s="5"/>
    </row>
    <row r="3626" spans="1:1" ht="13" x14ac:dyDescent="0.15">
      <c r="A3626" s="5"/>
    </row>
    <row r="3627" spans="1:1" ht="13" x14ac:dyDescent="0.15">
      <c r="A3627" s="5"/>
    </row>
    <row r="3628" spans="1:1" ht="13" x14ac:dyDescent="0.15">
      <c r="A3628" s="5"/>
    </row>
    <row r="3629" spans="1:1" ht="13" x14ac:dyDescent="0.15">
      <c r="A3629" s="5"/>
    </row>
    <row r="3630" spans="1:1" ht="13" x14ac:dyDescent="0.15">
      <c r="A3630" s="5"/>
    </row>
    <row r="3631" spans="1:1" ht="13" x14ac:dyDescent="0.15">
      <c r="A3631" s="5"/>
    </row>
    <row r="3632" spans="1:1" ht="13" x14ac:dyDescent="0.15">
      <c r="A3632" s="5"/>
    </row>
    <row r="3633" spans="1:1" ht="13" x14ac:dyDescent="0.15">
      <c r="A3633" s="5"/>
    </row>
    <row r="3634" spans="1:1" ht="13" x14ac:dyDescent="0.15">
      <c r="A3634" s="5"/>
    </row>
    <row r="3635" spans="1:1" ht="13" x14ac:dyDescent="0.15">
      <c r="A3635" s="5"/>
    </row>
    <row r="3636" spans="1:1" ht="13" x14ac:dyDescent="0.15">
      <c r="A3636" s="5"/>
    </row>
    <row r="3637" spans="1:1" ht="13" x14ac:dyDescent="0.15">
      <c r="A3637" s="5"/>
    </row>
    <row r="3638" spans="1:1" ht="13" x14ac:dyDescent="0.15">
      <c r="A3638" s="5"/>
    </row>
    <row r="3639" spans="1:1" ht="13" x14ac:dyDescent="0.15">
      <c r="A3639" s="5"/>
    </row>
    <row r="3640" spans="1:1" ht="13" x14ac:dyDescent="0.15">
      <c r="A3640" s="5"/>
    </row>
    <row r="3641" spans="1:1" ht="13" x14ac:dyDescent="0.15">
      <c r="A3641" s="5"/>
    </row>
    <row r="3642" spans="1:1" ht="13" x14ac:dyDescent="0.15">
      <c r="A3642" s="5"/>
    </row>
    <row r="3643" spans="1:1" ht="13" x14ac:dyDescent="0.15">
      <c r="A3643" s="5"/>
    </row>
    <row r="3644" spans="1:1" ht="13" x14ac:dyDescent="0.15">
      <c r="A3644" s="5"/>
    </row>
    <row r="3645" spans="1:1" ht="13" x14ac:dyDescent="0.15">
      <c r="A3645" s="5"/>
    </row>
    <row r="3646" spans="1:1" ht="13" x14ac:dyDescent="0.15">
      <c r="A3646" s="5"/>
    </row>
    <row r="3647" spans="1:1" ht="13" x14ac:dyDescent="0.15">
      <c r="A3647" s="5"/>
    </row>
    <row r="3648" spans="1:1" ht="13" x14ac:dyDescent="0.15">
      <c r="A3648" s="5"/>
    </row>
    <row r="3649" spans="1:4" ht="13" x14ac:dyDescent="0.15">
      <c r="A3649" s="5"/>
    </row>
    <row r="3650" spans="1:4" ht="13" x14ac:dyDescent="0.15">
      <c r="A3650" s="5"/>
    </row>
    <row r="3651" spans="1:4" ht="13" x14ac:dyDescent="0.15">
      <c r="A3651" s="5"/>
    </row>
    <row r="3652" spans="1:4" ht="13" x14ac:dyDescent="0.15">
      <c r="A3652" s="5"/>
    </row>
    <row r="3653" spans="1:4" ht="13" x14ac:dyDescent="0.15">
      <c r="A3653" s="5"/>
    </row>
    <row r="3654" spans="1:4" ht="13" x14ac:dyDescent="0.15">
      <c r="A3654" s="5"/>
    </row>
    <row r="3655" spans="1:4" ht="13" x14ac:dyDescent="0.15">
      <c r="A3655" s="5"/>
    </row>
    <row r="3656" spans="1:4" ht="13" x14ac:dyDescent="0.15">
      <c r="A3656" s="5"/>
    </row>
    <row r="3657" spans="1:4" ht="13" x14ac:dyDescent="0.15">
      <c r="A3657" s="5"/>
    </row>
    <row r="3658" spans="1:4" ht="13" x14ac:dyDescent="0.15">
      <c r="A3658" s="5"/>
      <c r="D3658" t="str">
        <f ca="1">IFERROR(__xludf.DUMMYFUNCTION("split(A3658,""("")"),"#VALUE!")</f>
        <v>#VALUE!</v>
      </c>
    </row>
    <row r="3659" spans="1:4" ht="13" x14ac:dyDescent="0.15">
      <c r="A3659" s="5"/>
      <c r="D3659" t="str">
        <f ca="1">IFERROR(__xludf.DUMMYFUNCTION("split(A3659,""("")"),"#VALUE!")</f>
        <v>#VALUE!</v>
      </c>
    </row>
    <row r="3660" spans="1:4" ht="13" x14ac:dyDescent="0.15">
      <c r="A3660" s="5"/>
      <c r="D3660" t="str">
        <f ca="1">IFERROR(__xludf.DUMMYFUNCTION("split(A3660,""("")"),"#VALUE!")</f>
        <v>#VALUE!</v>
      </c>
    </row>
    <row r="3661" spans="1:4" ht="13" x14ac:dyDescent="0.15">
      <c r="A3661" s="5"/>
      <c r="D3661" t="str">
        <f ca="1">IFERROR(__xludf.DUMMYFUNCTION("split(A3661,""("")"),"#VALUE!")</f>
        <v>#VALUE!</v>
      </c>
    </row>
    <row r="3662" spans="1:4" ht="13" x14ac:dyDescent="0.15">
      <c r="A3662" s="5"/>
      <c r="D3662" t="str">
        <f ca="1">IFERROR(__xludf.DUMMYFUNCTION("split(A3662,""("")"),"#VALUE!")</f>
        <v>#VALUE!</v>
      </c>
    </row>
    <row r="3663" spans="1:4" ht="13" x14ac:dyDescent="0.15">
      <c r="A3663" s="5"/>
      <c r="D3663" t="str">
        <f ca="1">IFERROR(__xludf.DUMMYFUNCTION("split(A3663,""("")"),"#VALUE!")</f>
        <v>#VALUE!</v>
      </c>
    </row>
    <row r="3664" spans="1:4" ht="13" x14ac:dyDescent="0.15">
      <c r="A3664" s="5"/>
      <c r="D3664" t="str">
        <f ca="1">IFERROR(__xludf.DUMMYFUNCTION("split(A3664,""("")"),"#VALUE!")</f>
        <v>#VALUE!</v>
      </c>
    </row>
    <row r="3665" spans="1:4" ht="13" x14ac:dyDescent="0.15">
      <c r="A3665" s="5"/>
      <c r="D3665" t="str">
        <f ca="1">IFERROR(__xludf.DUMMYFUNCTION("split(A3665,""("")"),"#VALUE!")</f>
        <v>#VALUE!</v>
      </c>
    </row>
    <row r="3666" spans="1:4" ht="13" x14ac:dyDescent="0.15">
      <c r="A3666" s="5"/>
      <c r="D3666" t="str">
        <f ca="1">IFERROR(__xludf.DUMMYFUNCTION("split(A3666,""("")"),"#VALUE!")</f>
        <v>#VALUE!</v>
      </c>
    </row>
    <row r="3667" spans="1:4" ht="13" x14ac:dyDescent="0.15">
      <c r="A3667" s="5"/>
      <c r="D3667" t="str">
        <f ca="1">IFERROR(__xludf.DUMMYFUNCTION("split(A3667,""("")"),"#VALUE!")</f>
        <v>#VALUE!</v>
      </c>
    </row>
    <row r="3668" spans="1:4" ht="13" x14ac:dyDescent="0.15">
      <c r="A3668" s="5"/>
      <c r="D3668" t="str">
        <f ca="1">IFERROR(__xludf.DUMMYFUNCTION("split(A3668,""("")"),"#VALUE!")</f>
        <v>#VALUE!</v>
      </c>
    </row>
    <row r="3669" spans="1:4" ht="13" x14ac:dyDescent="0.15">
      <c r="A3669" s="5"/>
      <c r="D3669" t="str">
        <f ca="1">IFERROR(__xludf.DUMMYFUNCTION("split(A3669,""("")"),"#VALUE!")</f>
        <v>#VALUE!</v>
      </c>
    </row>
    <row r="3670" spans="1:4" ht="13" x14ac:dyDescent="0.15">
      <c r="A3670" s="5"/>
      <c r="D3670" t="str">
        <f ca="1">IFERROR(__xludf.DUMMYFUNCTION("split(A3670,""("")"),"#VALUE!")</f>
        <v>#VALUE!</v>
      </c>
    </row>
    <row r="3671" spans="1:4" ht="13" x14ac:dyDescent="0.15">
      <c r="A3671" s="5"/>
      <c r="D3671" t="str">
        <f ca="1">IFERROR(__xludf.DUMMYFUNCTION("split(A3671,""("")"),"#VALUE!")</f>
        <v>#VALUE!</v>
      </c>
    </row>
    <row r="3672" spans="1:4" ht="13" x14ac:dyDescent="0.15">
      <c r="A3672" s="5"/>
      <c r="D3672" t="str">
        <f ca="1">IFERROR(__xludf.DUMMYFUNCTION("split(A3672,""("")"),"#VALUE!")</f>
        <v>#VALUE!</v>
      </c>
    </row>
    <row r="3673" spans="1:4" ht="13" x14ac:dyDescent="0.15">
      <c r="A3673" s="5"/>
      <c r="D3673" t="str">
        <f ca="1">IFERROR(__xludf.DUMMYFUNCTION("split(A3673,""("")"),"#VALUE!")</f>
        <v>#VALUE!</v>
      </c>
    </row>
    <row r="3674" spans="1:4" ht="13" x14ac:dyDescent="0.15">
      <c r="A3674" s="5"/>
      <c r="D3674" t="str">
        <f ca="1">IFERROR(__xludf.DUMMYFUNCTION("split(A3674,""("")"),"#VALUE!")</f>
        <v>#VALUE!</v>
      </c>
    </row>
    <row r="3675" spans="1:4" ht="13" x14ac:dyDescent="0.15">
      <c r="A3675" s="5"/>
      <c r="D3675" t="str">
        <f ca="1">IFERROR(__xludf.DUMMYFUNCTION("split(A3675,""("")"),"#VALUE!")</f>
        <v>#VALUE!</v>
      </c>
    </row>
    <row r="3676" spans="1:4" ht="13" x14ac:dyDescent="0.15">
      <c r="A3676" s="5"/>
      <c r="D3676" t="str">
        <f ca="1">IFERROR(__xludf.DUMMYFUNCTION("split(A3676,""("")"),"#VALUE!")</f>
        <v>#VALUE!</v>
      </c>
    </row>
    <row r="3677" spans="1:4" ht="13" x14ac:dyDescent="0.15">
      <c r="A3677" s="5"/>
      <c r="D3677" t="str">
        <f ca="1">IFERROR(__xludf.DUMMYFUNCTION("split(A3677,""("")"),"#VALUE!")</f>
        <v>#VALUE!</v>
      </c>
    </row>
    <row r="3678" spans="1:4" ht="13" x14ac:dyDescent="0.15">
      <c r="A3678" s="5"/>
      <c r="D3678" t="str">
        <f ca="1">IFERROR(__xludf.DUMMYFUNCTION("split(A3678,""("")"),"#VALUE!")</f>
        <v>#VALUE!</v>
      </c>
    </row>
    <row r="3679" spans="1:4" ht="13" x14ac:dyDescent="0.15">
      <c r="A3679" s="5"/>
      <c r="D3679" t="str">
        <f ca="1">IFERROR(__xludf.DUMMYFUNCTION("split(A3679,""("")"),"#VALUE!")</f>
        <v>#VALUE!</v>
      </c>
    </row>
    <row r="3680" spans="1:4" ht="13" x14ac:dyDescent="0.15">
      <c r="A3680" s="5"/>
      <c r="D3680" t="str">
        <f ca="1">IFERROR(__xludf.DUMMYFUNCTION("split(A3680,""("")"),"#VALUE!")</f>
        <v>#VALUE!</v>
      </c>
    </row>
    <row r="3681" spans="1:4" ht="13" x14ac:dyDescent="0.15">
      <c r="A3681" s="5"/>
      <c r="D3681" t="str">
        <f ca="1">IFERROR(__xludf.DUMMYFUNCTION("split(A3681,""("")"),"#VALUE!")</f>
        <v>#VALUE!</v>
      </c>
    </row>
    <row r="3682" spans="1:4" ht="13" x14ac:dyDescent="0.15">
      <c r="A3682" s="5"/>
      <c r="D3682" t="str">
        <f ca="1">IFERROR(__xludf.DUMMYFUNCTION("split(A3682,""("")"),"#VALUE!")</f>
        <v>#VALUE!</v>
      </c>
    </row>
    <row r="3683" spans="1:4" ht="13" x14ac:dyDescent="0.15">
      <c r="A3683" s="5"/>
      <c r="D3683" t="str">
        <f ca="1">IFERROR(__xludf.DUMMYFUNCTION("split(A3683,""("")"),"#VALUE!")</f>
        <v>#VALUE!</v>
      </c>
    </row>
    <row r="3684" spans="1:4" ht="13" x14ac:dyDescent="0.15">
      <c r="A3684" s="5"/>
      <c r="D3684" t="str">
        <f ca="1">IFERROR(__xludf.DUMMYFUNCTION("split(A3684,""("")"),"#VALUE!")</f>
        <v>#VALUE!</v>
      </c>
    </row>
    <row r="3685" spans="1:4" ht="13" x14ac:dyDescent="0.15">
      <c r="A3685" s="5"/>
      <c r="D3685" t="str">
        <f ca="1">IFERROR(__xludf.DUMMYFUNCTION("split(A3685,""("")"),"#VALUE!")</f>
        <v>#VALUE!</v>
      </c>
    </row>
    <row r="3686" spans="1:4" ht="13" x14ac:dyDescent="0.15">
      <c r="A3686" s="5"/>
      <c r="D3686" t="str">
        <f ca="1">IFERROR(__xludf.DUMMYFUNCTION("split(A3686,""("")"),"#VALUE!")</f>
        <v>#VALUE!</v>
      </c>
    </row>
    <row r="3687" spans="1:4" ht="13" x14ac:dyDescent="0.15">
      <c r="A3687" s="5"/>
      <c r="D3687" t="str">
        <f ca="1">IFERROR(__xludf.DUMMYFUNCTION("split(A3687,""("")"),"#VALUE!")</f>
        <v>#VALUE!</v>
      </c>
    </row>
    <row r="3688" spans="1:4" ht="13" x14ac:dyDescent="0.15">
      <c r="A3688" s="5"/>
      <c r="D3688" t="str">
        <f ca="1">IFERROR(__xludf.DUMMYFUNCTION("split(A3688,""("")"),"#VALUE!")</f>
        <v>#VALUE!</v>
      </c>
    </row>
    <row r="3689" spans="1:4" ht="13" x14ac:dyDescent="0.15">
      <c r="A3689" s="5"/>
      <c r="D3689" t="str">
        <f ca="1">IFERROR(__xludf.DUMMYFUNCTION("split(A3689,""("")"),"#VALUE!")</f>
        <v>#VALUE!</v>
      </c>
    </row>
    <row r="3690" spans="1:4" ht="13" x14ac:dyDescent="0.15">
      <c r="A3690" s="5"/>
      <c r="D3690" t="str">
        <f ca="1">IFERROR(__xludf.DUMMYFUNCTION("split(A3690,""("")"),"#VALUE!")</f>
        <v>#VALUE!</v>
      </c>
    </row>
    <row r="3691" spans="1:4" ht="13" x14ac:dyDescent="0.15">
      <c r="A3691" s="5"/>
      <c r="D3691" t="str">
        <f ca="1">IFERROR(__xludf.DUMMYFUNCTION("split(A3691,""("")"),"#VALUE!")</f>
        <v>#VALUE!</v>
      </c>
    </row>
    <row r="3692" spans="1:4" ht="13" x14ac:dyDescent="0.15">
      <c r="A3692" s="5"/>
      <c r="D3692" t="str">
        <f ca="1">IFERROR(__xludf.DUMMYFUNCTION("split(A3692,""("")"),"#VALUE!")</f>
        <v>#VALUE!</v>
      </c>
    </row>
    <row r="3693" spans="1:4" ht="13" x14ac:dyDescent="0.15">
      <c r="A3693" s="5"/>
      <c r="D3693" t="str">
        <f ca="1">IFERROR(__xludf.DUMMYFUNCTION("split(A3693,""("")"),"#VALUE!")</f>
        <v>#VALUE!</v>
      </c>
    </row>
    <row r="3694" spans="1:4" ht="13" x14ac:dyDescent="0.15">
      <c r="A3694" s="5"/>
      <c r="D3694" t="str">
        <f ca="1">IFERROR(__xludf.DUMMYFUNCTION("split(A3694,""("")"),"#VALUE!")</f>
        <v>#VALUE!</v>
      </c>
    </row>
    <row r="3695" spans="1:4" ht="13" x14ac:dyDescent="0.15">
      <c r="A3695" s="5"/>
      <c r="D3695" t="str">
        <f ca="1">IFERROR(__xludf.DUMMYFUNCTION("split(A3695,""("")"),"#VALUE!")</f>
        <v>#VALUE!</v>
      </c>
    </row>
    <row r="3696" spans="1:4" ht="13" x14ac:dyDescent="0.15">
      <c r="A3696" s="5"/>
      <c r="D3696" t="str">
        <f ca="1">IFERROR(__xludf.DUMMYFUNCTION("split(A3696,""("")"),"#VALUE!")</f>
        <v>#VALUE!</v>
      </c>
    </row>
    <row r="3697" spans="1:4" ht="13" x14ac:dyDescent="0.15">
      <c r="A3697" s="5"/>
      <c r="D3697" t="str">
        <f ca="1">IFERROR(__xludf.DUMMYFUNCTION("split(A3697,""("")"),"#VALUE!")</f>
        <v>#VALUE!</v>
      </c>
    </row>
    <row r="3698" spans="1:4" ht="13" x14ac:dyDescent="0.15">
      <c r="A3698" s="5"/>
      <c r="D3698" t="str">
        <f ca="1">IFERROR(__xludf.DUMMYFUNCTION("split(A3698,""("")"),"#VALUE!")</f>
        <v>#VALUE!</v>
      </c>
    </row>
    <row r="3699" spans="1:4" ht="13" x14ac:dyDescent="0.15">
      <c r="A3699" s="5"/>
      <c r="D3699" t="str">
        <f ca="1">IFERROR(__xludf.DUMMYFUNCTION("split(A3699,""("")"),"#VALUE!")</f>
        <v>#VALUE!</v>
      </c>
    </row>
    <row r="3700" spans="1:4" ht="13" x14ac:dyDescent="0.15">
      <c r="A3700" s="5"/>
      <c r="D3700" t="str">
        <f ca="1">IFERROR(__xludf.DUMMYFUNCTION("split(A3700,""("")"),"#VALUE!")</f>
        <v>#VALUE!</v>
      </c>
    </row>
    <row r="3701" spans="1:4" ht="13" x14ac:dyDescent="0.15">
      <c r="A3701" s="5"/>
      <c r="D3701" t="str">
        <f ca="1">IFERROR(__xludf.DUMMYFUNCTION("split(A3701,""("")"),"#VALUE!")</f>
        <v>#VALUE!</v>
      </c>
    </row>
    <row r="3702" spans="1:4" ht="13" x14ac:dyDescent="0.15">
      <c r="A3702" s="5"/>
      <c r="D3702" t="str">
        <f ca="1">IFERROR(__xludf.DUMMYFUNCTION("split(A3702,""("")"),"#VALUE!")</f>
        <v>#VALUE!</v>
      </c>
    </row>
    <row r="3703" spans="1:4" ht="13" x14ac:dyDescent="0.15">
      <c r="A3703" s="5"/>
      <c r="D3703" t="str">
        <f ca="1">IFERROR(__xludf.DUMMYFUNCTION("split(A3703,""("")"),"#VALUE!")</f>
        <v>#VALUE!</v>
      </c>
    </row>
    <row r="3704" spans="1:4" ht="13" x14ac:dyDescent="0.15">
      <c r="A3704" s="5"/>
      <c r="D3704" t="str">
        <f ca="1">IFERROR(__xludf.DUMMYFUNCTION("split(A3704,""("")"),"#VALUE!")</f>
        <v>#VALUE!</v>
      </c>
    </row>
    <row r="3705" spans="1:4" ht="13" x14ac:dyDescent="0.15">
      <c r="A3705" s="5"/>
      <c r="D3705" t="str">
        <f ca="1">IFERROR(__xludf.DUMMYFUNCTION("split(A3705,""("")"),"#VALUE!")</f>
        <v>#VALUE!</v>
      </c>
    </row>
    <row r="3706" spans="1:4" ht="13" x14ac:dyDescent="0.15">
      <c r="A3706" s="5"/>
      <c r="D3706" t="str">
        <f ca="1">IFERROR(__xludf.DUMMYFUNCTION("split(A3706,""("")"),"#VALUE!")</f>
        <v>#VALUE!</v>
      </c>
    </row>
    <row r="3707" spans="1:4" ht="13" x14ac:dyDescent="0.15">
      <c r="A3707" s="5"/>
      <c r="D3707" t="str">
        <f ca="1">IFERROR(__xludf.DUMMYFUNCTION("split(A3707,""("")"),"#VALUE!")</f>
        <v>#VALUE!</v>
      </c>
    </row>
    <row r="3708" spans="1:4" ht="13" x14ac:dyDescent="0.15">
      <c r="A3708" s="5"/>
      <c r="D3708" t="str">
        <f ca="1">IFERROR(__xludf.DUMMYFUNCTION("split(A3708,""("")"),"#VALUE!")</f>
        <v>#VALUE!</v>
      </c>
    </row>
    <row r="3709" spans="1:4" ht="13" x14ac:dyDescent="0.15">
      <c r="A3709" s="5"/>
      <c r="D3709" t="str">
        <f ca="1">IFERROR(__xludf.DUMMYFUNCTION("split(A3709,""("")"),"#VALUE!")</f>
        <v>#VALUE!</v>
      </c>
    </row>
    <row r="3710" spans="1:4" ht="13" x14ac:dyDescent="0.15">
      <c r="A3710" s="5"/>
      <c r="D3710" t="str">
        <f ca="1">IFERROR(__xludf.DUMMYFUNCTION("split(A3710,""("")"),"#VALUE!")</f>
        <v>#VALUE!</v>
      </c>
    </row>
    <row r="3711" spans="1:4" ht="13" x14ac:dyDescent="0.15">
      <c r="A3711" s="5"/>
      <c r="D3711" t="str">
        <f ca="1">IFERROR(__xludf.DUMMYFUNCTION("split(A3711,""("")"),"#VALUE!")</f>
        <v>#VALUE!</v>
      </c>
    </row>
    <row r="3712" spans="1:4" ht="13" x14ac:dyDescent="0.15">
      <c r="A3712" s="5"/>
      <c r="D3712" t="str">
        <f ca="1">IFERROR(__xludf.DUMMYFUNCTION("split(A3712,""("")"),"#VALUE!")</f>
        <v>#VALUE!</v>
      </c>
    </row>
    <row r="3713" spans="1:4" ht="13" x14ac:dyDescent="0.15">
      <c r="A3713" s="5"/>
      <c r="D3713" t="str">
        <f ca="1">IFERROR(__xludf.DUMMYFUNCTION("split(A3713,""("")"),"#VALUE!")</f>
        <v>#VALUE!</v>
      </c>
    </row>
    <row r="3714" spans="1:4" ht="13" x14ac:dyDescent="0.15">
      <c r="A3714" s="5"/>
      <c r="D3714" t="str">
        <f ca="1">IFERROR(__xludf.DUMMYFUNCTION("split(A3714,""("")"),"#VALUE!")</f>
        <v>#VALUE!</v>
      </c>
    </row>
    <row r="3715" spans="1:4" ht="13" x14ac:dyDescent="0.15">
      <c r="A3715" s="5"/>
      <c r="D3715" t="str">
        <f ca="1">IFERROR(__xludf.DUMMYFUNCTION("split(A3715,""("")"),"#VALUE!")</f>
        <v>#VALUE!</v>
      </c>
    </row>
    <row r="3716" spans="1:4" ht="13" x14ac:dyDescent="0.15">
      <c r="A3716" s="5"/>
      <c r="D3716" t="str">
        <f ca="1">IFERROR(__xludf.DUMMYFUNCTION("split(A3716,""("")"),"#VALUE!")</f>
        <v>#VALUE!</v>
      </c>
    </row>
    <row r="3717" spans="1:4" ht="13" x14ac:dyDescent="0.15">
      <c r="A3717" s="5"/>
      <c r="D3717" t="str">
        <f ca="1">IFERROR(__xludf.DUMMYFUNCTION("split(A3717,""("")"),"#VALUE!")</f>
        <v>#VALUE!</v>
      </c>
    </row>
    <row r="3718" spans="1:4" ht="13" x14ac:dyDescent="0.15">
      <c r="A3718" s="5"/>
      <c r="D3718" t="str">
        <f ca="1">IFERROR(__xludf.DUMMYFUNCTION("split(A3718,""("")"),"#VALUE!")</f>
        <v>#VALUE!</v>
      </c>
    </row>
    <row r="3719" spans="1:4" ht="13" x14ac:dyDescent="0.15">
      <c r="A3719" s="5"/>
      <c r="D3719" t="str">
        <f ca="1">IFERROR(__xludf.DUMMYFUNCTION("split(A3719,""("")"),"#VALUE!")</f>
        <v>#VALUE!</v>
      </c>
    </row>
    <row r="3720" spans="1:4" ht="13" x14ac:dyDescent="0.15">
      <c r="A3720" s="5"/>
      <c r="D3720" t="str">
        <f ca="1">IFERROR(__xludf.DUMMYFUNCTION("split(A3720,""("")"),"#VALUE!")</f>
        <v>#VALUE!</v>
      </c>
    </row>
    <row r="3721" spans="1:4" ht="13" x14ac:dyDescent="0.15">
      <c r="A3721" s="5"/>
      <c r="D3721" t="str">
        <f ca="1">IFERROR(__xludf.DUMMYFUNCTION("split(A3721,""("")"),"#VALUE!")</f>
        <v>#VALUE!</v>
      </c>
    </row>
    <row r="3722" spans="1:4" ht="13" x14ac:dyDescent="0.15">
      <c r="A3722" s="5"/>
      <c r="D3722" t="str">
        <f ca="1">IFERROR(__xludf.DUMMYFUNCTION("split(A3722,""("")"),"#VALUE!")</f>
        <v>#VALUE!</v>
      </c>
    </row>
    <row r="3723" spans="1:4" ht="13" x14ac:dyDescent="0.15">
      <c r="A3723" s="5"/>
      <c r="D3723" t="str">
        <f ca="1">IFERROR(__xludf.DUMMYFUNCTION("split(A3723,""("")"),"#VALUE!")</f>
        <v>#VALUE!</v>
      </c>
    </row>
    <row r="3724" spans="1:4" ht="13" x14ac:dyDescent="0.15">
      <c r="A3724" s="5"/>
      <c r="D3724" t="str">
        <f ca="1">IFERROR(__xludf.DUMMYFUNCTION("split(A3724,""("")"),"#VALUE!")</f>
        <v>#VALUE!</v>
      </c>
    </row>
    <row r="3725" spans="1:4" ht="13" x14ac:dyDescent="0.15">
      <c r="A3725" s="5"/>
      <c r="D3725" t="str">
        <f ca="1">IFERROR(__xludf.DUMMYFUNCTION("split(A3725,""("")"),"#VALUE!")</f>
        <v>#VALUE!</v>
      </c>
    </row>
    <row r="3726" spans="1:4" ht="13" x14ac:dyDescent="0.15">
      <c r="A3726" s="5"/>
      <c r="D3726" t="str">
        <f ca="1">IFERROR(__xludf.DUMMYFUNCTION("split(A3726,""("")"),"#VALUE!")</f>
        <v>#VALUE!</v>
      </c>
    </row>
    <row r="3727" spans="1:4" ht="13" x14ac:dyDescent="0.15">
      <c r="A3727" s="5"/>
      <c r="D3727" t="str">
        <f ca="1">IFERROR(__xludf.DUMMYFUNCTION("split(A3727,""("")"),"#VALUE!")</f>
        <v>#VALUE!</v>
      </c>
    </row>
    <row r="3728" spans="1:4" ht="13" x14ac:dyDescent="0.15">
      <c r="A3728" s="5"/>
      <c r="D3728" t="str">
        <f ca="1">IFERROR(__xludf.DUMMYFUNCTION("split(A3728,""("")"),"#VALUE!")</f>
        <v>#VALUE!</v>
      </c>
    </row>
    <row r="3729" spans="1:4" ht="13" x14ac:dyDescent="0.15">
      <c r="A3729" s="5"/>
      <c r="D3729" t="str">
        <f ca="1">IFERROR(__xludf.DUMMYFUNCTION("split(A3729,""("")"),"#VALUE!")</f>
        <v>#VALUE!</v>
      </c>
    </row>
    <row r="3730" spans="1:4" ht="13" x14ac:dyDescent="0.15">
      <c r="A3730" s="5"/>
      <c r="D3730" t="str">
        <f ca="1">IFERROR(__xludf.DUMMYFUNCTION("split(A3730,""("")"),"#VALUE!")</f>
        <v>#VALUE!</v>
      </c>
    </row>
    <row r="3731" spans="1:4" ht="13" x14ac:dyDescent="0.15">
      <c r="A3731" s="5"/>
      <c r="D3731" t="str">
        <f ca="1">IFERROR(__xludf.DUMMYFUNCTION("split(A3731,""("")"),"#VALUE!")</f>
        <v>#VALUE!</v>
      </c>
    </row>
    <row r="3732" spans="1:4" ht="13" x14ac:dyDescent="0.15">
      <c r="A3732" s="5"/>
      <c r="D3732" t="str">
        <f ca="1">IFERROR(__xludf.DUMMYFUNCTION("split(A3732,""("")"),"#VALUE!")</f>
        <v>#VALUE!</v>
      </c>
    </row>
    <row r="3733" spans="1:4" ht="13" x14ac:dyDescent="0.15">
      <c r="A3733" s="5"/>
      <c r="D3733" t="str">
        <f ca="1">IFERROR(__xludf.DUMMYFUNCTION("split(A3733,""("")"),"#VALUE!")</f>
        <v>#VALUE!</v>
      </c>
    </row>
    <row r="3734" spans="1:4" ht="13" x14ac:dyDescent="0.15">
      <c r="A3734" s="5"/>
      <c r="D3734" t="str">
        <f ca="1">IFERROR(__xludf.DUMMYFUNCTION("split(A3734,""("")"),"#VALUE!")</f>
        <v>#VALUE!</v>
      </c>
    </row>
    <row r="3735" spans="1:4" ht="13" x14ac:dyDescent="0.15">
      <c r="A3735" s="5"/>
      <c r="D3735" t="str">
        <f ca="1">IFERROR(__xludf.DUMMYFUNCTION("split(A3735,""("")"),"#VALUE!")</f>
        <v>#VALUE!</v>
      </c>
    </row>
    <row r="3736" spans="1:4" ht="13" x14ac:dyDescent="0.15">
      <c r="A3736" s="5"/>
      <c r="D3736" t="str">
        <f ca="1">IFERROR(__xludf.DUMMYFUNCTION("split(A3736,""("")"),"#VALUE!")</f>
        <v>#VALUE!</v>
      </c>
    </row>
    <row r="3737" spans="1:4" ht="13" x14ac:dyDescent="0.15">
      <c r="A3737" s="5"/>
      <c r="D3737" t="str">
        <f ca="1">IFERROR(__xludf.DUMMYFUNCTION("split(A3737,""("")"),"#VALUE!")</f>
        <v>#VALUE!</v>
      </c>
    </row>
    <row r="3738" spans="1:4" ht="13" x14ac:dyDescent="0.15">
      <c r="A3738" s="5"/>
      <c r="D3738" t="str">
        <f ca="1">IFERROR(__xludf.DUMMYFUNCTION("split(A3738,""("")"),"#VALUE!")</f>
        <v>#VALUE!</v>
      </c>
    </row>
    <row r="3739" spans="1:4" ht="13" x14ac:dyDescent="0.15">
      <c r="A3739" s="5"/>
      <c r="D3739" t="str">
        <f ca="1">IFERROR(__xludf.DUMMYFUNCTION("split(A3739,""("")"),"#VALUE!")</f>
        <v>#VALUE!</v>
      </c>
    </row>
    <row r="3740" spans="1:4" ht="13" x14ac:dyDescent="0.15">
      <c r="A3740" s="5"/>
      <c r="D3740" t="str">
        <f ca="1">IFERROR(__xludf.DUMMYFUNCTION("split(A3740,""("")"),"#VALUE!")</f>
        <v>#VALUE!</v>
      </c>
    </row>
    <row r="3741" spans="1:4" ht="13" x14ac:dyDescent="0.15">
      <c r="A3741" s="5"/>
      <c r="D3741" t="str">
        <f ca="1">IFERROR(__xludf.DUMMYFUNCTION("split(A3741,""("")"),"#VALUE!")</f>
        <v>#VALUE!</v>
      </c>
    </row>
    <row r="3742" spans="1:4" ht="13" x14ac:dyDescent="0.15">
      <c r="A3742" s="5"/>
      <c r="D3742" t="str">
        <f ca="1">IFERROR(__xludf.DUMMYFUNCTION("split(A3742,""("")"),"#VALUE!")</f>
        <v>#VALUE!</v>
      </c>
    </row>
    <row r="3743" spans="1:4" ht="13" x14ac:dyDescent="0.15">
      <c r="A3743" s="5"/>
      <c r="D3743" t="str">
        <f ca="1">IFERROR(__xludf.DUMMYFUNCTION("split(A3743,""("")"),"#VALUE!")</f>
        <v>#VALUE!</v>
      </c>
    </row>
    <row r="3744" spans="1:4" ht="13" x14ac:dyDescent="0.15">
      <c r="A3744" s="5"/>
      <c r="D3744" t="str">
        <f ca="1">IFERROR(__xludf.DUMMYFUNCTION("split(A3744,""("")"),"#VALUE!")</f>
        <v>#VALUE!</v>
      </c>
    </row>
    <row r="3745" spans="1:4" ht="13" x14ac:dyDescent="0.15">
      <c r="A3745" s="5"/>
      <c r="D3745" t="str">
        <f ca="1">IFERROR(__xludf.DUMMYFUNCTION("split(A3745,""("")"),"#VALUE!")</f>
        <v>#VALUE!</v>
      </c>
    </row>
    <row r="3746" spans="1:4" ht="13" x14ac:dyDescent="0.15">
      <c r="A3746" s="5"/>
      <c r="D3746" t="str">
        <f ca="1">IFERROR(__xludf.DUMMYFUNCTION("split(A3746,""("")"),"#VALUE!")</f>
        <v>#VALUE!</v>
      </c>
    </row>
    <row r="3747" spans="1:4" ht="13" x14ac:dyDescent="0.15">
      <c r="A3747" s="5"/>
      <c r="D3747" t="str">
        <f ca="1">IFERROR(__xludf.DUMMYFUNCTION("split(A3747,""("")"),"#VALUE!")</f>
        <v>#VALUE!</v>
      </c>
    </row>
    <row r="3748" spans="1:4" ht="13" x14ac:dyDescent="0.15">
      <c r="A3748" s="5"/>
      <c r="D3748" t="str">
        <f ca="1">IFERROR(__xludf.DUMMYFUNCTION("split(A3748,""("")"),"#VALUE!")</f>
        <v>#VALUE!</v>
      </c>
    </row>
    <row r="3749" spans="1:4" ht="13" x14ac:dyDescent="0.15">
      <c r="A3749" s="5"/>
      <c r="D3749" t="str">
        <f ca="1">IFERROR(__xludf.DUMMYFUNCTION("split(A3749,""("")"),"#VALUE!")</f>
        <v>#VALUE!</v>
      </c>
    </row>
    <row r="3750" spans="1:4" ht="13" x14ac:dyDescent="0.15">
      <c r="A3750" s="5"/>
      <c r="D3750" t="str">
        <f ca="1">IFERROR(__xludf.DUMMYFUNCTION("split(A3750,""("")"),"#VALUE!")</f>
        <v>#VALUE!</v>
      </c>
    </row>
    <row r="3751" spans="1:4" ht="13" x14ac:dyDescent="0.15">
      <c r="A3751" s="5"/>
      <c r="D3751" t="str">
        <f ca="1">IFERROR(__xludf.DUMMYFUNCTION("split(A3751,""("")"),"#VALUE!")</f>
        <v>#VALUE!</v>
      </c>
    </row>
    <row r="3752" spans="1:4" ht="13" x14ac:dyDescent="0.15">
      <c r="A3752" s="5"/>
      <c r="D3752" t="str">
        <f ca="1">IFERROR(__xludf.DUMMYFUNCTION("split(A3752,""("")"),"#VALUE!")</f>
        <v>#VALUE!</v>
      </c>
    </row>
    <row r="3753" spans="1:4" ht="13" x14ac:dyDescent="0.15">
      <c r="A3753" s="5"/>
      <c r="D3753" t="str">
        <f ca="1">IFERROR(__xludf.DUMMYFUNCTION("split(A3753,""("")"),"#VALUE!")</f>
        <v>#VALUE!</v>
      </c>
    </row>
    <row r="3754" spans="1:4" ht="13" x14ac:dyDescent="0.15">
      <c r="A3754" s="5"/>
      <c r="D3754" t="str">
        <f ca="1">IFERROR(__xludf.DUMMYFUNCTION("split(A3754,""("")"),"#VALUE!")</f>
        <v>#VALUE!</v>
      </c>
    </row>
    <row r="3755" spans="1:4" ht="13" x14ac:dyDescent="0.15">
      <c r="A3755" s="5"/>
      <c r="D3755" t="str">
        <f ca="1">IFERROR(__xludf.DUMMYFUNCTION("split(A3755,""("")"),"#VALUE!")</f>
        <v>#VALUE!</v>
      </c>
    </row>
    <row r="3756" spans="1:4" ht="13" x14ac:dyDescent="0.15">
      <c r="A3756" s="5"/>
      <c r="D3756" t="str">
        <f ca="1">IFERROR(__xludf.DUMMYFUNCTION("split(A3756,""("")"),"#VALUE!")</f>
        <v>#VALUE!</v>
      </c>
    </row>
    <row r="3757" spans="1:4" ht="13" x14ac:dyDescent="0.15">
      <c r="A3757" s="5"/>
      <c r="D3757" t="str">
        <f ca="1">IFERROR(__xludf.DUMMYFUNCTION("split(A3757,""("")"),"#VALUE!")</f>
        <v>#VALUE!</v>
      </c>
    </row>
    <row r="3758" spans="1:4" ht="13" x14ac:dyDescent="0.15">
      <c r="A3758" s="5"/>
      <c r="D3758" t="str">
        <f ca="1">IFERROR(__xludf.DUMMYFUNCTION("split(A3758,""("")"),"#VALUE!")</f>
        <v>#VALUE!</v>
      </c>
    </row>
    <row r="3759" spans="1:4" ht="13" x14ac:dyDescent="0.15">
      <c r="A3759" s="5"/>
      <c r="D3759" t="str">
        <f ca="1">IFERROR(__xludf.DUMMYFUNCTION("split(A3759,""("")"),"#VALUE!")</f>
        <v>#VALUE!</v>
      </c>
    </row>
    <row r="3760" spans="1:4" ht="13" x14ac:dyDescent="0.15">
      <c r="A3760" s="5"/>
      <c r="D3760" t="str">
        <f ca="1">IFERROR(__xludf.DUMMYFUNCTION("split(A3760,""("")"),"#VALUE!")</f>
        <v>#VALUE!</v>
      </c>
    </row>
    <row r="3761" spans="1:4" ht="13" x14ac:dyDescent="0.15">
      <c r="A3761" s="5"/>
      <c r="D3761" t="str">
        <f ca="1">IFERROR(__xludf.DUMMYFUNCTION("split(A3761,""("")"),"#VALUE!")</f>
        <v>#VALUE!</v>
      </c>
    </row>
    <row r="3762" spans="1:4" ht="13" x14ac:dyDescent="0.15">
      <c r="A3762" s="5"/>
      <c r="D3762" t="str">
        <f ca="1">IFERROR(__xludf.DUMMYFUNCTION("split(A3762,""("")"),"#VALUE!")</f>
        <v>#VALUE!</v>
      </c>
    </row>
    <row r="3763" spans="1:4" ht="13" x14ac:dyDescent="0.15">
      <c r="A3763" s="5"/>
      <c r="D3763" t="str">
        <f ca="1">IFERROR(__xludf.DUMMYFUNCTION("split(A3763,""("")"),"#VALUE!")</f>
        <v>#VALUE!</v>
      </c>
    </row>
    <row r="3764" spans="1:4" ht="13" x14ac:dyDescent="0.15">
      <c r="A3764" s="5"/>
      <c r="D3764" t="str">
        <f ca="1">IFERROR(__xludf.DUMMYFUNCTION("split(A3764,""("")"),"#VALUE!")</f>
        <v>#VALUE!</v>
      </c>
    </row>
    <row r="3765" spans="1:4" ht="13" x14ac:dyDescent="0.15">
      <c r="A3765" s="5"/>
      <c r="D3765" t="str">
        <f ca="1">IFERROR(__xludf.DUMMYFUNCTION("split(A3765,""("")"),"#VALUE!")</f>
        <v>#VALUE!</v>
      </c>
    </row>
    <row r="3766" spans="1:4" ht="13" x14ac:dyDescent="0.15">
      <c r="A3766" s="5"/>
      <c r="D3766" t="str">
        <f ca="1">IFERROR(__xludf.DUMMYFUNCTION("split(A3766,""("")"),"#VALUE!")</f>
        <v>#VALUE!</v>
      </c>
    </row>
    <row r="3767" spans="1:4" ht="13" x14ac:dyDescent="0.15">
      <c r="A3767" s="5"/>
      <c r="D3767" t="str">
        <f ca="1">IFERROR(__xludf.DUMMYFUNCTION("split(A3767,""("")"),"#VALUE!")</f>
        <v>#VALUE!</v>
      </c>
    </row>
    <row r="3768" spans="1:4" ht="13" x14ac:dyDescent="0.15">
      <c r="A3768" s="5"/>
      <c r="D3768" t="str">
        <f ca="1">IFERROR(__xludf.DUMMYFUNCTION("split(A3768,""("")"),"#VALUE!")</f>
        <v>#VALUE!</v>
      </c>
    </row>
    <row r="3769" spans="1:4" ht="13" x14ac:dyDescent="0.15">
      <c r="A3769" s="5"/>
      <c r="D3769" t="str">
        <f ca="1">IFERROR(__xludf.DUMMYFUNCTION("split(A3769,""("")"),"#VALUE!")</f>
        <v>#VALUE!</v>
      </c>
    </row>
    <row r="3770" spans="1:4" ht="13" x14ac:dyDescent="0.15">
      <c r="A3770" s="5"/>
      <c r="D3770" t="str">
        <f ca="1">IFERROR(__xludf.DUMMYFUNCTION("split(A3770,""("")"),"#VALUE!")</f>
        <v>#VALUE!</v>
      </c>
    </row>
    <row r="3771" spans="1:4" ht="13" x14ac:dyDescent="0.15">
      <c r="A3771" s="5"/>
      <c r="D3771" t="str">
        <f ca="1">IFERROR(__xludf.DUMMYFUNCTION("split(A3771,""("")"),"#VALUE!")</f>
        <v>#VALUE!</v>
      </c>
    </row>
    <row r="3772" spans="1:4" ht="13" x14ac:dyDescent="0.15">
      <c r="A3772" s="5"/>
      <c r="D3772" t="str">
        <f ca="1">IFERROR(__xludf.DUMMYFUNCTION("split(A3772,""("")"),"#VALUE!")</f>
        <v>#VALUE!</v>
      </c>
    </row>
    <row r="3773" spans="1:4" ht="13" x14ac:dyDescent="0.15">
      <c r="A3773" s="5"/>
      <c r="D3773" t="str">
        <f ca="1">IFERROR(__xludf.DUMMYFUNCTION("split(A3773,""("")"),"#VALUE!")</f>
        <v>#VALUE!</v>
      </c>
    </row>
    <row r="3774" spans="1:4" ht="13" x14ac:dyDescent="0.15">
      <c r="A3774" s="5"/>
      <c r="D3774" t="str">
        <f ca="1">IFERROR(__xludf.DUMMYFUNCTION("split(A3774,""("")"),"#VALUE!")</f>
        <v>#VALUE!</v>
      </c>
    </row>
    <row r="3775" spans="1:4" ht="13" x14ac:dyDescent="0.15">
      <c r="A3775" s="5"/>
      <c r="D3775" t="str">
        <f ca="1">IFERROR(__xludf.DUMMYFUNCTION("split(A3775,""("")"),"#VALUE!")</f>
        <v>#VALUE!</v>
      </c>
    </row>
    <row r="3776" spans="1:4" ht="13" x14ac:dyDescent="0.15">
      <c r="A3776" s="5"/>
      <c r="D3776" t="str">
        <f ca="1">IFERROR(__xludf.DUMMYFUNCTION("split(A3776,""("")"),"#VALUE!")</f>
        <v>#VALUE!</v>
      </c>
    </row>
    <row r="3777" spans="1:4" ht="13" x14ac:dyDescent="0.15">
      <c r="A3777" s="5"/>
      <c r="D3777" t="str">
        <f ca="1">IFERROR(__xludf.DUMMYFUNCTION("split(A3777,""("")"),"#VALUE!")</f>
        <v>#VALUE!</v>
      </c>
    </row>
    <row r="3778" spans="1:4" ht="13" x14ac:dyDescent="0.15">
      <c r="A3778" s="5"/>
      <c r="D3778" t="str">
        <f ca="1">IFERROR(__xludf.DUMMYFUNCTION("split(A3778,""("")"),"#VALUE!")</f>
        <v>#VALUE!</v>
      </c>
    </row>
    <row r="3779" spans="1:4" ht="13" x14ac:dyDescent="0.15">
      <c r="A3779" s="5"/>
      <c r="D3779" t="str">
        <f ca="1">IFERROR(__xludf.DUMMYFUNCTION("split(A3779,""("")"),"#VALUE!")</f>
        <v>#VALUE!</v>
      </c>
    </row>
    <row r="3780" spans="1:4" ht="13" x14ac:dyDescent="0.15">
      <c r="A3780" s="5"/>
      <c r="D3780" t="str">
        <f ca="1">IFERROR(__xludf.DUMMYFUNCTION("split(A3780,""("")"),"#VALUE!")</f>
        <v>#VALUE!</v>
      </c>
    </row>
    <row r="3781" spans="1:4" ht="13" x14ac:dyDescent="0.15">
      <c r="A3781" s="5"/>
      <c r="D3781" t="str">
        <f ca="1">IFERROR(__xludf.DUMMYFUNCTION("split(A3781,""("")"),"#VALUE!")</f>
        <v>#VALUE!</v>
      </c>
    </row>
    <row r="3782" spans="1:4" ht="13" x14ac:dyDescent="0.15">
      <c r="A3782" s="5"/>
      <c r="D3782" t="str">
        <f ca="1">IFERROR(__xludf.DUMMYFUNCTION("split(A3782,""("")"),"#VALUE!")</f>
        <v>#VALUE!</v>
      </c>
    </row>
    <row r="3783" spans="1:4" ht="13" x14ac:dyDescent="0.15">
      <c r="A3783" s="5"/>
      <c r="D3783" t="str">
        <f ca="1">IFERROR(__xludf.DUMMYFUNCTION("split(A3783,""("")"),"#VALUE!")</f>
        <v>#VALUE!</v>
      </c>
    </row>
    <row r="3784" spans="1:4" ht="13" x14ac:dyDescent="0.15">
      <c r="A3784" s="5"/>
      <c r="D3784" t="str">
        <f ca="1">IFERROR(__xludf.DUMMYFUNCTION("split(A3784,""("")"),"#VALUE!")</f>
        <v>#VALUE!</v>
      </c>
    </row>
    <row r="3785" spans="1:4" ht="13" x14ac:dyDescent="0.15">
      <c r="A3785" s="5"/>
      <c r="D3785" t="str">
        <f ca="1">IFERROR(__xludf.DUMMYFUNCTION("split(A3785,""("")"),"#VALUE!")</f>
        <v>#VALUE!</v>
      </c>
    </row>
    <row r="3786" spans="1:4" ht="13" x14ac:dyDescent="0.15">
      <c r="A3786" s="5"/>
      <c r="D3786" t="str">
        <f ca="1">IFERROR(__xludf.DUMMYFUNCTION("split(A3786,""("")"),"#VALUE!")</f>
        <v>#VALUE!</v>
      </c>
    </row>
    <row r="3787" spans="1:4" ht="13" x14ac:dyDescent="0.15">
      <c r="A3787" s="5"/>
      <c r="D3787" t="str">
        <f ca="1">IFERROR(__xludf.DUMMYFUNCTION("split(A3787,""("")"),"#VALUE!")</f>
        <v>#VALUE!</v>
      </c>
    </row>
    <row r="3788" spans="1:4" ht="13" x14ac:dyDescent="0.15">
      <c r="A3788" s="5"/>
      <c r="D3788" t="str">
        <f ca="1">IFERROR(__xludf.DUMMYFUNCTION("split(A3788,""("")"),"#VALUE!")</f>
        <v>#VALUE!</v>
      </c>
    </row>
    <row r="3789" spans="1:4" ht="13" x14ac:dyDescent="0.15">
      <c r="A3789" s="5"/>
      <c r="D3789" t="str">
        <f ca="1">IFERROR(__xludf.DUMMYFUNCTION("split(A3789,""("")"),"#VALUE!")</f>
        <v>#VALUE!</v>
      </c>
    </row>
    <row r="3790" spans="1:4" ht="13" x14ac:dyDescent="0.15">
      <c r="A3790" s="5"/>
      <c r="D3790" t="str">
        <f ca="1">IFERROR(__xludf.DUMMYFUNCTION("split(A3790,""("")"),"#VALUE!")</f>
        <v>#VALUE!</v>
      </c>
    </row>
    <row r="3791" spans="1:4" ht="13" x14ac:dyDescent="0.15">
      <c r="A3791" s="5"/>
      <c r="D3791" t="str">
        <f ca="1">IFERROR(__xludf.DUMMYFUNCTION("split(A3791,""("")"),"#VALUE!")</f>
        <v>#VALUE!</v>
      </c>
    </row>
    <row r="3792" spans="1:4" ht="13" x14ac:dyDescent="0.15">
      <c r="A3792" s="5"/>
      <c r="D3792" t="str">
        <f ca="1">IFERROR(__xludf.DUMMYFUNCTION("split(A3792,""("")"),"#VALUE!")</f>
        <v>#VALUE!</v>
      </c>
    </row>
    <row r="3793" spans="1:4" ht="13" x14ac:dyDescent="0.15">
      <c r="A3793" s="5"/>
      <c r="D3793" t="str">
        <f ca="1">IFERROR(__xludf.DUMMYFUNCTION("split(A3793,""("")"),"#VALUE!")</f>
        <v>#VALUE!</v>
      </c>
    </row>
    <row r="3794" spans="1:4" ht="13" x14ac:dyDescent="0.15">
      <c r="A3794" s="5"/>
      <c r="D3794" t="str">
        <f ca="1">IFERROR(__xludf.DUMMYFUNCTION("split(A3794,""("")"),"#VALUE!")</f>
        <v>#VALUE!</v>
      </c>
    </row>
    <row r="3795" spans="1:4" ht="13" x14ac:dyDescent="0.15">
      <c r="A3795" s="5"/>
      <c r="D3795" t="str">
        <f ca="1">IFERROR(__xludf.DUMMYFUNCTION("split(A3795,""("")"),"#VALUE!")</f>
        <v>#VALUE!</v>
      </c>
    </row>
    <row r="3796" spans="1:4" ht="13" x14ac:dyDescent="0.15">
      <c r="A3796" s="5"/>
      <c r="D3796" t="str">
        <f ca="1">IFERROR(__xludf.DUMMYFUNCTION("split(A3796,""("")"),"#VALUE!")</f>
        <v>#VALUE!</v>
      </c>
    </row>
    <row r="3797" spans="1:4" ht="13" x14ac:dyDescent="0.15">
      <c r="A3797" s="5"/>
      <c r="D3797" t="str">
        <f ca="1">IFERROR(__xludf.DUMMYFUNCTION("split(A3797,""("")"),"#VALUE!")</f>
        <v>#VALUE!</v>
      </c>
    </row>
    <row r="3798" spans="1:4" ht="13" x14ac:dyDescent="0.15">
      <c r="A3798" s="5"/>
      <c r="D3798" t="str">
        <f ca="1">IFERROR(__xludf.DUMMYFUNCTION("split(A3798,""("")"),"#VALUE!")</f>
        <v>#VALUE!</v>
      </c>
    </row>
    <row r="3799" spans="1:4" ht="13" x14ac:dyDescent="0.15">
      <c r="A3799" s="5"/>
      <c r="D3799" t="str">
        <f ca="1">IFERROR(__xludf.DUMMYFUNCTION("split(A3799,""("")"),"#VALUE!")</f>
        <v>#VALUE!</v>
      </c>
    </row>
    <row r="3800" spans="1:4" ht="13" x14ac:dyDescent="0.15">
      <c r="A3800" s="5"/>
      <c r="D3800" t="str">
        <f ca="1">IFERROR(__xludf.DUMMYFUNCTION("split(A3800,""("")"),"#VALUE!")</f>
        <v>#VALUE!</v>
      </c>
    </row>
    <row r="3801" spans="1:4" ht="13" x14ac:dyDescent="0.15">
      <c r="A3801" s="5"/>
      <c r="D3801" t="str">
        <f ca="1">IFERROR(__xludf.DUMMYFUNCTION("split(A3801,""("")"),"#VALUE!")</f>
        <v>#VALUE!</v>
      </c>
    </row>
    <row r="3802" spans="1:4" ht="13" x14ac:dyDescent="0.15">
      <c r="A3802" s="5"/>
      <c r="D3802" t="str">
        <f ca="1">IFERROR(__xludf.DUMMYFUNCTION("split(A3802,""("")"),"#VALUE!")</f>
        <v>#VALUE!</v>
      </c>
    </row>
    <row r="3803" spans="1:4" ht="13" x14ac:dyDescent="0.15">
      <c r="A3803" s="5"/>
      <c r="D3803" t="str">
        <f ca="1">IFERROR(__xludf.DUMMYFUNCTION("split(A3803,""("")"),"#VALUE!")</f>
        <v>#VALUE!</v>
      </c>
    </row>
    <row r="3804" spans="1:4" ht="13" x14ac:dyDescent="0.15">
      <c r="A3804" s="5"/>
      <c r="D3804" t="str">
        <f ca="1">IFERROR(__xludf.DUMMYFUNCTION("split(A3804,""("")"),"#VALUE!")</f>
        <v>#VALUE!</v>
      </c>
    </row>
    <row r="3805" spans="1:4" ht="13" x14ac:dyDescent="0.15">
      <c r="A3805" s="5"/>
      <c r="D3805" t="str">
        <f ca="1">IFERROR(__xludf.DUMMYFUNCTION("split(A3805,""("")"),"#VALUE!")</f>
        <v>#VALUE!</v>
      </c>
    </row>
    <row r="3806" spans="1:4" ht="13" x14ac:dyDescent="0.15">
      <c r="A3806" s="5"/>
      <c r="D3806" t="str">
        <f ca="1">IFERROR(__xludf.DUMMYFUNCTION("split(A3806,""("")"),"#VALUE!")</f>
        <v>#VALUE!</v>
      </c>
    </row>
    <row r="3807" spans="1:4" ht="13" x14ac:dyDescent="0.15">
      <c r="A3807" s="5"/>
      <c r="D3807" t="str">
        <f ca="1">IFERROR(__xludf.DUMMYFUNCTION("split(A3807,""("")"),"#VALUE!")</f>
        <v>#VALUE!</v>
      </c>
    </row>
    <row r="3808" spans="1:4" ht="13" x14ac:dyDescent="0.15">
      <c r="A3808" s="5"/>
      <c r="D3808" t="str">
        <f ca="1">IFERROR(__xludf.DUMMYFUNCTION("split(A3808,""("")"),"#VALUE!")</f>
        <v>#VALUE!</v>
      </c>
    </row>
    <row r="3809" spans="1:4" ht="13" x14ac:dyDescent="0.15">
      <c r="A3809" s="5"/>
      <c r="D3809" t="str">
        <f ca="1">IFERROR(__xludf.DUMMYFUNCTION("split(A3809,""("")"),"#VALUE!")</f>
        <v>#VALUE!</v>
      </c>
    </row>
    <row r="3810" spans="1:4" ht="13" x14ac:dyDescent="0.15">
      <c r="A3810" s="5"/>
      <c r="D3810" t="str">
        <f ca="1">IFERROR(__xludf.DUMMYFUNCTION("split(A3810,""("")"),"#VALUE!")</f>
        <v>#VALUE!</v>
      </c>
    </row>
    <row r="3811" spans="1:4" ht="13" x14ac:dyDescent="0.15">
      <c r="A3811" s="5"/>
      <c r="D3811" t="str">
        <f ca="1">IFERROR(__xludf.DUMMYFUNCTION("split(A3811,""("")"),"#VALUE!")</f>
        <v>#VALUE!</v>
      </c>
    </row>
    <row r="3812" spans="1:4" ht="13" x14ac:dyDescent="0.15">
      <c r="A3812" s="5"/>
      <c r="D3812" t="str">
        <f ca="1">IFERROR(__xludf.DUMMYFUNCTION("split(A3812,""("")"),"#VALUE!")</f>
        <v>#VALUE!</v>
      </c>
    </row>
    <row r="3813" spans="1:4" ht="13" x14ac:dyDescent="0.15">
      <c r="A3813" s="5"/>
      <c r="D3813" t="str">
        <f ca="1">IFERROR(__xludf.DUMMYFUNCTION("split(A3813,""("")"),"#VALUE!")</f>
        <v>#VALUE!</v>
      </c>
    </row>
    <row r="3814" spans="1:4" ht="13" x14ac:dyDescent="0.15">
      <c r="A3814" s="5"/>
      <c r="D3814" t="str">
        <f ca="1">IFERROR(__xludf.DUMMYFUNCTION("split(A3814,""("")"),"#VALUE!")</f>
        <v>#VALUE!</v>
      </c>
    </row>
    <row r="3815" spans="1:4" ht="13" x14ac:dyDescent="0.15">
      <c r="A3815" s="5"/>
      <c r="D3815" t="str">
        <f ca="1">IFERROR(__xludf.DUMMYFUNCTION("split(A3815,""("")"),"#VALUE!")</f>
        <v>#VALUE!</v>
      </c>
    </row>
    <row r="3816" spans="1:4" ht="13" x14ac:dyDescent="0.15">
      <c r="A3816" s="5"/>
      <c r="D3816" t="str">
        <f ca="1">IFERROR(__xludf.DUMMYFUNCTION("split(A3816,""("")"),"#VALUE!")</f>
        <v>#VALUE!</v>
      </c>
    </row>
    <row r="3817" spans="1:4" ht="13" x14ac:dyDescent="0.15">
      <c r="A3817" s="5"/>
      <c r="D3817" t="str">
        <f ca="1">IFERROR(__xludf.DUMMYFUNCTION("split(A3817,""("")"),"#VALUE!")</f>
        <v>#VALUE!</v>
      </c>
    </row>
    <row r="3818" spans="1:4" ht="13" x14ac:dyDescent="0.15">
      <c r="A3818" s="5"/>
      <c r="D3818" t="str">
        <f ca="1">IFERROR(__xludf.DUMMYFUNCTION("split(A3818,""("")"),"#VALUE!")</f>
        <v>#VALUE!</v>
      </c>
    </row>
    <row r="3819" spans="1:4" ht="13" x14ac:dyDescent="0.15">
      <c r="A3819" s="5"/>
      <c r="D3819" t="str">
        <f ca="1">IFERROR(__xludf.DUMMYFUNCTION("split(A3819,""("")"),"#VALUE!")</f>
        <v>#VALUE!</v>
      </c>
    </row>
    <row r="3820" spans="1:4" ht="13" x14ac:dyDescent="0.15">
      <c r="A3820" s="5"/>
      <c r="D3820" t="str">
        <f ca="1">IFERROR(__xludf.DUMMYFUNCTION("split(A3820,""("")"),"#VALUE!")</f>
        <v>#VALUE!</v>
      </c>
    </row>
    <row r="3821" spans="1:4" ht="13" x14ac:dyDescent="0.15">
      <c r="A3821" s="5"/>
      <c r="D3821" t="str">
        <f ca="1">IFERROR(__xludf.DUMMYFUNCTION("split(A3821,""("")"),"#VALUE!")</f>
        <v>#VALUE!</v>
      </c>
    </row>
    <row r="3822" spans="1:4" ht="13" x14ac:dyDescent="0.15">
      <c r="A3822" s="5"/>
      <c r="D3822" t="str">
        <f ca="1">IFERROR(__xludf.DUMMYFUNCTION("split(A3822,""("")"),"#VALUE!")</f>
        <v>#VALUE!</v>
      </c>
    </row>
    <row r="3823" spans="1:4" ht="13" x14ac:dyDescent="0.15">
      <c r="A3823" s="5"/>
      <c r="D3823" t="str">
        <f ca="1">IFERROR(__xludf.DUMMYFUNCTION("split(A3823,""("")"),"#VALUE!")</f>
        <v>#VALUE!</v>
      </c>
    </row>
    <row r="3824" spans="1:4" ht="13" x14ac:dyDescent="0.15">
      <c r="A3824" s="5"/>
      <c r="D3824" t="str">
        <f ca="1">IFERROR(__xludf.DUMMYFUNCTION("split(A3824,""("")"),"#VALUE!")</f>
        <v>#VALUE!</v>
      </c>
    </row>
    <row r="3825" spans="1:4" ht="13" x14ac:dyDescent="0.15">
      <c r="A3825" s="5"/>
      <c r="D3825" t="str">
        <f ca="1">IFERROR(__xludf.DUMMYFUNCTION("split(A3825,""("")"),"#VALUE!")</f>
        <v>#VALUE!</v>
      </c>
    </row>
    <row r="3826" spans="1:4" ht="13" x14ac:dyDescent="0.15">
      <c r="A3826" s="5"/>
      <c r="D3826" t="str">
        <f ca="1">IFERROR(__xludf.DUMMYFUNCTION("split(A3826,""("")"),"#VALUE!")</f>
        <v>#VALUE!</v>
      </c>
    </row>
    <row r="3827" spans="1:4" ht="13" x14ac:dyDescent="0.15">
      <c r="A3827" s="5"/>
      <c r="D3827" t="str">
        <f ca="1">IFERROR(__xludf.DUMMYFUNCTION("split(A3827,""("")"),"#VALUE!")</f>
        <v>#VALUE!</v>
      </c>
    </row>
    <row r="3828" spans="1:4" ht="13" x14ac:dyDescent="0.15">
      <c r="A3828" s="5"/>
      <c r="D3828" t="str">
        <f ca="1">IFERROR(__xludf.DUMMYFUNCTION("split(A3828,""("")"),"#VALUE!")</f>
        <v>#VALUE!</v>
      </c>
    </row>
    <row r="3829" spans="1:4" ht="13" x14ac:dyDescent="0.15">
      <c r="A3829" s="5"/>
      <c r="D3829" t="str">
        <f ca="1">IFERROR(__xludf.DUMMYFUNCTION("split(A3829,""("")"),"#VALUE!")</f>
        <v>#VALUE!</v>
      </c>
    </row>
    <row r="3830" spans="1:4" ht="13" x14ac:dyDescent="0.15">
      <c r="A3830" s="5"/>
      <c r="D3830" t="str">
        <f ca="1">IFERROR(__xludf.DUMMYFUNCTION("split(A3830,""("")"),"#VALUE!")</f>
        <v>#VALUE!</v>
      </c>
    </row>
    <row r="3831" spans="1:4" ht="13" x14ac:dyDescent="0.15">
      <c r="A3831" s="5"/>
      <c r="D3831" t="str">
        <f ca="1">IFERROR(__xludf.DUMMYFUNCTION("split(A3831,""("")"),"#VALUE!")</f>
        <v>#VALUE!</v>
      </c>
    </row>
    <row r="3832" spans="1:4" ht="13" x14ac:dyDescent="0.15">
      <c r="A3832" s="5"/>
      <c r="D3832" t="str">
        <f ca="1">IFERROR(__xludf.DUMMYFUNCTION("split(A3832,""("")"),"#VALUE!")</f>
        <v>#VALUE!</v>
      </c>
    </row>
    <row r="3833" spans="1:4" ht="13" x14ac:dyDescent="0.15">
      <c r="A3833" s="5"/>
      <c r="D3833" t="str">
        <f ca="1">IFERROR(__xludf.DUMMYFUNCTION("split(A3833,""("")"),"#VALUE!")</f>
        <v>#VALUE!</v>
      </c>
    </row>
    <row r="3834" spans="1:4" ht="13" x14ac:dyDescent="0.15">
      <c r="A3834" s="5"/>
      <c r="D3834" t="str">
        <f ca="1">IFERROR(__xludf.DUMMYFUNCTION("split(A3834,""("")"),"#VALUE!")</f>
        <v>#VALUE!</v>
      </c>
    </row>
    <row r="3835" spans="1:4" ht="13" x14ac:dyDescent="0.15">
      <c r="A3835" s="5"/>
      <c r="D3835" t="str">
        <f ca="1">IFERROR(__xludf.DUMMYFUNCTION("split(A3835,""("")"),"#VALUE!")</f>
        <v>#VALUE!</v>
      </c>
    </row>
    <row r="3836" spans="1:4" ht="13" x14ac:dyDescent="0.15">
      <c r="A3836" s="5"/>
      <c r="D3836" t="str">
        <f ca="1">IFERROR(__xludf.DUMMYFUNCTION("split(A3836,""("")"),"#VALUE!")</f>
        <v>#VALUE!</v>
      </c>
    </row>
    <row r="3837" spans="1:4" ht="13" x14ac:dyDescent="0.15">
      <c r="A3837" s="5"/>
      <c r="D3837" t="str">
        <f ca="1">IFERROR(__xludf.DUMMYFUNCTION("split(A3837,""("")"),"#VALUE!")</f>
        <v>#VALUE!</v>
      </c>
    </row>
    <row r="3838" spans="1:4" ht="13" x14ac:dyDescent="0.15">
      <c r="A3838" s="5"/>
      <c r="D3838" t="str">
        <f ca="1">IFERROR(__xludf.DUMMYFUNCTION("split(A3838,""("")"),"#VALUE!")</f>
        <v>#VALUE!</v>
      </c>
    </row>
    <row r="3839" spans="1:4" ht="13" x14ac:dyDescent="0.15">
      <c r="A3839" s="5"/>
      <c r="D3839" t="str">
        <f ca="1">IFERROR(__xludf.DUMMYFUNCTION("split(A3839,""("")"),"#VALUE!")</f>
        <v>#VALUE!</v>
      </c>
    </row>
    <row r="3840" spans="1:4" ht="13" x14ac:dyDescent="0.15">
      <c r="A3840" s="5"/>
      <c r="D3840" t="str">
        <f ca="1">IFERROR(__xludf.DUMMYFUNCTION("split(A3840,""("")"),"#VALUE!")</f>
        <v>#VALUE!</v>
      </c>
    </row>
    <row r="3841" spans="1:4" ht="13" x14ac:dyDescent="0.15">
      <c r="A3841" s="5"/>
      <c r="D3841" t="str">
        <f ca="1">IFERROR(__xludf.DUMMYFUNCTION("split(A3841,""("")"),"#VALUE!")</f>
        <v>#VALUE!</v>
      </c>
    </row>
    <row r="3842" spans="1:4" ht="13" x14ac:dyDescent="0.15">
      <c r="A3842" s="5"/>
      <c r="D3842" t="str">
        <f ca="1">IFERROR(__xludf.DUMMYFUNCTION("split(A3842,""("")"),"#VALUE!")</f>
        <v>#VALUE!</v>
      </c>
    </row>
    <row r="3843" spans="1:4" ht="13" x14ac:dyDescent="0.15">
      <c r="A3843" s="5"/>
      <c r="D3843" t="str">
        <f ca="1">IFERROR(__xludf.DUMMYFUNCTION("split(A3843,""("")"),"#VALUE!")</f>
        <v>#VALUE!</v>
      </c>
    </row>
    <row r="3844" spans="1:4" ht="13" x14ac:dyDescent="0.15">
      <c r="A3844" s="5"/>
      <c r="D3844" t="str">
        <f ca="1">IFERROR(__xludf.DUMMYFUNCTION("split(A3844,""("")"),"#VALUE!")</f>
        <v>#VALUE!</v>
      </c>
    </row>
    <row r="3845" spans="1:4" ht="13" x14ac:dyDescent="0.15">
      <c r="A3845" s="5"/>
      <c r="D3845" t="str">
        <f ca="1">IFERROR(__xludf.DUMMYFUNCTION("split(A3845,""("")"),"#VALUE!")</f>
        <v>#VALUE!</v>
      </c>
    </row>
    <row r="3846" spans="1:4" ht="13" x14ac:dyDescent="0.15">
      <c r="A3846" s="5"/>
      <c r="D3846" t="str">
        <f ca="1">IFERROR(__xludf.DUMMYFUNCTION("split(A3846,""("")"),"#VALUE!")</f>
        <v>#VALUE!</v>
      </c>
    </row>
    <row r="3847" spans="1:4" ht="13" x14ac:dyDescent="0.15">
      <c r="A3847" s="5"/>
      <c r="D3847" t="str">
        <f ca="1">IFERROR(__xludf.DUMMYFUNCTION("split(A3847,""("")"),"#VALUE!")</f>
        <v>#VALUE!</v>
      </c>
    </row>
    <row r="3848" spans="1:4" ht="13" x14ac:dyDescent="0.15">
      <c r="A3848" s="5"/>
      <c r="D3848" t="str">
        <f ca="1">IFERROR(__xludf.DUMMYFUNCTION("split(A3848,""("")"),"#VALUE!")</f>
        <v>#VALUE!</v>
      </c>
    </row>
    <row r="3849" spans="1:4" ht="13" x14ac:dyDescent="0.15">
      <c r="A3849" s="5"/>
    </row>
    <row r="3850" spans="1:4" ht="13" x14ac:dyDescent="0.15">
      <c r="A3850" s="5"/>
    </row>
    <row r="3851" spans="1:4" ht="13" x14ac:dyDescent="0.15">
      <c r="A3851" s="5"/>
    </row>
    <row r="3852" spans="1:4" ht="13" x14ac:dyDescent="0.15">
      <c r="A3852" s="5"/>
    </row>
    <row r="3853" spans="1:4" ht="13" x14ac:dyDescent="0.15">
      <c r="A3853" s="5"/>
    </row>
    <row r="3854" spans="1:4" ht="13" x14ac:dyDescent="0.15">
      <c r="A3854" s="5"/>
    </row>
    <row r="3855" spans="1:4" ht="13" x14ac:dyDescent="0.15">
      <c r="A3855" s="5"/>
    </row>
    <row r="3856" spans="1:4" ht="13" x14ac:dyDescent="0.15">
      <c r="A3856" s="5"/>
    </row>
    <row r="3857" spans="1:1" ht="13" x14ac:dyDescent="0.15">
      <c r="A3857" s="5"/>
    </row>
    <row r="3858" spans="1:1" ht="13" x14ac:dyDescent="0.15">
      <c r="A3858" s="5"/>
    </row>
    <row r="3859" spans="1:1" ht="13" x14ac:dyDescent="0.15">
      <c r="A3859" s="5"/>
    </row>
    <row r="3860" spans="1:1" ht="13" x14ac:dyDescent="0.15">
      <c r="A3860" s="5"/>
    </row>
    <row r="3861" spans="1:1" ht="13" x14ac:dyDescent="0.15">
      <c r="A3861" s="5"/>
    </row>
    <row r="3862" spans="1:1" ht="13" x14ac:dyDescent="0.15">
      <c r="A3862" s="5"/>
    </row>
    <row r="3863" spans="1:1" ht="13" x14ac:dyDescent="0.15">
      <c r="A3863" s="5"/>
    </row>
    <row r="3864" spans="1:1" ht="13" x14ac:dyDescent="0.15">
      <c r="A3864" s="5"/>
    </row>
    <row r="3865" spans="1:1" ht="13" x14ac:dyDescent="0.15">
      <c r="A3865" s="5"/>
    </row>
    <row r="3866" spans="1:1" ht="13" x14ac:dyDescent="0.15">
      <c r="A3866" s="5"/>
    </row>
    <row r="3867" spans="1:1" ht="13" x14ac:dyDescent="0.15">
      <c r="A3867" s="5"/>
    </row>
    <row r="3868" spans="1:1" ht="13" x14ac:dyDescent="0.15">
      <c r="A3868" s="5"/>
    </row>
    <row r="3869" spans="1:1" ht="13" x14ac:dyDescent="0.15">
      <c r="A3869" s="5"/>
    </row>
    <row r="3870" spans="1:1" ht="13" x14ac:dyDescent="0.15">
      <c r="A3870" s="5"/>
    </row>
    <row r="3871" spans="1:1" ht="13" x14ac:dyDescent="0.15">
      <c r="A3871" s="5"/>
    </row>
    <row r="3872" spans="1:1" ht="13" x14ac:dyDescent="0.15">
      <c r="A3872" s="5"/>
    </row>
    <row r="3873" spans="1:1" ht="13" x14ac:dyDescent="0.15">
      <c r="A3873" s="5"/>
    </row>
    <row r="3874" spans="1:1" ht="13" x14ac:dyDescent="0.15">
      <c r="A3874" s="5"/>
    </row>
    <row r="3875" spans="1:1" ht="13" x14ac:dyDescent="0.15">
      <c r="A3875" s="5"/>
    </row>
    <row r="3876" spans="1:1" ht="13" x14ac:dyDescent="0.15">
      <c r="A3876" s="5"/>
    </row>
    <row r="3877" spans="1:1" ht="13" x14ac:dyDescent="0.15">
      <c r="A3877" s="5"/>
    </row>
    <row r="3878" spans="1:1" ht="13" x14ac:dyDescent="0.15">
      <c r="A3878" s="5"/>
    </row>
    <row r="3879" spans="1:1" ht="13" x14ac:dyDescent="0.15">
      <c r="A3879" s="5"/>
    </row>
    <row r="3880" spans="1:1" ht="13" x14ac:dyDescent="0.15">
      <c r="A3880" s="5"/>
    </row>
    <row r="3881" spans="1:1" ht="13" x14ac:dyDescent="0.15">
      <c r="A3881" s="5"/>
    </row>
    <row r="3882" spans="1:1" ht="13" x14ac:dyDescent="0.15">
      <c r="A3882" s="5"/>
    </row>
    <row r="3883" spans="1:1" ht="13" x14ac:dyDescent="0.15">
      <c r="A3883" s="5"/>
    </row>
    <row r="3884" spans="1:1" ht="13" x14ac:dyDescent="0.15">
      <c r="A3884" s="5"/>
    </row>
    <row r="3885" spans="1:1" ht="13" x14ac:dyDescent="0.15">
      <c r="A3885" s="5"/>
    </row>
    <row r="3886" spans="1:1" ht="13" x14ac:dyDescent="0.15">
      <c r="A3886" s="5"/>
    </row>
    <row r="3887" spans="1:1" ht="13" x14ac:dyDescent="0.15">
      <c r="A3887" s="5"/>
    </row>
    <row r="3888" spans="1:1" ht="13" x14ac:dyDescent="0.15">
      <c r="A3888" s="5"/>
    </row>
    <row r="3889" spans="1:1" ht="13" x14ac:dyDescent="0.15">
      <c r="A3889" s="5"/>
    </row>
    <row r="3890" spans="1:1" ht="13" x14ac:dyDescent="0.15">
      <c r="A3890" s="5"/>
    </row>
    <row r="3891" spans="1:1" ht="13" x14ac:dyDescent="0.15">
      <c r="A3891" s="5"/>
    </row>
    <row r="3892" spans="1:1" ht="13" x14ac:dyDescent="0.15">
      <c r="A3892" s="5"/>
    </row>
    <row r="3893" spans="1:1" ht="13" x14ac:dyDescent="0.15">
      <c r="A3893" s="5"/>
    </row>
    <row r="3894" spans="1:1" ht="13" x14ac:dyDescent="0.15">
      <c r="A3894" s="5"/>
    </row>
    <row r="3895" spans="1:1" ht="13" x14ac:dyDescent="0.15">
      <c r="A3895" s="5"/>
    </row>
    <row r="3896" spans="1:1" ht="13" x14ac:dyDescent="0.15">
      <c r="A3896" s="5"/>
    </row>
    <row r="3897" spans="1:1" ht="13" x14ac:dyDescent="0.15">
      <c r="A3897" s="5"/>
    </row>
    <row r="3898" spans="1:1" ht="13" x14ac:dyDescent="0.15">
      <c r="A3898" s="5"/>
    </row>
    <row r="3899" spans="1:1" ht="13" x14ac:dyDescent="0.15">
      <c r="A3899" s="5"/>
    </row>
    <row r="3900" spans="1:1" ht="13" x14ac:dyDescent="0.15">
      <c r="A3900" s="5"/>
    </row>
    <row r="3901" spans="1:1" ht="13" x14ac:dyDescent="0.15">
      <c r="A3901" s="5"/>
    </row>
    <row r="3902" spans="1:1" ht="13" x14ac:dyDescent="0.15">
      <c r="A3902" s="5"/>
    </row>
    <row r="3903" spans="1:1" ht="13" x14ac:dyDescent="0.15">
      <c r="A3903" s="5"/>
    </row>
    <row r="3904" spans="1:1" ht="13" x14ac:dyDescent="0.15">
      <c r="A3904" s="5"/>
    </row>
    <row r="3905" spans="1:1" ht="13" x14ac:dyDescent="0.15">
      <c r="A3905" s="5"/>
    </row>
    <row r="3906" spans="1:1" ht="13" x14ac:dyDescent="0.15">
      <c r="A3906" s="5"/>
    </row>
    <row r="3907" spans="1:1" ht="13" x14ac:dyDescent="0.15">
      <c r="A3907" s="5"/>
    </row>
    <row r="3908" spans="1:1" ht="13" x14ac:dyDescent="0.15">
      <c r="A3908" s="5"/>
    </row>
    <row r="3909" spans="1:1" ht="13" x14ac:dyDescent="0.15">
      <c r="A3909" s="5"/>
    </row>
    <row r="3910" spans="1:1" ht="13" x14ac:dyDescent="0.15">
      <c r="A3910" s="5"/>
    </row>
    <row r="3911" spans="1:1" ht="13" x14ac:dyDescent="0.15">
      <c r="A3911" s="5"/>
    </row>
    <row r="3912" spans="1:1" ht="13" x14ac:dyDescent="0.15">
      <c r="A3912" s="5"/>
    </row>
    <row r="3913" spans="1:1" ht="13" x14ac:dyDescent="0.15">
      <c r="A3913" s="5"/>
    </row>
    <row r="3914" spans="1:1" ht="13" x14ac:dyDescent="0.15">
      <c r="A3914" s="5"/>
    </row>
    <row r="3915" spans="1:1" ht="13" x14ac:dyDescent="0.15">
      <c r="A3915" s="5"/>
    </row>
    <row r="3916" spans="1:1" ht="13" x14ac:dyDescent="0.15">
      <c r="A3916" s="5"/>
    </row>
    <row r="3917" spans="1:1" ht="13" x14ac:dyDescent="0.15">
      <c r="A3917" s="5"/>
    </row>
    <row r="3918" spans="1:1" ht="13" x14ac:dyDescent="0.15">
      <c r="A3918" s="5"/>
    </row>
    <row r="3919" spans="1:1" ht="13" x14ac:dyDescent="0.15">
      <c r="A3919" s="5"/>
    </row>
    <row r="3920" spans="1:1" ht="13" x14ac:dyDescent="0.15">
      <c r="A3920" s="5"/>
    </row>
    <row r="3921" spans="1:1" ht="13" x14ac:dyDescent="0.15">
      <c r="A3921" s="5"/>
    </row>
    <row r="3922" spans="1:1" ht="13" x14ac:dyDescent="0.15">
      <c r="A3922" s="5"/>
    </row>
    <row r="3923" spans="1:1" ht="13" x14ac:dyDescent="0.15">
      <c r="A3923" s="5"/>
    </row>
    <row r="3924" spans="1:1" ht="13" x14ac:dyDescent="0.15">
      <c r="A3924" s="5"/>
    </row>
    <row r="3925" spans="1:1" ht="13" x14ac:dyDescent="0.15">
      <c r="A3925" s="5"/>
    </row>
    <row r="3926" spans="1:1" ht="13" x14ac:dyDescent="0.15">
      <c r="A3926" s="5"/>
    </row>
    <row r="3927" spans="1:1" ht="13" x14ac:dyDescent="0.15">
      <c r="A3927" s="5"/>
    </row>
    <row r="3928" spans="1:1" ht="13" x14ac:dyDescent="0.15">
      <c r="A3928" s="5"/>
    </row>
    <row r="3929" spans="1:1" ht="13" x14ac:dyDescent="0.15">
      <c r="A3929" s="5"/>
    </row>
    <row r="3930" spans="1:1" ht="13" x14ac:dyDescent="0.15">
      <c r="A3930" s="5"/>
    </row>
    <row r="3931" spans="1:1" ht="13" x14ac:dyDescent="0.15">
      <c r="A3931" s="5"/>
    </row>
    <row r="3932" spans="1:1" ht="13" x14ac:dyDescent="0.15">
      <c r="A3932" s="5"/>
    </row>
    <row r="3933" spans="1:1" ht="13" x14ac:dyDescent="0.15">
      <c r="A3933" s="5"/>
    </row>
    <row r="3934" spans="1:1" ht="13" x14ac:dyDescent="0.15">
      <c r="A3934" s="5"/>
    </row>
    <row r="3935" spans="1:1" ht="13" x14ac:dyDescent="0.15">
      <c r="A3935" s="5"/>
    </row>
    <row r="3936" spans="1:1" ht="13" x14ac:dyDescent="0.15">
      <c r="A3936" s="5"/>
    </row>
    <row r="3937" spans="1:1" ht="13" x14ac:dyDescent="0.15">
      <c r="A3937" s="5"/>
    </row>
    <row r="3938" spans="1:1" ht="13" x14ac:dyDescent="0.15">
      <c r="A3938" s="5"/>
    </row>
    <row r="3939" spans="1:1" ht="13" x14ac:dyDescent="0.15">
      <c r="A3939" s="5"/>
    </row>
    <row r="3940" spans="1:1" ht="13" x14ac:dyDescent="0.15">
      <c r="A3940" s="5"/>
    </row>
    <row r="3941" spans="1:1" ht="13" x14ac:dyDescent="0.15">
      <c r="A3941" s="5"/>
    </row>
    <row r="3942" spans="1:1" ht="13" x14ac:dyDescent="0.15">
      <c r="A3942" s="5"/>
    </row>
    <row r="3943" spans="1:1" ht="13" x14ac:dyDescent="0.15">
      <c r="A3943" s="5"/>
    </row>
    <row r="3944" spans="1:1" ht="13" x14ac:dyDescent="0.15">
      <c r="A3944" s="5"/>
    </row>
    <row r="3945" spans="1:1" ht="13" x14ac:dyDescent="0.15">
      <c r="A3945" s="5"/>
    </row>
    <row r="3946" spans="1:1" ht="13" x14ac:dyDescent="0.15">
      <c r="A3946" s="5"/>
    </row>
    <row r="3947" spans="1:1" ht="13" x14ac:dyDescent="0.15">
      <c r="A3947" s="5"/>
    </row>
    <row r="3948" spans="1:1" ht="13" x14ac:dyDescent="0.15">
      <c r="A3948" s="5"/>
    </row>
    <row r="3949" spans="1:1" ht="13" x14ac:dyDescent="0.15">
      <c r="A3949" s="5"/>
    </row>
    <row r="3950" spans="1:1" ht="13" x14ac:dyDescent="0.15">
      <c r="A3950" s="5"/>
    </row>
    <row r="3951" spans="1:1" ht="13" x14ac:dyDescent="0.15">
      <c r="A3951" s="5"/>
    </row>
    <row r="3952" spans="1:1" ht="13" x14ac:dyDescent="0.15">
      <c r="A3952" s="5"/>
    </row>
    <row r="3953" spans="1:1" ht="13" x14ac:dyDescent="0.15">
      <c r="A3953" s="5"/>
    </row>
    <row r="3954" spans="1:1" ht="13" x14ac:dyDescent="0.15">
      <c r="A3954" s="5"/>
    </row>
    <row r="3955" spans="1:1" ht="13" x14ac:dyDescent="0.15">
      <c r="A3955" s="5"/>
    </row>
    <row r="3956" spans="1:1" ht="13" x14ac:dyDescent="0.15">
      <c r="A3956" s="5"/>
    </row>
    <row r="3957" spans="1:1" ht="13" x14ac:dyDescent="0.15">
      <c r="A3957" s="5"/>
    </row>
    <row r="3958" spans="1:1" ht="13" x14ac:dyDescent="0.15">
      <c r="A3958" s="5"/>
    </row>
    <row r="3959" spans="1:1" ht="13" x14ac:dyDescent="0.15">
      <c r="A3959" s="5"/>
    </row>
    <row r="3960" spans="1:1" ht="13" x14ac:dyDescent="0.15">
      <c r="A3960" s="5"/>
    </row>
    <row r="3961" spans="1:1" ht="13" x14ac:dyDescent="0.15">
      <c r="A3961" s="5"/>
    </row>
    <row r="3962" spans="1:1" ht="13" x14ac:dyDescent="0.15">
      <c r="A3962" s="5"/>
    </row>
    <row r="3963" spans="1:1" ht="13" x14ac:dyDescent="0.15">
      <c r="A3963" s="5"/>
    </row>
    <row r="3964" spans="1:1" ht="13" x14ac:dyDescent="0.15">
      <c r="A3964" s="5"/>
    </row>
    <row r="3965" spans="1:1" ht="13" x14ac:dyDescent="0.15">
      <c r="A3965" s="5"/>
    </row>
    <row r="3966" spans="1:1" ht="13" x14ac:dyDescent="0.15">
      <c r="A3966" s="5"/>
    </row>
    <row r="3967" spans="1:1" ht="13" x14ac:dyDescent="0.15">
      <c r="A3967" s="5"/>
    </row>
    <row r="3968" spans="1:1" ht="13" x14ac:dyDescent="0.15">
      <c r="A3968" s="5"/>
    </row>
    <row r="3969" spans="1:1" ht="13" x14ac:dyDescent="0.15">
      <c r="A3969" s="5"/>
    </row>
    <row r="3970" spans="1:1" ht="13" x14ac:dyDescent="0.15">
      <c r="A3970" s="5"/>
    </row>
    <row r="3971" spans="1:1" ht="13" x14ac:dyDescent="0.15">
      <c r="A3971" s="5"/>
    </row>
    <row r="3972" spans="1:1" ht="13" x14ac:dyDescent="0.15">
      <c r="A3972" s="5"/>
    </row>
    <row r="3973" spans="1:1" ht="13" x14ac:dyDescent="0.15">
      <c r="A3973" s="5"/>
    </row>
    <row r="3974" spans="1:1" ht="13" x14ac:dyDescent="0.15">
      <c r="A3974" s="5"/>
    </row>
    <row r="3975" spans="1:1" ht="13" x14ac:dyDescent="0.15">
      <c r="A3975" s="5"/>
    </row>
    <row r="3976" spans="1:1" ht="13" x14ac:dyDescent="0.15">
      <c r="A3976" s="5"/>
    </row>
    <row r="3977" spans="1:1" ht="13" x14ac:dyDescent="0.15">
      <c r="A3977" s="5"/>
    </row>
    <row r="3978" spans="1:1" ht="13" x14ac:dyDescent="0.15">
      <c r="A3978" s="5"/>
    </row>
    <row r="3979" spans="1:1" ht="13" x14ac:dyDescent="0.15">
      <c r="A3979" s="5"/>
    </row>
    <row r="3980" spans="1:1" ht="13" x14ac:dyDescent="0.15">
      <c r="A3980" s="5"/>
    </row>
    <row r="3981" spans="1:1" ht="13" x14ac:dyDescent="0.15">
      <c r="A3981" s="5"/>
    </row>
    <row r="3982" spans="1:1" ht="13" x14ac:dyDescent="0.15">
      <c r="A3982" s="5"/>
    </row>
    <row r="3983" spans="1:1" ht="13" x14ac:dyDescent="0.15">
      <c r="A3983" s="5"/>
    </row>
    <row r="3984" spans="1:1" ht="13" x14ac:dyDescent="0.15">
      <c r="A3984" s="5"/>
    </row>
    <row r="3985" spans="1:1" ht="13" x14ac:dyDescent="0.15">
      <c r="A3985" s="5"/>
    </row>
    <row r="3986" spans="1:1" ht="13" x14ac:dyDescent="0.15">
      <c r="A3986" s="5"/>
    </row>
    <row r="3987" spans="1:1" ht="13" x14ac:dyDescent="0.15">
      <c r="A3987" s="5"/>
    </row>
    <row r="3988" spans="1:1" ht="13" x14ac:dyDescent="0.15">
      <c r="A3988" s="5"/>
    </row>
    <row r="3989" spans="1:1" ht="13" x14ac:dyDescent="0.15">
      <c r="A3989" s="5"/>
    </row>
    <row r="3990" spans="1:1" ht="13" x14ac:dyDescent="0.15">
      <c r="A3990" s="5"/>
    </row>
    <row r="3991" spans="1:1" ht="13" x14ac:dyDescent="0.15">
      <c r="A3991" s="5"/>
    </row>
    <row r="3992" spans="1:1" ht="13" x14ac:dyDescent="0.15">
      <c r="A3992" s="5"/>
    </row>
    <row r="3993" spans="1:1" ht="13" x14ac:dyDescent="0.15">
      <c r="A3993" s="5"/>
    </row>
    <row r="3994" spans="1:1" ht="13" x14ac:dyDescent="0.15">
      <c r="A3994" s="5"/>
    </row>
    <row r="3995" spans="1:1" ht="13" x14ac:dyDescent="0.15">
      <c r="A3995" s="5"/>
    </row>
    <row r="3996" spans="1:1" ht="13" x14ac:dyDescent="0.15">
      <c r="A3996" s="5"/>
    </row>
    <row r="3997" spans="1:1" ht="13" x14ac:dyDescent="0.15">
      <c r="A3997" s="5"/>
    </row>
    <row r="3998" spans="1:1" ht="13" x14ac:dyDescent="0.15">
      <c r="A3998" s="5"/>
    </row>
    <row r="3999" spans="1:1" ht="13" x14ac:dyDescent="0.15">
      <c r="A3999" s="5"/>
    </row>
    <row r="4000" spans="1:1" ht="13" x14ac:dyDescent="0.15">
      <c r="A4000" s="5"/>
    </row>
    <row r="4001" spans="1:1" ht="13" x14ac:dyDescent="0.15">
      <c r="A4001" s="5"/>
    </row>
    <row r="4002" spans="1:1" ht="13" x14ac:dyDescent="0.15">
      <c r="A4002" s="5"/>
    </row>
    <row r="4003" spans="1:1" ht="13" x14ac:dyDescent="0.15">
      <c r="A4003" s="5"/>
    </row>
    <row r="4004" spans="1:1" ht="13" x14ac:dyDescent="0.15">
      <c r="A4004" s="5"/>
    </row>
    <row r="4005" spans="1:1" ht="13" x14ac:dyDescent="0.15">
      <c r="A4005" s="5"/>
    </row>
    <row r="4006" spans="1:1" ht="13" x14ac:dyDescent="0.15">
      <c r="A4006" s="5"/>
    </row>
    <row r="4007" spans="1:1" ht="13" x14ac:dyDescent="0.15">
      <c r="A4007" s="5"/>
    </row>
    <row r="4008" spans="1:1" ht="13" x14ac:dyDescent="0.15">
      <c r="A4008" s="5"/>
    </row>
    <row r="4009" spans="1:1" ht="13" x14ac:dyDescent="0.15">
      <c r="A4009" s="5"/>
    </row>
    <row r="4010" spans="1:1" ht="13" x14ac:dyDescent="0.15">
      <c r="A4010" s="5"/>
    </row>
    <row r="4011" spans="1:1" ht="13" x14ac:dyDescent="0.15">
      <c r="A4011" s="5"/>
    </row>
    <row r="4012" spans="1:1" ht="13" x14ac:dyDescent="0.15">
      <c r="A4012" s="5"/>
    </row>
    <row r="4013" spans="1:1" ht="13" x14ac:dyDescent="0.15">
      <c r="A4013" s="5"/>
    </row>
    <row r="4014" spans="1:1" ht="13" x14ac:dyDescent="0.15">
      <c r="A4014" s="5"/>
    </row>
    <row r="4015" spans="1:1" ht="13" x14ac:dyDescent="0.15">
      <c r="A4015" s="5"/>
    </row>
    <row r="4016" spans="1:1" ht="13" x14ac:dyDescent="0.15">
      <c r="A4016" s="5"/>
    </row>
    <row r="4017" spans="1:1" ht="13" x14ac:dyDescent="0.15">
      <c r="A4017" s="5"/>
    </row>
    <row r="4018" spans="1:1" ht="13" x14ac:dyDescent="0.15">
      <c r="A4018" s="5"/>
    </row>
    <row r="4019" spans="1:1" ht="13" x14ac:dyDescent="0.15">
      <c r="A4019" s="5"/>
    </row>
    <row r="4020" spans="1:1" ht="13" x14ac:dyDescent="0.15">
      <c r="A4020" s="5"/>
    </row>
    <row r="4021" spans="1:1" ht="13" x14ac:dyDescent="0.15">
      <c r="A4021" s="5"/>
    </row>
    <row r="4022" spans="1:1" ht="13" x14ac:dyDescent="0.15">
      <c r="A4022" s="5"/>
    </row>
    <row r="4023" spans="1:1" ht="13" x14ac:dyDescent="0.15">
      <c r="A4023" s="5"/>
    </row>
    <row r="4024" spans="1:1" ht="13" x14ac:dyDescent="0.15">
      <c r="A4024" s="5"/>
    </row>
    <row r="4025" spans="1:1" ht="13" x14ac:dyDescent="0.15">
      <c r="A4025" s="5"/>
    </row>
    <row r="4026" spans="1:1" ht="13" x14ac:dyDescent="0.15">
      <c r="A4026" s="5"/>
    </row>
    <row r="4027" spans="1:1" ht="13" x14ac:dyDescent="0.15">
      <c r="A4027" s="5"/>
    </row>
    <row r="4028" spans="1:1" ht="13" x14ac:dyDescent="0.15">
      <c r="A4028" s="5"/>
    </row>
    <row r="4029" spans="1:1" ht="13" x14ac:dyDescent="0.15">
      <c r="A4029" s="5"/>
    </row>
    <row r="4030" spans="1:1" ht="13" x14ac:dyDescent="0.15">
      <c r="A4030" s="5"/>
    </row>
    <row r="4031" spans="1:1" ht="13" x14ac:dyDescent="0.15">
      <c r="A4031" s="5"/>
    </row>
    <row r="4032" spans="1:1" ht="13" x14ac:dyDescent="0.15">
      <c r="A4032" s="5"/>
    </row>
    <row r="4033" spans="1:1" ht="13" x14ac:dyDescent="0.15">
      <c r="A4033" s="5"/>
    </row>
    <row r="4034" spans="1:1" ht="13" x14ac:dyDescent="0.15">
      <c r="A4034" s="5"/>
    </row>
    <row r="4035" spans="1:1" ht="13" x14ac:dyDescent="0.15">
      <c r="A4035" s="5"/>
    </row>
    <row r="4036" spans="1:1" ht="13" x14ac:dyDescent="0.15">
      <c r="A4036" s="5"/>
    </row>
    <row r="4037" spans="1:1" ht="13" x14ac:dyDescent="0.15">
      <c r="A4037" s="5"/>
    </row>
    <row r="4038" spans="1:1" ht="13" x14ac:dyDescent="0.15">
      <c r="A4038" s="5"/>
    </row>
    <row r="4039" spans="1:1" ht="13" x14ac:dyDescent="0.15">
      <c r="A4039" s="5"/>
    </row>
    <row r="4040" spans="1:1" ht="13" x14ac:dyDescent="0.15">
      <c r="A4040" s="5"/>
    </row>
    <row r="4041" spans="1:1" ht="13" x14ac:dyDescent="0.15">
      <c r="A4041" s="5"/>
    </row>
    <row r="4042" spans="1:1" ht="13" x14ac:dyDescent="0.15">
      <c r="A4042" s="5"/>
    </row>
    <row r="4043" spans="1:1" ht="13" x14ac:dyDescent="0.15">
      <c r="A4043" s="5"/>
    </row>
    <row r="4044" spans="1:1" ht="13" x14ac:dyDescent="0.15">
      <c r="A4044" s="5"/>
    </row>
    <row r="4045" spans="1:1" ht="13" x14ac:dyDescent="0.15">
      <c r="A4045" s="5"/>
    </row>
    <row r="4046" spans="1:1" ht="13" x14ac:dyDescent="0.15">
      <c r="A4046" s="5"/>
    </row>
    <row r="4047" spans="1:1" ht="13" x14ac:dyDescent="0.15">
      <c r="A4047" s="5"/>
    </row>
    <row r="4048" spans="1:1" ht="13" x14ac:dyDescent="0.15">
      <c r="A4048" s="5"/>
    </row>
    <row r="4049" spans="1:1" ht="13" x14ac:dyDescent="0.15">
      <c r="A4049" s="5"/>
    </row>
    <row r="4050" spans="1:1" ht="13" x14ac:dyDescent="0.15">
      <c r="A4050" s="5"/>
    </row>
    <row r="4051" spans="1:1" ht="13" x14ac:dyDescent="0.15">
      <c r="A4051" s="5"/>
    </row>
    <row r="4052" spans="1:1" ht="13" x14ac:dyDescent="0.15">
      <c r="A4052" s="5"/>
    </row>
    <row r="4053" spans="1:1" ht="13" x14ac:dyDescent="0.15">
      <c r="A4053" s="5"/>
    </row>
    <row r="4054" spans="1:1" ht="13" x14ac:dyDescent="0.15">
      <c r="A4054" s="5"/>
    </row>
    <row r="4055" spans="1:1" ht="13" x14ac:dyDescent="0.15">
      <c r="A4055" s="5"/>
    </row>
    <row r="4056" spans="1:1" ht="13" x14ac:dyDescent="0.15">
      <c r="A4056" s="5"/>
    </row>
    <row r="4057" spans="1:1" ht="13" x14ac:dyDescent="0.15">
      <c r="A4057" s="5"/>
    </row>
    <row r="4058" spans="1:1" ht="13" x14ac:dyDescent="0.15">
      <c r="A4058" s="5"/>
    </row>
    <row r="4059" spans="1:1" ht="13" x14ac:dyDescent="0.15">
      <c r="A4059" s="5"/>
    </row>
    <row r="4060" spans="1:1" ht="13" x14ac:dyDescent="0.15">
      <c r="A4060" s="5"/>
    </row>
    <row r="4061" spans="1:1" ht="13" x14ac:dyDescent="0.15">
      <c r="A4061" s="5"/>
    </row>
    <row r="4062" spans="1:1" ht="13" x14ac:dyDescent="0.15">
      <c r="A4062" s="5"/>
    </row>
    <row r="4063" spans="1:1" ht="13" x14ac:dyDescent="0.15">
      <c r="A4063" s="5"/>
    </row>
    <row r="4064" spans="1:1" ht="13" x14ac:dyDescent="0.15">
      <c r="A4064" s="5"/>
    </row>
    <row r="4065" spans="1:1" ht="13" x14ac:dyDescent="0.15">
      <c r="A4065" s="5"/>
    </row>
    <row r="4066" spans="1:1" ht="13" x14ac:dyDescent="0.15">
      <c r="A4066" s="5"/>
    </row>
    <row r="4067" spans="1:1" ht="13" x14ac:dyDescent="0.15">
      <c r="A4067" s="5"/>
    </row>
    <row r="4068" spans="1:1" ht="13" x14ac:dyDescent="0.15">
      <c r="A4068" s="5"/>
    </row>
    <row r="4069" spans="1:1" ht="13" x14ac:dyDescent="0.15">
      <c r="A4069" s="5"/>
    </row>
    <row r="4070" spans="1:1" ht="13" x14ac:dyDescent="0.15">
      <c r="A4070" s="5"/>
    </row>
    <row r="4071" spans="1:1" ht="13" x14ac:dyDescent="0.15">
      <c r="A4071" s="5"/>
    </row>
    <row r="4072" spans="1:1" ht="13" x14ac:dyDescent="0.15">
      <c r="A4072" s="5"/>
    </row>
    <row r="4073" spans="1:1" ht="13" x14ac:dyDescent="0.15">
      <c r="A4073" s="5"/>
    </row>
    <row r="4074" spans="1:1" ht="13" x14ac:dyDescent="0.15">
      <c r="A4074" s="5"/>
    </row>
    <row r="4075" spans="1:1" ht="13" x14ac:dyDescent="0.15">
      <c r="A4075" s="5"/>
    </row>
    <row r="4076" spans="1:1" ht="13" x14ac:dyDescent="0.15">
      <c r="A4076" s="5"/>
    </row>
    <row r="4077" spans="1:1" ht="13" x14ac:dyDescent="0.15">
      <c r="A4077" s="5"/>
    </row>
    <row r="4078" spans="1:1" ht="13" x14ac:dyDescent="0.15">
      <c r="A4078" s="5"/>
    </row>
    <row r="4079" spans="1:1" ht="13" x14ac:dyDescent="0.15">
      <c r="A4079" s="5"/>
    </row>
    <row r="4080" spans="1:1" ht="13" x14ac:dyDescent="0.15">
      <c r="A4080" s="5"/>
    </row>
    <row r="4081" spans="1:1" ht="13" x14ac:dyDescent="0.15">
      <c r="A4081" s="5"/>
    </row>
    <row r="4082" spans="1:1" ht="13" x14ac:dyDescent="0.15">
      <c r="A4082" s="5"/>
    </row>
    <row r="4083" spans="1:1" ht="13" x14ac:dyDescent="0.15">
      <c r="A4083" s="5"/>
    </row>
    <row r="4084" spans="1:1" ht="13" x14ac:dyDescent="0.15">
      <c r="A4084" s="5"/>
    </row>
    <row r="4085" spans="1:1" ht="13" x14ac:dyDescent="0.15">
      <c r="A4085" s="5"/>
    </row>
    <row r="4086" spans="1:1" ht="13" x14ac:dyDescent="0.15">
      <c r="A4086" s="5"/>
    </row>
    <row r="4087" spans="1:1" ht="13" x14ac:dyDescent="0.15">
      <c r="A4087" s="5"/>
    </row>
    <row r="4088" spans="1:1" ht="13" x14ac:dyDescent="0.15">
      <c r="A4088" s="5"/>
    </row>
    <row r="4089" spans="1:1" ht="13" x14ac:dyDescent="0.15">
      <c r="A4089" s="5"/>
    </row>
    <row r="4090" spans="1:1" ht="13" x14ac:dyDescent="0.15">
      <c r="A4090" s="5"/>
    </row>
    <row r="4091" spans="1:1" ht="13" x14ac:dyDescent="0.15">
      <c r="A4091" s="5"/>
    </row>
    <row r="4092" spans="1:1" ht="13" x14ac:dyDescent="0.15">
      <c r="A4092" s="5"/>
    </row>
    <row r="4093" spans="1:1" ht="13" x14ac:dyDescent="0.15">
      <c r="A4093" s="5"/>
    </row>
    <row r="4094" spans="1:1" ht="13" x14ac:dyDescent="0.15">
      <c r="A4094" s="5"/>
    </row>
    <row r="4095" spans="1:1" ht="13" x14ac:dyDescent="0.15">
      <c r="A4095" s="5"/>
    </row>
    <row r="4096" spans="1:1" ht="13" x14ac:dyDescent="0.15">
      <c r="A4096" s="5"/>
    </row>
    <row r="4097" spans="1:1" ht="13" x14ac:dyDescent="0.15">
      <c r="A4097" s="5"/>
    </row>
    <row r="4098" spans="1:1" ht="13" x14ac:dyDescent="0.15">
      <c r="A4098" s="5"/>
    </row>
    <row r="4099" spans="1:1" ht="13" x14ac:dyDescent="0.15">
      <c r="A4099" s="5"/>
    </row>
    <row r="4100" spans="1:1" ht="13" x14ac:dyDescent="0.15">
      <c r="A4100" s="5"/>
    </row>
    <row r="4101" spans="1:1" ht="13" x14ac:dyDescent="0.15">
      <c r="A4101" s="5"/>
    </row>
    <row r="4102" spans="1:1" ht="13" x14ac:dyDescent="0.15">
      <c r="A4102" s="5"/>
    </row>
    <row r="4103" spans="1:1" ht="13" x14ac:dyDescent="0.15">
      <c r="A4103" s="5"/>
    </row>
    <row r="4104" spans="1:1" ht="13" x14ac:dyDescent="0.15">
      <c r="A4104" s="5"/>
    </row>
    <row r="4105" spans="1:1" ht="13" x14ac:dyDescent="0.15">
      <c r="A4105" s="5"/>
    </row>
    <row r="4106" spans="1:1" ht="13" x14ac:dyDescent="0.15">
      <c r="A4106" s="5"/>
    </row>
    <row r="4107" spans="1:1" ht="13" x14ac:dyDescent="0.15">
      <c r="A4107" s="5"/>
    </row>
    <row r="4108" spans="1:1" ht="13" x14ac:dyDescent="0.15">
      <c r="A4108" s="5"/>
    </row>
    <row r="4109" spans="1:1" ht="13" x14ac:dyDescent="0.15">
      <c r="A4109" s="5"/>
    </row>
    <row r="4110" spans="1:1" ht="13" x14ac:dyDescent="0.15">
      <c r="A4110" s="5"/>
    </row>
    <row r="4111" spans="1:1" ht="13" x14ac:dyDescent="0.15">
      <c r="A4111" s="5"/>
    </row>
    <row r="4112" spans="1:1" ht="13" x14ac:dyDescent="0.15">
      <c r="A4112" s="5"/>
    </row>
    <row r="4113" spans="1:1" ht="13" x14ac:dyDescent="0.15">
      <c r="A4113" s="5"/>
    </row>
    <row r="4114" spans="1:1" ht="13" x14ac:dyDescent="0.15">
      <c r="A4114" s="5"/>
    </row>
    <row r="4115" spans="1:1" ht="13" x14ac:dyDescent="0.15">
      <c r="A4115" s="5"/>
    </row>
    <row r="4116" spans="1:1" ht="13" x14ac:dyDescent="0.15">
      <c r="A4116" s="5"/>
    </row>
    <row r="4117" spans="1:1" ht="13" x14ac:dyDescent="0.15">
      <c r="A4117" s="5"/>
    </row>
    <row r="4118" spans="1:1" ht="13" x14ac:dyDescent="0.15">
      <c r="A4118" s="5"/>
    </row>
    <row r="4119" spans="1:1" ht="13" x14ac:dyDescent="0.15">
      <c r="A4119" s="5"/>
    </row>
    <row r="4120" spans="1:1" ht="13" x14ac:dyDescent="0.15">
      <c r="A4120" s="5"/>
    </row>
    <row r="4121" spans="1:1" ht="13" x14ac:dyDescent="0.15">
      <c r="A4121" s="5"/>
    </row>
    <row r="4122" spans="1:1" ht="13" x14ac:dyDescent="0.15">
      <c r="A4122" s="5"/>
    </row>
    <row r="4123" spans="1:1" ht="13" x14ac:dyDescent="0.15">
      <c r="A4123" s="5"/>
    </row>
    <row r="4124" spans="1:1" ht="13" x14ac:dyDescent="0.15">
      <c r="A4124" s="5"/>
    </row>
    <row r="4125" spans="1:1" ht="13" x14ac:dyDescent="0.15">
      <c r="A4125" s="5"/>
    </row>
    <row r="4126" spans="1:1" ht="13" x14ac:dyDescent="0.15">
      <c r="A4126" s="5"/>
    </row>
    <row r="4127" spans="1:1" ht="13" x14ac:dyDescent="0.15">
      <c r="A4127" s="5"/>
    </row>
    <row r="4128" spans="1:1" ht="13" x14ac:dyDescent="0.15">
      <c r="A4128" s="5"/>
    </row>
    <row r="4129" spans="1:1" ht="13" x14ac:dyDescent="0.15">
      <c r="A4129" s="5"/>
    </row>
    <row r="4130" spans="1:1" ht="13" x14ac:dyDescent="0.15">
      <c r="A4130" s="5"/>
    </row>
    <row r="4131" spans="1:1" ht="13" x14ac:dyDescent="0.15">
      <c r="A4131" s="5"/>
    </row>
    <row r="4132" spans="1:1" ht="13" x14ac:dyDescent="0.15">
      <c r="A4132" s="5"/>
    </row>
    <row r="4133" spans="1:1" ht="13" x14ac:dyDescent="0.15">
      <c r="A4133" s="5"/>
    </row>
    <row r="4134" spans="1:1" ht="13" x14ac:dyDescent="0.15">
      <c r="A4134" s="5"/>
    </row>
    <row r="4135" spans="1:1" ht="13" x14ac:dyDescent="0.15">
      <c r="A4135" s="5"/>
    </row>
    <row r="4136" spans="1:1" ht="13" x14ac:dyDescent="0.15">
      <c r="A4136" s="5"/>
    </row>
    <row r="4137" spans="1:1" ht="13" x14ac:dyDescent="0.15">
      <c r="A4137" s="5"/>
    </row>
    <row r="4138" spans="1:1" ht="13" x14ac:dyDescent="0.15">
      <c r="A4138" s="5"/>
    </row>
    <row r="4139" spans="1:1" ht="13" x14ac:dyDescent="0.15">
      <c r="A4139" s="5"/>
    </row>
    <row r="4140" spans="1:1" ht="13" x14ac:dyDescent="0.15">
      <c r="A4140" s="5"/>
    </row>
    <row r="4141" spans="1:1" ht="13" x14ac:dyDescent="0.15">
      <c r="A4141" s="5"/>
    </row>
    <row r="4142" spans="1:1" ht="13" x14ac:dyDescent="0.15">
      <c r="A4142" s="5"/>
    </row>
    <row r="4143" spans="1:1" ht="13" x14ac:dyDescent="0.15">
      <c r="A4143" s="5"/>
    </row>
    <row r="4144" spans="1:1" ht="13" x14ac:dyDescent="0.15">
      <c r="A4144" s="5"/>
    </row>
    <row r="4145" spans="1:1" ht="13" x14ac:dyDescent="0.15">
      <c r="A4145" s="5"/>
    </row>
    <row r="4146" spans="1:1" ht="13" x14ac:dyDescent="0.15">
      <c r="A4146" s="5"/>
    </row>
    <row r="4147" spans="1:1" ht="13" x14ac:dyDescent="0.15">
      <c r="A4147" s="5"/>
    </row>
    <row r="4148" spans="1:1" ht="13" x14ac:dyDescent="0.15">
      <c r="A4148" s="5"/>
    </row>
    <row r="4149" spans="1:1" ht="13" x14ac:dyDescent="0.15">
      <c r="A4149" s="5"/>
    </row>
    <row r="4150" spans="1:1" ht="13" x14ac:dyDescent="0.15">
      <c r="A4150" s="5"/>
    </row>
    <row r="4151" spans="1:1" ht="13" x14ac:dyDescent="0.15">
      <c r="A4151" s="5"/>
    </row>
    <row r="4152" spans="1:1" ht="13" x14ac:dyDescent="0.15">
      <c r="A4152" s="5"/>
    </row>
    <row r="4153" spans="1:1" ht="13" x14ac:dyDescent="0.15">
      <c r="A4153" s="5"/>
    </row>
    <row r="4154" spans="1:1" ht="13" x14ac:dyDescent="0.15">
      <c r="A4154" s="5"/>
    </row>
    <row r="4155" spans="1:1" ht="13" x14ac:dyDescent="0.15">
      <c r="A4155" s="5"/>
    </row>
    <row r="4156" spans="1:1" ht="13" x14ac:dyDescent="0.15">
      <c r="A4156" s="5"/>
    </row>
    <row r="4157" spans="1:1" ht="13" x14ac:dyDescent="0.15">
      <c r="A4157" s="5"/>
    </row>
    <row r="4158" spans="1:1" ht="13" x14ac:dyDescent="0.15">
      <c r="A4158" s="5"/>
    </row>
    <row r="4159" spans="1:1" ht="13" x14ac:dyDescent="0.15">
      <c r="A4159" s="5"/>
    </row>
    <row r="4160" spans="1:1" ht="13" x14ac:dyDescent="0.15">
      <c r="A4160" s="5"/>
    </row>
    <row r="4161" spans="1:1" ht="13" x14ac:dyDescent="0.15">
      <c r="A4161" s="5"/>
    </row>
    <row r="4162" spans="1:1" ht="13" x14ac:dyDescent="0.15">
      <c r="A4162" s="5"/>
    </row>
    <row r="4163" spans="1:1" ht="13" x14ac:dyDescent="0.15">
      <c r="A4163" s="5"/>
    </row>
    <row r="4164" spans="1:1" ht="13" x14ac:dyDescent="0.15">
      <c r="A4164" s="5"/>
    </row>
    <row r="4165" spans="1:1" ht="13" x14ac:dyDescent="0.15">
      <c r="A4165" s="5"/>
    </row>
    <row r="4166" spans="1:1" ht="13" x14ac:dyDescent="0.15">
      <c r="A4166" s="5"/>
    </row>
    <row r="4167" spans="1:1" ht="13" x14ac:dyDescent="0.15">
      <c r="A4167" s="5"/>
    </row>
    <row r="4168" spans="1:1" ht="13" x14ac:dyDescent="0.15">
      <c r="A4168" s="5"/>
    </row>
    <row r="4169" spans="1:1" ht="13" x14ac:dyDescent="0.15">
      <c r="A4169" s="5"/>
    </row>
    <row r="4170" spans="1:1" ht="13" x14ac:dyDescent="0.15">
      <c r="A4170" s="5"/>
    </row>
    <row r="4171" spans="1:1" ht="13" x14ac:dyDescent="0.15">
      <c r="A4171" s="5"/>
    </row>
    <row r="4172" spans="1:1" ht="13" x14ac:dyDescent="0.15">
      <c r="A4172" s="5"/>
    </row>
    <row r="4173" spans="1:1" ht="13" x14ac:dyDescent="0.15">
      <c r="A4173" s="5"/>
    </row>
    <row r="4174" spans="1:1" ht="13" x14ac:dyDescent="0.15">
      <c r="A4174" s="5"/>
    </row>
    <row r="4175" spans="1:1" ht="13" x14ac:dyDescent="0.15">
      <c r="A4175" s="5"/>
    </row>
    <row r="4176" spans="1:1" ht="13" x14ac:dyDescent="0.15">
      <c r="A4176" s="5"/>
    </row>
    <row r="4177" spans="1:1" ht="13" x14ac:dyDescent="0.15">
      <c r="A4177" s="5"/>
    </row>
    <row r="4178" spans="1:1" ht="13" x14ac:dyDescent="0.15">
      <c r="A4178" s="5"/>
    </row>
    <row r="4179" spans="1:1" ht="13" x14ac:dyDescent="0.15">
      <c r="A4179" s="5"/>
    </row>
    <row r="4180" spans="1:1" ht="13" x14ac:dyDescent="0.15">
      <c r="A4180" s="5"/>
    </row>
    <row r="4181" spans="1:1" ht="13" x14ac:dyDescent="0.15">
      <c r="A4181" s="5"/>
    </row>
    <row r="4182" spans="1:1" ht="13" x14ac:dyDescent="0.15">
      <c r="A4182" s="5"/>
    </row>
    <row r="4183" spans="1:1" ht="13" x14ac:dyDescent="0.15">
      <c r="A4183" s="5"/>
    </row>
    <row r="4184" spans="1:1" ht="13" x14ac:dyDescent="0.15">
      <c r="A4184" s="5"/>
    </row>
    <row r="4185" spans="1:1" ht="13" x14ac:dyDescent="0.15">
      <c r="A4185" s="5"/>
    </row>
    <row r="4186" spans="1:1" ht="13" x14ac:dyDescent="0.15">
      <c r="A4186" s="5"/>
    </row>
    <row r="4187" spans="1:1" ht="13" x14ac:dyDescent="0.15">
      <c r="A4187" s="5"/>
    </row>
    <row r="4188" spans="1:1" ht="13" x14ac:dyDescent="0.15">
      <c r="A4188" s="5"/>
    </row>
    <row r="4189" spans="1:1" ht="13" x14ac:dyDescent="0.15">
      <c r="A4189" s="5"/>
    </row>
    <row r="4190" spans="1:1" ht="13" x14ac:dyDescent="0.15">
      <c r="A4190" s="5"/>
    </row>
    <row r="4191" spans="1:1" ht="13" x14ac:dyDescent="0.15">
      <c r="A4191" s="5"/>
    </row>
    <row r="4192" spans="1:1" ht="13" x14ac:dyDescent="0.15">
      <c r="A4192" s="5"/>
    </row>
    <row r="4193" spans="1:1" ht="13" x14ac:dyDescent="0.15">
      <c r="A4193" s="5"/>
    </row>
    <row r="4194" spans="1:1" ht="13" x14ac:dyDescent="0.15">
      <c r="A4194" s="5"/>
    </row>
    <row r="4195" spans="1:1" ht="13" x14ac:dyDescent="0.15">
      <c r="A4195" s="5"/>
    </row>
    <row r="4196" spans="1:1" ht="13" x14ac:dyDescent="0.15">
      <c r="A4196" s="5"/>
    </row>
    <row r="4197" spans="1:1" ht="13" x14ac:dyDescent="0.15">
      <c r="A4197" s="5"/>
    </row>
    <row r="4198" spans="1:1" ht="13" x14ac:dyDescent="0.15">
      <c r="A4198" s="5"/>
    </row>
    <row r="4199" spans="1:1" ht="13" x14ac:dyDescent="0.15">
      <c r="A4199" s="5"/>
    </row>
    <row r="4200" spans="1:1" ht="13" x14ac:dyDescent="0.15">
      <c r="A4200" s="5"/>
    </row>
    <row r="4201" spans="1:1" ht="13" x14ac:dyDescent="0.15">
      <c r="A4201" s="5"/>
    </row>
    <row r="4202" spans="1:1" ht="13" x14ac:dyDescent="0.15">
      <c r="A4202" s="5"/>
    </row>
    <row r="4203" spans="1:1" ht="13" x14ac:dyDescent="0.15">
      <c r="A4203" s="5"/>
    </row>
    <row r="4204" spans="1:1" ht="13" x14ac:dyDescent="0.15">
      <c r="A4204" s="5"/>
    </row>
    <row r="4205" spans="1:1" ht="13" x14ac:dyDescent="0.15">
      <c r="A4205" s="5"/>
    </row>
    <row r="4206" spans="1:1" ht="13" x14ac:dyDescent="0.15">
      <c r="A4206" s="5"/>
    </row>
    <row r="4207" spans="1:1" ht="13" x14ac:dyDescent="0.15">
      <c r="A4207" s="5"/>
    </row>
    <row r="4208" spans="1:1" ht="13" x14ac:dyDescent="0.15">
      <c r="A4208" s="5"/>
    </row>
    <row r="4209" spans="1:1" ht="13" x14ac:dyDescent="0.15">
      <c r="A4209" s="5"/>
    </row>
    <row r="4210" spans="1:1" ht="13" x14ac:dyDescent="0.15">
      <c r="A4210" s="5"/>
    </row>
    <row r="4211" spans="1:1" ht="13" x14ac:dyDescent="0.15">
      <c r="A4211" s="5"/>
    </row>
    <row r="4212" spans="1:1" ht="13" x14ac:dyDescent="0.15">
      <c r="A4212" s="5"/>
    </row>
    <row r="4213" spans="1:1" ht="13" x14ac:dyDescent="0.15">
      <c r="A4213" s="5"/>
    </row>
    <row r="4214" spans="1:1" ht="13" x14ac:dyDescent="0.15">
      <c r="A4214" s="5"/>
    </row>
    <row r="4215" spans="1:1" ht="13" x14ac:dyDescent="0.15">
      <c r="A4215" s="5"/>
    </row>
    <row r="4216" spans="1:1" ht="13" x14ac:dyDescent="0.15">
      <c r="A4216" s="5"/>
    </row>
    <row r="4217" spans="1:1" ht="13" x14ac:dyDescent="0.15">
      <c r="A4217" s="5"/>
    </row>
    <row r="4218" spans="1:1" ht="13" x14ac:dyDescent="0.15">
      <c r="A4218" s="5"/>
    </row>
    <row r="4219" spans="1:1" ht="13" x14ac:dyDescent="0.15">
      <c r="A4219" s="5"/>
    </row>
    <row r="4220" spans="1:1" ht="13" x14ac:dyDescent="0.15">
      <c r="A4220" s="5"/>
    </row>
    <row r="4221" spans="1:1" ht="13" x14ac:dyDescent="0.15">
      <c r="A4221" s="5"/>
    </row>
    <row r="4222" spans="1:1" ht="13" x14ac:dyDescent="0.15">
      <c r="A4222" s="5"/>
    </row>
    <row r="4223" spans="1:1" ht="13" x14ac:dyDescent="0.15">
      <c r="A4223" s="5"/>
    </row>
    <row r="4224" spans="1:1" ht="13" x14ac:dyDescent="0.15">
      <c r="A4224" s="5"/>
    </row>
    <row r="4225" spans="1:1" ht="13" x14ac:dyDescent="0.15">
      <c r="A4225" s="5"/>
    </row>
    <row r="4226" spans="1:1" ht="13" x14ac:dyDescent="0.15">
      <c r="A4226" s="5"/>
    </row>
    <row r="4227" spans="1:1" ht="13" x14ac:dyDescent="0.15">
      <c r="A4227" s="5"/>
    </row>
    <row r="4228" spans="1:1" ht="13" x14ac:dyDescent="0.15">
      <c r="A4228" s="5"/>
    </row>
    <row r="4229" spans="1:1" ht="13" x14ac:dyDescent="0.15">
      <c r="A4229" s="5"/>
    </row>
    <row r="4230" spans="1:1" ht="13" x14ac:dyDescent="0.15">
      <c r="A4230" s="5"/>
    </row>
    <row r="4231" spans="1:1" ht="13" x14ac:dyDescent="0.15">
      <c r="A4231" s="5"/>
    </row>
    <row r="4232" spans="1:1" ht="13" x14ac:dyDescent="0.15">
      <c r="A4232" s="5"/>
    </row>
    <row r="4233" spans="1:1" ht="13" x14ac:dyDescent="0.15">
      <c r="A4233" s="5"/>
    </row>
    <row r="4234" spans="1:1" ht="13" x14ac:dyDescent="0.15">
      <c r="A4234" s="5"/>
    </row>
    <row r="4235" spans="1:1" ht="13" x14ac:dyDescent="0.15">
      <c r="A4235" s="5"/>
    </row>
    <row r="4236" spans="1:1" ht="13" x14ac:dyDescent="0.15">
      <c r="A4236" s="5"/>
    </row>
    <row r="4237" spans="1:1" ht="13" x14ac:dyDescent="0.15">
      <c r="A4237" s="5"/>
    </row>
    <row r="4238" spans="1:1" ht="13" x14ac:dyDescent="0.15">
      <c r="A4238" s="5"/>
    </row>
    <row r="4239" spans="1:1" ht="13" x14ac:dyDescent="0.15">
      <c r="A4239" s="5"/>
    </row>
    <row r="4240" spans="1:1" ht="13" x14ac:dyDescent="0.15">
      <c r="A4240" s="5"/>
    </row>
    <row r="4241" spans="1:1" ht="13" x14ac:dyDescent="0.15">
      <c r="A4241" s="5"/>
    </row>
    <row r="4242" spans="1:1" ht="13" x14ac:dyDescent="0.15">
      <c r="A4242" s="5"/>
    </row>
    <row r="4243" spans="1:1" ht="13" x14ac:dyDescent="0.15">
      <c r="A4243" s="5"/>
    </row>
    <row r="4244" spans="1:1" ht="13" x14ac:dyDescent="0.15">
      <c r="A4244" s="5"/>
    </row>
    <row r="4245" spans="1:1" ht="13" x14ac:dyDescent="0.15">
      <c r="A4245" s="5"/>
    </row>
    <row r="4246" spans="1:1" ht="13" x14ac:dyDescent="0.15">
      <c r="A4246" s="5"/>
    </row>
    <row r="4247" spans="1:1" ht="13" x14ac:dyDescent="0.15">
      <c r="A4247" s="5"/>
    </row>
    <row r="4248" spans="1:1" ht="13" x14ac:dyDescent="0.15">
      <c r="A4248" s="5"/>
    </row>
    <row r="4249" spans="1:1" ht="13" x14ac:dyDescent="0.15">
      <c r="A4249" s="5"/>
    </row>
    <row r="4250" spans="1:1" ht="13" x14ac:dyDescent="0.15">
      <c r="A4250" s="5"/>
    </row>
    <row r="4251" spans="1:1" ht="13" x14ac:dyDescent="0.15">
      <c r="A4251" s="5"/>
    </row>
    <row r="4252" spans="1:1" ht="13" x14ac:dyDescent="0.15">
      <c r="A4252" s="5"/>
    </row>
    <row r="4253" spans="1:1" ht="13" x14ac:dyDescent="0.15">
      <c r="A4253" s="5"/>
    </row>
    <row r="4254" spans="1:1" ht="13" x14ac:dyDescent="0.15">
      <c r="A4254" s="5"/>
    </row>
    <row r="4255" spans="1:1" ht="13" x14ac:dyDescent="0.15">
      <c r="A4255" s="5"/>
    </row>
    <row r="4256" spans="1:1" ht="13" x14ac:dyDescent="0.15">
      <c r="A4256" s="5"/>
    </row>
    <row r="4257" spans="1:1" ht="13" x14ac:dyDescent="0.15">
      <c r="A4257" s="5"/>
    </row>
    <row r="4258" spans="1:1" ht="13" x14ac:dyDescent="0.15">
      <c r="A4258" s="5"/>
    </row>
    <row r="4259" spans="1:1" ht="13" x14ac:dyDescent="0.15">
      <c r="A4259" s="5"/>
    </row>
    <row r="4260" spans="1:1" ht="13" x14ac:dyDescent="0.15">
      <c r="A4260" s="5"/>
    </row>
    <row r="4261" spans="1:1" ht="13" x14ac:dyDescent="0.15">
      <c r="A4261" s="5"/>
    </row>
    <row r="4262" spans="1:1" ht="13" x14ac:dyDescent="0.15">
      <c r="A4262" s="5"/>
    </row>
    <row r="4263" spans="1:1" ht="13" x14ac:dyDescent="0.15">
      <c r="A4263" s="5"/>
    </row>
    <row r="4264" spans="1:1" ht="13" x14ac:dyDescent="0.15">
      <c r="A4264" s="5"/>
    </row>
    <row r="4265" spans="1:1" ht="13" x14ac:dyDescent="0.15">
      <c r="A4265" s="5"/>
    </row>
    <row r="4266" spans="1:1" ht="13" x14ac:dyDescent="0.15">
      <c r="A4266" s="5"/>
    </row>
    <row r="4267" spans="1:1" ht="13" x14ac:dyDescent="0.15">
      <c r="A4267" s="5"/>
    </row>
    <row r="4268" spans="1:1" ht="13" x14ac:dyDescent="0.15">
      <c r="A4268" s="5"/>
    </row>
    <row r="4269" spans="1:1" ht="13" x14ac:dyDescent="0.15">
      <c r="A4269" s="5"/>
    </row>
    <row r="4270" spans="1:1" ht="13" x14ac:dyDescent="0.15">
      <c r="A4270" s="5"/>
    </row>
    <row r="4271" spans="1:1" ht="13" x14ac:dyDescent="0.15">
      <c r="A4271" s="5"/>
    </row>
    <row r="4272" spans="1:1" ht="13" x14ac:dyDescent="0.15">
      <c r="A4272" s="5"/>
    </row>
    <row r="4273" spans="1:1" ht="13" x14ac:dyDescent="0.15">
      <c r="A4273" s="5"/>
    </row>
    <row r="4274" spans="1:1" ht="13" x14ac:dyDescent="0.15">
      <c r="A4274" s="5"/>
    </row>
    <row r="4275" spans="1:1" ht="13" x14ac:dyDescent="0.15">
      <c r="A4275" s="5"/>
    </row>
    <row r="4276" spans="1:1" ht="13" x14ac:dyDescent="0.15">
      <c r="A4276" s="5"/>
    </row>
    <row r="4277" spans="1:1" ht="13" x14ac:dyDescent="0.15">
      <c r="A4277" s="5"/>
    </row>
    <row r="4278" spans="1:1" ht="13" x14ac:dyDescent="0.15">
      <c r="A4278" s="5"/>
    </row>
    <row r="4279" spans="1:1" ht="13" x14ac:dyDescent="0.15">
      <c r="A4279" s="5"/>
    </row>
    <row r="4280" spans="1:1" ht="13" x14ac:dyDescent="0.15">
      <c r="A4280" s="5"/>
    </row>
    <row r="4281" spans="1:1" ht="13" x14ac:dyDescent="0.15">
      <c r="A4281" s="5"/>
    </row>
    <row r="4282" spans="1:1" ht="13" x14ac:dyDescent="0.15">
      <c r="A4282" s="5"/>
    </row>
    <row r="4283" spans="1:1" ht="13" x14ac:dyDescent="0.15">
      <c r="A4283" s="5"/>
    </row>
    <row r="4284" spans="1:1" ht="13" x14ac:dyDescent="0.15">
      <c r="A4284" s="5"/>
    </row>
    <row r="4285" spans="1:1" ht="13" x14ac:dyDescent="0.15">
      <c r="A4285" s="5"/>
    </row>
    <row r="4286" spans="1:1" ht="13" x14ac:dyDescent="0.15">
      <c r="A4286" s="5"/>
    </row>
    <row r="4287" spans="1:1" ht="13" x14ac:dyDescent="0.15">
      <c r="A4287" s="5"/>
    </row>
    <row r="4288" spans="1:1" ht="13" x14ac:dyDescent="0.15">
      <c r="A4288" s="5"/>
    </row>
    <row r="4289" spans="1:1" ht="13" x14ac:dyDescent="0.15">
      <c r="A4289" s="5"/>
    </row>
    <row r="4290" spans="1:1" ht="13" x14ac:dyDescent="0.15">
      <c r="A4290" s="5"/>
    </row>
    <row r="4291" spans="1:1" ht="13" x14ac:dyDescent="0.15">
      <c r="A4291" s="5"/>
    </row>
    <row r="4292" spans="1:1" ht="13" x14ac:dyDescent="0.15">
      <c r="A4292" s="5"/>
    </row>
    <row r="4293" spans="1:1" ht="13" x14ac:dyDescent="0.15">
      <c r="A4293" s="5"/>
    </row>
    <row r="4294" spans="1:1" ht="13" x14ac:dyDescent="0.15">
      <c r="A4294" s="5"/>
    </row>
    <row r="4295" spans="1:1" ht="13" x14ac:dyDescent="0.15">
      <c r="A4295" s="5"/>
    </row>
    <row r="4296" spans="1:1" ht="13" x14ac:dyDescent="0.15">
      <c r="A4296" s="5"/>
    </row>
    <row r="4297" spans="1:1" ht="13" x14ac:dyDescent="0.15">
      <c r="A4297" s="5"/>
    </row>
    <row r="4298" spans="1:1" ht="13" x14ac:dyDescent="0.15">
      <c r="A4298" s="5"/>
    </row>
    <row r="4299" spans="1:1" ht="13" x14ac:dyDescent="0.15">
      <c r="A4299" s="5"/>
    </row>
    <row r="4300" spans="1:1" ht="13" x14ac:dyDescent="0.15">
      <c r="A4300" s="5"/>
    </row>
    <row r="4301" spans="1:1" ht="13" x14ac:dyDescent="0.15">
      <c r="A4301" s="5"/>
    </row>
    <row r="4302" spans="1:1" ht="13" x14ac:dyDescent="0.15">
      <c r="A4302" s="5"/>
    </row>
    <row r="4303" spans="1:1" ht="13" x14ac:dyDescent="0.15">
      <c r="A4303" s="5"/>
    </row>
    <row r="4304" spans="1:1" ht="13" x14ac:dyDescent="0.15">
      <c r="A4304" s="5"/>
    </row>
    <row r="4305" spans="1:1" ht="13" x14ac:dyDescent="0.15">
      <c r="A4305" s="5"/>
    </row>
    <row r="4306" spans="1:1" ht="13" x14ac:dyDescent="0.15">
      <c r="A4306" s="5"/>
    </row>
    <row r="4307" spans="1:1" ht="13" x14ac:dyDescent="0.15">
      <c r="A4307" s="5"/>
    </row>
    <row r="4308" spans="1:1" ht="13" x14ac:dyDescent="0.15">
      <c r="A4308" s="5"/>
    </row>
    <row r="4309" spans="1:1" ht="13" x14ac:dyDescent="0.15">
      <c r="A4309" s="5"/>
    </row>
    <row r="4310" spans="1:1" ht="13" x14ac:dyDescent="0.15">
      <c r="A4310" s="5"/>
    </row>
    <row r="4311" spans="1:1" ht="13" x14ac:dyDescent="0.15">
      <c r="A4311" s="5"/>
    </row>
    <row r="4312" spans="1:1" ht="13" x14ac:dyDescent="0.15">
      <c r="A4312" s="5"/>
    </row>
    <row r="4313" spans="1:1" ht="13" x14ac:dyDescent="0.15">
      <c r="A4313" s="5"/>
    </row>
    <row r="4314" spans="1:1" ht="13" x14ac:dyDescent="0.15">
      <c r="A4314" s="5"/>
    </row>
    <row r="4315" spans="1:1" ht="13" x14ac:dyDescent="0.15">
      <c r="A4315" s="5"/>
    </row>
    <row r="4316" spans="1:1" ht="13" x14ac:dyDescent="0.15">
      <c r="A4316" s="5"/>
    </row>
    <row r="4317" spans="1:1" ht="13" x14ac:dyDescent="0.15">
      <c r="A4317" s="5"/>
    </row>
    <row r="4318" spans="1:1" ht="13" x14ac:dyDescent="0.15">
      <c r="A4318" s="5"/>
    </row>
    <row r="4319" spans="1:1" ht="13" x14ac:dyDescent="0.15">
      <c r="A4319" s="5"/>
    </row>
    <row r="4320" spans="1:1" ht="13" x14ac:dyDescent="0.15">
      <c r="A4320" s="5"/>
    </row>
    <row r="4321" spans="1:1" ht="13" x14ac:dyDescent="0.15">
      <c r="A4321" s="5"/>
    </row>
    <row r="4322" spans="1:1" ht="13" x14ac:dyDescent="0.15">
      <c r="A4322" s="5"/>
    </row>
    <row r="4323" spans="1:1" ht="13" x14ac:dyDescent="0.15">
      <c r="A4323" s="5"/>
    </row>
    <row r="4324" spans="1:1" ht="13" x14ac:dyDescent="0.15">
      <c r="A4324" s="5"/>
    </row>
    <row r="4325" spans="1:1" ht="13" x14ac:dyDescent="0.15">
      <c r="A4325" s="5"/>
    </row>
    <row r="4326" spans="1:1" ht="13" x14ac:dyDescent="0.15">
      <c r="A4326" s="5"/>
    </row>
    <row r="4327" spans="1:1" ht="13" x14ac:dyDescent="0.15">
      <c r="A4327" s="5"/>
    </row>
    <row r="4328" spans="1:1" ht="13" x14ac:dyDescent="0.15">
      <c r="A4328" s="5"/>
    </row>
    <row r="4329" spans="1:1" ht="13" x14ac:dyDescent="0.15">
      <c r="A4329" s="5"/>
    </row>
    <row r="4330" spans="1:1" ht="13" x14ac:dyDescent="0.15">
      <c r="A4330" s="5"/>
    </row>
    <row r="4331" spans="1:1" ht="13" x14ac:dyDescent="0.15">
      <c r="A4331" s="5"/>
    </row>
    <row r="4332" spans="1:1" ht="13" x14ac:dyDescent="0.15">
      <c r="A4332" s="5"/>
    </row>
    <row r="4333" spans="1:1" ht="13" x14ac:dyDescent="0.15">
      <c r="A4333" s="5"/>
    </row>
    <row r="4334" spans="1:1" ht="13" x14ac:dyDescent="0.15">
      <c r="A4334" s="5"/>
    </row>
    <row r="4335" spans="1:1" ht="13" x14ac:dyDescent="0.15">
      <c r="A4335" s="5"/>
    </row>
    <row r="4336" spans="1:1" ht="13" x14ac:dyDescent="0.15">
      <c r="A4336" s="5"/>
    </row>
    <row r="4337" spans="1:1" ht="13" x14ac:dyDescent="0.15">
      <c r="A4337" s="5"/>
    </row>
    <row r="4338" spans="1:1" ht="13" x14ac:dyDescent="0.15">
      <c r="A4338" s="5"/>
    </row>
    <row r="4339" spans="1:1" ht="13" x14ac:dyDescent="0.15">
      <c r="A4339" s="5"/>
    </row>
    <row r="4340" spans="1:1" ht="13" x14ac:dyDescent="0.15">
      <c r="A4340" s="5"/>
    </row>
    <row r="4341" spans="1:1" ht="13" x14ac:dyDescent="0.15">
      <c r="A4341" s="5"/>
    </row>
    <row r="4342" spans="1:1" ht="13" x14ac:dyDescent="0.15">
      <c r="A4342" s="5"/>
    </row>
    <row r="4343" spans="1:1" ht="13" x14ac:dyDescent="0.15">
      <c r="A4343" s="5"/>
    </row>
    <row r="4344" spans="1:1" ht="13" x14ac:dyDescent="0.15">
      <c r="A4344" s="5"/>
    </row>
    <row r="4345" spans="1:1" ht="13" x14ac:dyDescent="0.15">
      <c r="A4345" s="5"/>
    </row>
    <row r="4346" spans="1:1" ht="13" x14ac:dyDescent="0.15">
      <c r="A4346" s="5"/>
    </row>
    <row r="4347" spans="1:1" ht="13" x14ac:dyDescent="0.15">
      <c r="A4347" s="5"/>
    </row>
    <row r="4348" spans="1:1" ht="13" x14ac:dyDescent="0.15">
      <c r="A4348" s="5"/>
    </row>
    <row r="4349" spans="1:1" ht="13" x14ac:dyDescent="0.15">
      <c r="A4349" s="5"/>
    </row>
    <row r="4350" spans="1:1" ht="13" x14ac:dyDescent="0.15">
      <c r="A4350" s="5"/>
    </row>
    <row r="4351" spans="1:1" ht="13" x14ac:dyDescent="0.15">
      <c r="A4351" s="5"/>
    </row>
    <row r="4352" spans="1:1" ht="13" x14ac:dyDescent="0.15">
      <c r="A4352" s="5"/>
    </row>
    <row r="4353" spans="1:1" ht="13" x14ac:dyDescent="0.15">
      <c r="A4353" s="5"/>
    </row>
    <row r="4354" spans="1:1" ht="13" x14ac:dyDescent="0.15">
      <c r="A4354" s="5"/>
    </row>
    <row r="4355" spans="1:1" ht="13" x14ac:dyDescent="0.15">
      <c r="A4355" s="5"/>
    </row>
    <row r="4356" spans="1:1" ht="13" x14ac:dyDescent="0.15">
      <c r="A4356" s="5"/>
    </row>
    <row r="4357" spans="1:1" ht="13" x14ac:dyDescent="0.15">
      <c r="A4357" s="5"/>
    </row>
    <row r="4358" spans="1:1" ht="13" x14ac:dyDescent="0.15">
      <c r="A4358" s="5"/>
    </row>
    <row r="4359" spans="1:1" ht="13" x14ac:dyDescent="0.15">
      <c r="A4359" s="5"/>
    </row>
    <row r="4360" spans="1:1" ht="13" x14ac:dyDescent="0.15">
      <c r="A4360" s="5"/>
    </row>
    <row r="4361" spans="1:1" ht="13" x14ac:dyDescent="0.15">
      <c r="A4361" s="5"/>
    </row>
    <row r="4362" spans="1:1" ht="13" x14ac:dyDescent="0.15">
      <c r="A4362" s="5"/>
    </row>
    <row r="4363" spans="1:1" ht="13" x14ac:dyDescent="0.15">
      <c r="A4363" s="5"/>
    </row>
    <row r="4364" spans="1:1" ht="13" x14ac:dyDescent="0.15">
      <c r="A4364" s="5"/>
    </row>
    <row r="4365" spans="1:1" ht="13" x14ac:dyDescent="0.15">
      <c r="A4365" s="5"/>
    </row>
    <row r="4366" spans="1:1" ht="13" x14ac:dyDescent="0.15">
      <c r="A4366" s="5"/>
    </row>
    <row r="4367" spans="1:1" ht="13" x14ac:dyDescent="0.15">
      <c r="A4367" s="5"/>
    </row>
    <row r="4368" spans="1:1" ht="13" x14ac:dyDescent="0.15">
      <c r="A4368" s="5"/>
    </row>
    <row r="4369" spans="1:1" ht="13" x14ac:dyDescent="0.15">
      <c r="A4369" s="5"/>
    </row>
    <row r="4370" spans="1:1" ht="13" x14ac:dyDescent="0.15">
      <c r="A4370" s="5"/>
    </row>
    <row r="4371" spans="1:1" ht="13" x14ac:dyDescent="0.15">
      <c r="A4371" s="5"/>
    </row>
    <row r="4372" spans="1:1" ht="13" x14ac:dyDescent="0.15">
      <c r="A4372" s="5"/>
    </row>
    <row r="4373" spans="1:1" ht="13" x14ac:dyDescent="0.15">
      <c r="A4373" s="5"/>
    </row>
    <row r="4374" spans="1:1" ht="13" x14ac:dyDescent="0.15">
      <c r="A4374" s="5"/>
    </row>
    <row r="4375" spans="1:1" ht="13" x14ac:dyDescent="0.15">
      <c r="A4375" s="5"/>
    </row>
    <row r="4376" spans="1:1" ht="13" x14ac:dyDescent="0.15">
      <c r="A4376" s="5"/>
    </row>
    <row r="4377" spans="1:1" ht="13" x14ac:dyDescent="0.15">
      <c r="A4377" s="5"/>
    </row>
    <row r="4378" spans="1:1" ht="13" x14ac:dyDescent="0.15">
      <c r="A4378" s="5"/>
    </row>
    <row r="4379" spans="1:1" ht="13" x14ac:dyDescent="0.15">
      <c r="A4379" s="5"/>
    </row>
    <row r="4380" spans="1:1" ht="13" x14ac:dyDescent="0.15">
      <c r="A4380" s="5"/>
    </row>
    <row r="4381" spans="1:1" ht="13" x14ac:dyDescent="0.15">
      <c r="A4381" s="5"/>
    </row>
    <row r="4382" spans="1:1" ht="13" x14ac:dyDescent="0.15">
      <c r="A4382" s="5"/>
    </row>
    <row r="4383" spans="1:1" ht="13" x14ac:dyDescent="0.15">
      <c r="A4383" s="5"/>
    </row>
    <row r="4384" spans="1:1" ht="13" x14ac:dyDescent="0.15">
      <c r="A4384" s="5"/>
    </row>
    <row r="4385" spans="1:1" ht="13" x14ac:dyDescent="0.15">
      <c r="A4385" s="5"/>
    </row>
    <row r="4386" spans="1:1" ht="13" x14ac:dyDescent="0.15">
      <c r="A4386" s="5"/>
    </row>
    <row r="4387" spans="1:1" ht="13" x14ac:dyDescent="0.15">
      <c r="A4387" s="5"/>
    </row>
    <row r="4388" spans="1:1" ht="13" x14ac:dyDescent="0.15">
      <c r="A4388" s="5"/>
    </row>
    <row r="4389" spans="1:1" ht="13" x14ac:dyDescent="0.15">
      <c r="A4389" s="5"/>
    </row>
    <row r="4390" spans="1:1" ht="13" x14ac:dyDescent="0.15">
      <c r="A4390" s="5"/>
    </row>
    <row r="4391" spans="1:1" ht="13" x14ac:dyDescent="0.15">
      <c r="A4391" s="5"/>
    </row>
    <row r="4392" spans="1:1" ht="13" x14ac:dyDescent="0.15">
      <c r="A4392" s="5"/>
    </row>
    <row r="4393" spans="1:1" ht="13" x14ac:dyDescent="0.15">
      <c r="A4393" s="5"/>
    </row>
    <row r="4394" spans="1:1" ht="13" x14ac:dyDescent="0.15">
      <c r="A4394" s="5"/>
    </row>
    <row r="4395" spans="1:1" ht="13" x14ac:dyDescent="0.15">
      <c r="A4395" s="5"/>
    </row>
    <row r="4396" spans="1:1" ht="13" x14ac:dyDescent="0.15">
      <c r="A4396" s="5"/>
    </row>
    <row r="4397" spans="1:1" ht="13" x14ac:dyDescent="0.15">
      <c r="A4397" s="5"/>
    </row>
    <row r="4398" spans="1:1" ht="13" x14ac:dyDescent="0.15">
      <c r="A4398" s="5"/>
    </row>
    <row r="4399" spans="1:1" ht="13" x14ac:dyDescent="0.15">
      <c r="A4399" s="5"/>
    </row>
    <row r="4400" spans="1:1" ht="13" x14ac:dyDescent="0.15">
      <c r="A4400" s="5"/>
    </row>
    <row r="4401" spans="1:1" ht="13" x14ac:dyDescent="0.15">
      <c r="A4401" s="5"/>
    </row>
    <row r="4402" spans="1:1" ht="13" x14ac:dyDescent="0.15">
      <c r="A4402" s="5"/>
    </row>
    <row r="4403" spans="1:1" ht="13" x14ac:dyDescent="0.15">
      <c r="A4403" s="5"/>
    </row>
    <row r="4404" spans="1:1" ht="13" x14ac:dyDescent="0.15">
      <c r="A4404" s="5"/>
    </row>
    <row r="4405" spans="1:1" ht="13" x14ac:dyDescent="0.15">
      <c r="A4405" s="5"/>
    </row>
    <row r="4406" spans="1:1" ht="13" x14ac:dyDescent="0.15">
      <c r="A4406" s="5"/>
    </row>
    <row r="4407" spans="1:1" ht="13" x14ac:dyDescent="0.15">
      <c r="A4407" s="5"/>
    </row>
    <row r="4408" spans="1:1" ht="13" x14ac:dyDescent="0.15">
      <c r="A4408" s="5"/>
    </row>
    <row r="4409" spans="1:1" ht="13" x14ac:dyDescent="0.15">
      <c r="A4409" s="5"/>
    </row>
    <row r="4410" spans="1:1" ht="13" x14ac:dyDescent="0.15">
      <c r="A4410" s="5"/>
    </row>
    <row r="4411" spans="1:1" ht="13" x14ac:dyDescent="0.15">
      <c r="A4411" s="5"/>
    </row>
    <row r="4412" spans="1:1" ht="13" x14ac:dyDescent="0.15">
      <c r="A4412" s="5"/>
    </row>
    <row r="4413" spans="1:1" ht="13" x14ac:dyDescent="0.15">
      <c r="A4413" s="5"/>
    </row>
    <row r="4414" spans="1:1" ht="13" x14ac:dyDescent="0.15">
      <c r="A4414" s="5"/>
    </row>
    <row r="4415" spans="1:1" ht="13" x14ac:dyDescent="0.15">
      <c r="A4415" s="5"/>
    </row>
    <row r="4416" spans="1:1" ht="13" x14ac:dyDescent="0.15">
      <c r="A4416" s="5"/>
    </row>
    <row r="4417" spans="1:1" ht="13" x14ac:dyDescent="0.15">
      <c r="A4417" s="5"/>
    </row>
    <row r="4418" spans="1:1" ht="13" x14ac:dyDescent="0.15">
      <c r="A4418" s="5"/>
    </row>
    <row r="4419" spans="1:1" ht="13" x14ac:dyDescent="0.15">
      <c r="A4419" s="5"/>
    </row>
    <row r="4420" spans="1:1" ht="13" x14ac:dyDescent="0.15">
      <c r="A4420" s="5"/>
    </row>
    <row r="4421" spans="1:1" ht="13" x14ac:dyDescent="0.15">
      <c r="A4421" s="5"/>
    </row>
    <row r="4422" spans="1:1" ht="13" x14ac:dyDescent="0.15">
      <c r="A4422" s="5"/>
    </row>
    <row r="4423" spans="1:1" ht="13" x14ac:dyDescent="0.15">
      <c r="A4423" s="5"/>
    </row>
    <row r="4424" spans="1:1" ht="13" x14ac:dyDescent="0.15">
      <c r="A4424" s="5"/>
    </row>
    <row r="4425" spans="1:1" ht="13" x14ac:dyDescent="0.15">
      <c r="A4425" s="5"/>
    </row>
    <row r="4426" spans="1:1" ht="13" x14ac:dyDescent="0.15">
      <c r="A4426" s="5"/>
    </row>
    <row r="4427" spans="1:1" ht="13" x14ac:dyDescent="0.15">
      <c r="A4427" s="5"/>
    </row>
    <row r="4428" spans="1:1" ht="13" x14ac:dyDescent="0.15">
      <c r="A4428" s="5"/>
    </row>
    <row r="4429" spans="1:1" ht="13" x14ac:dyDescent="0.15">
      <c r="A4429" s="5"/>
    </row>
    <row r="4430" spans="1:1" ht="13" x14ac:dyDescent="0.15">
      <c r="A4430" s="5"/>
    </row>
    <row r="4431" spans="1:1" ht="13" x14ac:dyDescent="0.15">
      <c r="A4431" s="5"/>
    </row>
    <row r="4432" spans="1:1" ht="13" x14ac:dyDescent="0.15">
      <c r="A4432" s="5"/>
    </row>
    <row r="4433" spans="1:1" ht="13" x14ac:dyDescent="0.15">
      <c r="A4433" s="5"/>
    </row>
    <row r="4434" spans="1:1" ht="13" x14ac:dyDescent="0.15">
      <c r="A4434" s="5"/>
    </row>
    <row r="4435" spans="1:1" ht="13" x14ac:dyDescent="0.15">
      <c r="A4435" s="5"/>
    </row>
    <row r="4436" spans="1:1" ht="13" x14ac:dyDescent="0.15">
      <c r="A4436" s="5"/>
    </row>
    <row r="4437" spans="1:1" ht="13" x14ac:dyDescent="0.15">
      <c r="A4437" s="5"/>
    </row>
    <row r="4438" spans="1:1" ht="13" x14ac:dyDescent="0.15">
      <c r="A4438" s="5"/>
    </row>
    <row r="4439" spans="1:1" ht="13" x14ac:dyDescent="0.15">
      <c r="A4439" s="5"/>
    </row>
    <row r="4440" spans="1:1" ht="13" x14ac:dyDescent="0.15">
      <c r="A4440" s="5"/>
    </row>
    <row r="4441" spans="1:1" ht="13" x14ac:dyDescent="0.15">
      <c r="A4441" s="5"/>
    </row>
    <row r="4442" spans="1:1" ht="13" x14ac:dyDescent="0.15">
      <c r="A4442" s="5"/>
    </row>
    <row r="4443" spans="1:1" ht="13" x14ac:dyDescent="0.15">
      <c r="A4443" s="5"/>
    </row>
    <row r="4444" spans="1:1" ht="13" x14ac:dyDescent="0.15">
      <c r="A4444" s="5"/>
    </row>
    <row r="4445" spans="1:1" ht="13" x14ac:dyDescent="0.15">
      <c r="A4445" s="5"/>
    </row>
    <row r="4446" spans="1:1" ht="13" x14ac:dyDescent="0.15">
      <c r="A4446" s="5"/>
    </row>
    <row r="4447" spans="1:1" ht="13" x14ac:dyDescent="0.15">
      <c r="A4447" s="5"/>
    </row>
    <row r="4448" spans="1:1" ht="13" x14ac:dyDescent="0.15">
      <c r="A4448" s="5"/>
    </row>
    <row r="4449" spans="1:1" ht="13" x14ac:dyDescent="0.15">
      <c r="A4449" s="5"/>
    </row>
    <row r="4450" spans="1:1" ht="13" x14ac:dyDescent="0.15">
      <c r="A4450" s="5"/>
    </row>
    <row r="4451" spans="1:1" ht="13" x14ac:dyDescent="0.15">
      <c r="A4451" s="5"/>
    </row>
    <row r="4452" spans="1:1" ht="13" x14ac:dyDescent="0.15">
      <c r="A4452" s="5"/>
    </row>
    <row r="4453" spans="1:1" ht="13" x14ac:dyDescent="0.15">
      <c r="A4453" s="5"/>
    </row>
    <row r="4454" spans="1:1" ht="13" x14ac:dyDescent="0.15">
      <c r="A4454" s="5"/>
    </row>
    <row r="4455" spans="1:1" ht="13" x14ac:dyDescent="0.15">
      <c r="A4455" s="5"/>
    </row>
    <row r="4456" spans="1:1" ht="13" x14ac:dyDescent="0.15">
      <c r="A4456" s="5"/>
    </row>
    <row r="4457" spans="1:1" ht="13" x14ac:dyDescent="0.15">
      <c r="A4457" s="5"/>
    </row>
    <row r="4458" spans="1:1" ht="13" x14ac:dyDescent="0.15">
      <c r="A4458" s="5"/>
    </row>
    <row r="4459" spans="1:1" ht="13" x14ac:dyDescent="0.15">
      <c r="A4459" s="5"/>
    </row>
    <row r="4460" spans="1:1" ht="13" x14ac:dyDescent="0.15">
      <c r="A4460" s="5"/>
    </row>
    <row r="4461" spans="1:1" ht="13" x14ac:dyDescent="0.15">
      <c r="A4461" s="5"/>
    </row>
    <row r="4462" spans="1:1" ht="13" x14ac:dyDescent="0.15">
      <c r="A4462" s="5"/>
    </row>
    <row r="4463" spans="1:1" ht="13" x14ac:dyDescent="0.15">
      <c r="A4463" s="5"/>
    </row>
    <row r="4464" spans="1:1" ht="13" x14ac:dyDescent="0.15">
      <c r="A4464" s="5"/>
    </row>
    <row r="4465" spans="1:1" ht="13" x14ac:dyDescent="0.15">
      <c r="A4465" s="5"/>
    </row>
    <row r="4466" spans="1:1" ht="13" x14ac:dyDescent="0.15">
      <c r="A4466" s="5"/>
    </row>
    <row r="4467" spans="1:1" ht="13" x14ac:dyDescent="0.15">
      <c r="A4467" s="5"/>
    </row>
    <row r="4468" spans="1:1" ht="13" x14ac:dyDescent="0.15">
      <c r="A4468" s="5"/>
    </row>
    <row r="4469" spans="1:1" ht="13" x14ac:dyDescent="0.15">
      <c r="A4469" s="5"/>
    </row>
    <row r="4470" spans="1:1" ht="13" x14ac:dyDescent="0.15">
      <c r="A4470" s="5"/>
    </row>
    <row r="4471" spans="1:1" ht="13" x14ac:dyDescent="0.15">
      <c r="A4471" s="5"/>
    </row>
    <row r="4472" spans="1:1" ht="13" x14ac:dyDescent="0.15">
      <c r="A4472" s="5"/>
    </row>
    <row r="4473" spans="1:1" ht="13" x14ac:dyDescent="0.15">
      <c r="A4473" s="5"/>
    </row>
    <row r="4474" spans="1:1" ht="13" x14ac:dyDescent="0.15">
      <c r="A4474" s="5"/>
    </row>
    <row r="4475" spans="1:1" ht="13" x14ac:dyDescent="0.15">
      <c r="A4475" s="5"/>
    </row>
    <row r="4476" spans="1:1" ht="13" x14ac:dyDescent="0.15">
      <c r="A4476" s="5"/>
    </row>
    <row r="4477" spans="1:1" ht="13" x14ac:dyDescent="0.15">
      <c r="A4477" s="5"/>
    </row>
    <row r="4478" spans="1:1" ht="13" x14ac:dyDescent="0.15">
      <c r="A4478" s="5"/>
    </row>
    <row r="4479" spans="1:1" ht="13" x14ac:dyDescent="0.15">
      <c r="A4479" s="5"/>
    </row>
    <row r="4480" spans="1:1" ht="13" x14ac:dyDescent="0.15">
      <c r="A4480" s="5"/>
    </row>
    <row r="4481" spans="1:1" ht="13" x14ac:dyDescent="0.15">
      <c r="A4481" s="5"/>
    </row>
    <row r="4482" spans="1:1" ht="13" x14ac:dyDescent="0.15">
      <c r="A4482" s="5"/>
    </row>
    <row r="4483" spans="1:1" ht="13" x14ac:dyDescent="0.15">
      <c r="A4483" s="5"/>
    </row>
    <row r="4484" spans="1:1" ht="13" x14ac:dyDescent="0.15">
      <c r="A4484" s="5"/>
    </row>
    <row r="4485" spans="1:1" ht="13" x14ac:dyDescent="0.15">
      <c r="A4485" s="5"/>
    </row>
    <row r="4486" spans="1:1" ht="13" x14ac:dyDescent="0.15">
      <c r="A4486" s="5"/>
    </row>
    <row r="4487" spans="1:1" ht="13" x14ac:dyDescent="0.15">
      <c r="A4487" s="5"/>
    </row>
    <row r="4488" spans="1:1" ht="13" x14ac:dyDescent="0.15">
      <c r="A4488" s="5"/>
    </row>
    <row r="4489" spans="1:1" ht="13" x14ac:dyDescent="0.15">
      <c r="A4489" s="5"/>
    </row>
    <row r="4490" spans="1:1" ht="13" x14ac:dyDescent="0.15">
      <c r="A4490" s="5"/>
    </row>
    <row r="4491" spans="1:1" ht="13" x14ac:dyDescent="0.15">
      <c r="A4491" s="5"/>
    </row>
    <row r="4492" spans="1:1" ht="13" x14ac:dyDescent="0.15">
      <c r="A4492" s="5"/>
    </row>
    <row r="4493" spans="1:1" ht="13" x14ac:dyDescent="0.15">
      <c r="A4493" s="5"/>
    </row>
    <row r="4494" spans="1:1" ht="13" x14ac:dyDescent="0.15">
      <c r="A4494" s="5"/>
    </row>
    <row r="4495" spans="1:1" ht="13" x14ac:dyDescent="0.15">
      <c r="A4495" s="5"/>
    </row>
    <row r="4496" spans="1:1" ht="13" x14ac:dyDescent="0.15">
      <c r="A4496" s="5"/>
    </row>
    <row r="4497" spans="1:1" ht="13" x14ac:dyDescent="0.15">
      <c r="A4497" s="5"/>
    </row>
    <row r="4498" spans="1:1" ht="13" x14ac:dyDescent="0.15">
      <c r="A4498" s="5"/>
    </row>
    <row r="4499" spans="1:1" ht="13" x14ac:dyDescent="0.15">
      <c r="A4499" s="5"/>
    </row>
    <row r="4500" spans="1:1" ht="13" x14ac:dyDescent="0.15">
      <c r="A4500" s="5"/>
    </row>
    <row r="4501" spans="1:1" ht="13" x14ac:dyDescent="0.15">
      <c r="A4501" s="5"/>
    </row>
    <row r="4502" spans="1:1" ht="13" x14ac:dyDescent="0.15">
      <c r="A4502" s="5"/>
    </row>
    <row r="4503" spans="1:1" ht="13" x14ac:dyDescent="0.15">
      <c r="A4503" s="5"/>
    </row>
    <row r="4504" spans="1:1" ht="13" x14ac:dyDescent="0.15">
      <c r="A4504" s="5"/>
    </row>
    <row r="4505" spans="1:1" ht="13" x14ac:dyDescent="0.15">
      <c r="A4505" s="5"/>
    </row>
    <row r="4506" spans="1:1" ht="13" x14ac:dyDescent="0.15">
      <c r="A4506" s="5"/>
    </row>
    <row r="4507" spans="1:1" ht="13" x14ac:dyDescent="0.15">
      <c r="A4507" s="5"/>
    </row>
    <row r="4508" spans="1:1" ht="13" x14ac:dyDescent="0.15">
      <c r="A4508" s="5"/>
    </row>
    <row r="4509" spans="1:1" ht="13" x14ac:dyDescent="0.15">
      <c r="A4509" s="5"/>
    </row>
    <row r="4510" spans="1:1" ht="13" x14ac:dyDescent="0.15">
      <c r="A4510" s="5"/>
    </row>
    <row r="4511" spans="1:1" ht="13" x14ac:dyDescent="0.15">
      <c r="A4511" s="5"/>
    </row>
    <row r="4512" spans="1:1" ht="13" x14ac:dyDescent="0.15">
      <c r="A4512" s="5"/>
    </row>
    <row r="4513" spans="1:1" ht="13" x14ac:dyDescent="0.15">
      <c r="A4513" s="5"/>
    </row>
    <row r="4514" spans="1:1" ht="13" x14ac:dyDescent="0.15">
      <c r="A4514" s="5"/>
    </row>
    <row r="4515" spans="1:1" ht="13" x14ac:dyDescent="0.15">
      <c r="A4515" s="5"/>
    </row>
    <row r="4516" spans="1:1" ht="13" x14ac:dyDescent="0.15">
      <c r="A4516" s="5"/>
    </row>
    <row r="4517" spans="1:1" ht="13" x14ac:dyDescent="0.15">
      <c r="A4517" s="5"/>
    </row>
    <row r="4518" spans="1:1" ht="13" x14ac:dyDescent="0.15">
      <c r="A4518" s="5"/>
    </row>
    <row r="4519" spans="1:1" ht="13" x14ac:dyDescent="0.15">
      <c r="A4519" s="5"/>
    </row>
    <row r="4520" spans="1:1" ht="13" x14ac:dyDescent="0.15">
      <c r="A4520" s="5"/>
    </row>
    <row r="4521" spans="1:1" ht="13" x14ac:dyDescent="0.15">
      <c r="A4521" s="5"/>
    </row>
    <row r="4522" spans="1:1" ht="13" x14ac:dyDescent="0.15">
      <c r="A4522" s="5"/>
    </row>
    <row r="4523" spans="1:1" ht="13" x14ac:dyDescent="0.15">
      <c r="A4523" s="5"/>
    </row>
    <row r="4524" spans="1:1" ht="13" x14ac:dyDescent="0.15">
      <c r="A4524" s="5"/>
    </row>
    <row r="4525" spans="1:1" ht="13" x14ac:dyDescent="0.15">
      <c r="A4525" s="5"/>
    </row>
    <row r="4526" spans="1:1" ht="13" x14ac:dyDescent="0.15">
      <c r="A4526" s="5"/>
    </row>
    <row r="4527" spans="1:1" ht="13" x14ac:dyDescent="0.15">
      <c r="A4527" s="5"/>
    </row>
    <row r="4528" spans="1:1" ht="13" x14ac:dyDescent="0.15">
      <c r="A4528" s="5"/>
    </row>
    <row r="4529" spans="1:1" ht="13" x14ac:dyDescent="0.15">
      <c r="A4529" s="5"/>
    </row>
    <row r="4530" spans="1:1" ht="13" x14ac:dyDescent="0.15">
      <c r="A4530" s="5"/>
    </row>
    <row r="4531" spans="1:1" ht="13" x14ac:dyDescent="0.15">
      <c r="A4531" s="5"/>
    </row>
    <row r="4532" spans="1:1" ht="13" x14ac:dyDescent="0.15">
      <c r="A4532" s="5"/>
    </row>
    <row r="4533" spans="1:1" ht="13" x14ac:dyDescent="0.15">
      <c r="A4533" s="5"/>
    </row>
    <row r="4534" spans="1:1" ht="13" x14ac:dyDescent="0.15">
      <c r="A4534" s="5"/>
    </row>
    <row r="4535" spans="1:1" ht="13" x14ac:dyDescent="0.15">
      <c r="A4535" s="5"/>
    </row>
    <row r="4536" spans="1:1" ht="13" x14ac:dyDescent="0.15">
      <c r="A4536" s="5"/>
    </row>
    <row r="4537" spans="1:1" ht="13" x14ac:dyDescent="0.15">
      <c r="A4537" s="5"/>
    </row>
    <row r="4538" spans="1:1" ht="13" x14ac:dyDescent="0.15">
      <c r="A4538" s="5"/>
    </row>
    <row r="4539" spans="1:1" ht="13" x14ac:dyDescent="0.15">
      <c r="A4539" s="5"/>
    </row>
    <row r="4540" spans="1:1" ht="13" x14ac:dyDescent="0.15">
      <c r="A4540" s="5"/>
    </row>
    <row r="4541" spans="1:1" ht="13" x14ac:dyDescent="0.15">
      <c r="A4541" s="5"/>
    </row>
    <row r="4542" spans="1:1" ht="13" x14ac:dyDescent="0.15">
      <c r="A4542" s="5"/>
    </row>
    <row r="4543" spans="1:1" ht="13" x14ac:dyDescent="0.15">
      <c r="A4543" s="5"/>
    </row>
    <row r="4544" spans="1:1" ht="13" x14ac:dyDescent="0.15">
      <c r="A4544" s="5"/>
    </row>
    <row r="4545" spans="1:1" ht="13" x14ac:dyDescent="0.15">
      <c r="A4545" s="5"/>
    </row>
    <row r="4546" spans="1:1" ht="13" x14ac:dyDescent="0.15">
      <c r="A4546" s="5"/>
    </row>
    <row r="4547" spans="1:1" ht="13" x14ac:dyDescent="0.15">
      <c r="A4547" s="5"/>
    </row>
    <row r="4548" spans="1:1" ht="13" x14ac:dyDescent="0.15">
      <c r="A4548" s="5"/>
    </row>
    <row r="4549" spans="1:1" ht="13" x14ac:dyDescent="0.15">
      <c r="A4549" s="5"/>
    </row>
    <row r="4550" spans="1:1" ht="13" x14ac:dyDescent="0.15">
      <c r="A4550" s="5"/>
    </row>
    <row r="4551" spans="1:1" ht="13" x14ac:dyDescent="0.15">
      <c r="A4551" s="5"/>
    </row>
    <row r="4552" spans="1:1" ht="13" x14ac:dyDescent="0.15">
      <c r="A4552" s="5"/>
    </row>
    <row r="4553" spans="1:1" ht="13" x14ac:dyDescent="0.15">
      <c r="A4553" s="5"/>
    </row>
    <row r="4554" spans="1:1" ht="13" x14ac:dyDescent="0.15">
      <c r="A4554" s="5"/>
    </row>
    <row r="4555" spans="1:1" ht="13" x14ac:dyDescent="0.15">
      <c r="A4555" s="5"/>
    </row>
    <row r="4556" spans="1:1" ht="13" x14ac:dyDescent="0.15">
      <c r="A4556" s="5"/>
    </row>
    <row r="4557" spans="1:1" ht="13" x14ac:dyDescent="0.15">
      <c r="A4557" s="5"/>
    </row>
    <row r="4558" spans="1:1" ht="13" x14ac:dyDescent="0.15">
      <c r="A4558" s="5"/>
    </row>
    <row r="4559" spans="1:1" ht="13" x14ac:dyDescent="0.15">
      <c r="A4559" s="5"/>
    </row>
    <row r="4560" spans="1:1" ht="13" x14ac:dyDescent="0.15">
      <c r="A4560" s="5"/>
    </row>
    <row r="4561" spans="1:1" ht="13" x14ac:dyDescent="0.15">
      <c r="A4561" s="5"/>
    </row>
    <row r="4562" spans="1:1" ht="13" x14ac:dyDescent="0.15">
      <c r="A4562" s="5"/>
    </row>
    <row r="4563" spans="1:1" ht="13" x14ac:dyDescent="0.15">
      <c r="A4563" s="5"/>
    </row>
    <row r="4564" spans="1:1" ht="13" x14ac:dyDescent="0.15">
      <c r="A4564" s="5"/>
    </row>
    <row r="4565" spans="1:1" ht="13" x14ac:dyDescent="0.15">
      <c r="A4565" s="5"/>
    </row>
    <row r="4566" spans="1:1" ht="13" x14ac:dyDescent="0.15">
      <c r="A4566" s="5"/>
    </row>
    <row r="4567" spans="1:1" ht="13" x14ac:dyDescent="0.15">
      <c r="A4567" s="5"/>
    </row>
    <row r="4568" spans="1:1" ht="13" x14ac:dyDescent="0.15">
      <c r="A4568" s="5"/>
    </row>
    <row r="4569" spans="1:1" ht="13" x14ac:dyDescent="0.15">
      <c r="A4569" s="5"/>
    </row>
    <row r="4570" spans="1:1" ht="13" x14ac:dyDescent="0.15">
      <c r="A4570" s="5"/>
    </row>
    <row r="4571" spans="1:1" ht="13" x14ac:dyDescent="0.15">
      <c r="A4571" s="5"/>
    </row>
    <row r="4572" spans="1:1" ht="13" x14ac:dyDescent="0.15">
      <c r="A4572" s="5"/>
    </row>
    <row r="4573" spans="1:1" ht="13" x14ac:dyDescent="0.15">
      <c r="A4573" s="5"/>
    </row>
    <row r="4574" spans="1:1" ht="13" x14ac:dyDescent="0.15">
      <c r="A4574" s="5"/>
    </row>
    <row r="4575" spans="1:1" ht="13" x14ac:dyDescent="0.15">
      <c r="A4575" s="5"/>
    </row>
    <row r="4576" spans="1:1" ht="13" x14ac:dyDescent="0.15">
      <c r="A4576" s="5"/>
    </row>
    <row r="4577" spans="1:1" ht="13" x14ac:dyDescent="0.15">
      <c r="A4577" s="5"/>
    </row>
    <row r="4578" spans="1:1" ht="13" x14ac:dyDescent="0.15">
      <c r="A4578" s="5"/>
    </row>
    <row r="4579" spans="1:1" ht="13" x14ac:dyDescent="0.15">
      <c r="A4579" s="5"/>
    </row>
    <row r="4580" spans="1:1" ht="13" x14ac:dyDescent="0.15">
      <c r="A4580" s="5"/>
    </row>
    <row r="4581" spans="1:1" ht="13" x14ac:dyDescent="0.15">
      <c r="A4581" s="5"/>
    </row>
    <row r="4582" spans="1:1" ht="13" x14ac:dyDescent="0.15">
      <c r="A4582" s="5"/>
    </row>
    <row r="4583" spans="1:1" ht="13" x14ac:dyDescent="0.15">
      <c r="A4583" s="5"/>
    </row>
    <row r="4584" spans="1:1" ht="13" x14ac:dyDescent="0.15">
      <c r="A4584" s="5"/>
    </row>
    <row r="4585" spans="1:1" ht="13" x14ac:dyDescent="0.15">
      <c r="A4585" s="5"/>
    </row>
    <row r="4586" spans="1:1" ht="13" x14ac:dyDescent="0.15">
      <c r="A4586" s="5"/>
    </row>
    <row r="4587" spans="1:1" ht="13" x14ac:dyDescent="0.15">
      <c r="A4587" s="5"/>
    </row>
    <row r="4588" spans="1:1" ht="13" x14ac:dyDescent="0.15">
      <c r="A4588" s="5"/>
    </row>
    <row r="4589" spans="1:1" ht="13" x14ac:dyDescent="0.15">
      <c r="A4589" s="5"/>
    </row>
    <row r="4590" spans="1:1" ht="13" x14ac:dyDescent="0.15">
      <c r="A4590" s="5"/>
    </row>
    <row r="4591" spans="1:1" ht="13" x14ac:dyDescent="0.15">
      <c r="A4591" s="5"/>
    </row>
    <row r="4592" spans="1:1" ht="13" x14ac:dyDescent="0.15">
      <c r="A4592" s="5"/>
    </row>
    <row r="4593" spans="1:1" ht="13" x14ac:dyDescent="0.15">
      <c r="A4593" s="5"/>
    </row>
    <row r="4594" spans="1:1" ht="13" x14ac:dyDescent="0.15">
      <c r="A4594" s="5"/>
    </row>
    <row r="4595" spans="1:1" ht="13" x14ac:dyDescent="0.15">
      <c r="A4595" s="5"/>
    </row>
    <row r="4596" spans="1:1" ht="13" x14ac:dyDescent="0.15">
      <c r="A4596" s="5"/>
    </row>
    <row r="4597" spans="1:1" ht="13" x14ac:dyDescent="0.15">
      <c r="A4597" s="5"/>
    </row>
    <row r="4598" spans="1:1" ht="13" x14ac:dyDescent="0.15">
      <c r="A4598" s="5"/>
    </row>
    <row r="4599" spans="1:1" ht="13" x14ac:dyDescent="0.15">
      <c r="A4599" s="5"/>
    </row>
    <row r="4600" spans="1:1" ht="13" x14ac:dyDescent="0.15">
      <c r="A4600" s="5"/>
    </row>
    <row r="4601" spans="1:1" ht="13" x14ac:dyDescent="0.15">
      <c r="A4601" s="5"/>
    </row>
    <row r="4602" spans="1:1" ht="13" x14ac:dyDescent="0.15">
      <c r="A4602" s="5"/>
    </row>
    <row r="4603" spans="1:1" ht="13" x14ac:dyDescent="0.15">
      <c r="A4603" s="5"/>
    </row>
    <row r="4604" spans="1:1" ht="13" x14ac:dyDescent="0.15">
      <c r="A4604" s="5"/>
    </row>
    <row r="4605" spans="1:1" ht="13" x14ac:dyDescent="0.15">
      <c r="A4605" s="5"/>
    </row>
    <row r="4606" spans="1:1" ht="13" x14ac:dyDescent="0.15">
      <c r="A4606" s="5"/>
    </row>
    <row r="4607" spans="1:1" ht="13" x14ac:dyDescent="0.15">
      <c r="A4607" s="5"/>
    </row>
    <row r="4608" spans="1:1" ht="13" x14ac:dyDescent="0.15">
      <c r="A4608" s="5"/>
    </row>
    <row r="4609" spans="1:1" ht="13" x14ac:dyDescent="0.15">
      <c r="A4609" s="5"/>
    </row>
    <row r="4610" spans="1:1" ht="13" x14ac:dyDescent="0.15">
      <c r="A4610" s="5"/>
    </row>
    <row r="4611" spans="1:1" ht="13" x14ac:dyDescent="0.15">
      <c r="A4611" s="5"/>
    </row>
    <row r="4612" spans="1:1" ht="13" x14ac:dyDescent="0.15">
      <c r="A4612" s="5"/>
    </row>
    <row r="4613" spans="1:1" ht="13" x14ac:dyDescent="0.15">
      <c r="A4613" s="5"/>
    </row>
    <row r="4614" spans="1:1" ht="13" x14ac:dyDescent="0.15">
      <c r="A4614" s="5"/>
    </row>
    <row r="4615" spans="1:1" ht="13" x14ac:dyDescent="0.15">
      <c r="A4615" s="5"/>
    </row>
    <row r="4616" spans="1:1" ht="13" x14ac:dyDescent="0.15">
      <c r="A4616" s="5"/>
    </row>
    <row r="4617" spans="1:1" ht="13" x14ac:dyDescent="0.15">
      <c r="A4617" s="5"/>
    </row>
    <row r="4618" spans="1:1" ht="13" x14ac:dyDescent="0.15">
      <c r="A4618" s="5"/>
    </row>
    <row r="4619" spans="1:1" ht="13" x14ac:dyDescent="0.15">
      <c r="A4619" s="5"/>
    </row>
    <row r="4620" spans="1:1" ht="13" x14ac:dyDescent="0.15">
      <c r="A4620" s="5"/>
    </row>
    <row r="4621" spans="1:1" ht="13" x14ac:dyDescent="0.15">
      <c r="A4621" s="5"/>
    </row>
    <row r="4622" spans="1:1" ht="13" x14ac:dyDescent="0.15">
      <c r="A4622" s="5"/>
    </row>
    <row r="4623" spans="1:1" ht="13" x14ac:dyDescent="0.15">
      <c r="A4623" s="5"/>
    </row>
    <row r="4624" spans="1:1" ht="13" x14ac:dyDescent="0.15">
      <c r="A4624" s="5"/>
    </row>
    <row r="4625" spans="1:1" ht="13" x14ac:dyDescent="0.15">
      <c r="A4625" s="5"/>
    </row>
    <row r="4626" spans="1:1" ht="13" x14ac:dyDescent="0.15">
      <c r="A4626" s="5"/>
    </row>
    <row r="4627" spans="1:1" ht="13" x14ac:dyDescent="0.15">
      <c r="A4627" s="5"/>
    </row>
    <row r="4628" spans="1:1" ht="13" x14ac:dyDescent="0.15">
      <c r="A4628" s="5"/>
    </row>
    <row r="4629" spans="1:1" ht="13" x14ac:dyDescent="0.15">
      <c r="A4629" s="5"/>
    </row>
    <row r="4630" spans="1:1" ht="13" x14ac:dyDescent="0.15">
      <c r="A4630" s="5"/>
    </row>
    <row r="4631" spans="1:1" ht="13" x14ac:dyDescent="0.15">
      <c r="A4631" s="5"/>
    </row>
    <row r="4632" spans="1:1" ht="13" x14ac:dyDescent="0.15">
      <c r="A4632" s="5"/>
    </row>
    <row r="4633" spans="1:1" ht="13" x14ac:dyDescent="0.15">
      <c r="A4633" s="5"/>
    </row>
    <row r="4634" spans="1:1" ht="13" x14ac:dyDescent="0.15">
      <c r="A4634" s="5"/>
    </row>
    <row r="4635" spans="1:1" ht="13" x14ac:dyDescent="0.15">
      <c r="A4635" s="5"/>
    </row>
    <row r="4636" spans="1:1" ht="13" x14ac:dyDescent="0.15">
      <c r="A4636" s="5"/>
    </row>
    <row r="4637" spans="1:1" ht="13" x14ac:dyDescent="0.15">
      <c r="A4637" s="5"/>
    </row>
    <row r="4638" spans="1:1" ht="13" x14ac:dyDescent="0.15">
      <c r="A4638" s="5"/>
    </row>
    <row r="4639" spans="1:1" ht="13" x14ac:dyDescent="0.15">
      <c r="A4639" s="5"/>
    </row>
    <row r="4640" spans="1:1" ht="13" x14ac:dyDescent="0.15">
      <c r="A4640" s="5"/>
    </row>
    <row r="4641" spans="1:1" ht="13" x14ac:dyDescent="0.15">
      <c r="A4641" s="5"/>
    </row>
    <row r="4642" spans="1:1" ht="13" x14ac:dyDescent="0.15">
      <c r="A4642" s="5"/>
    </row>
    <row r="4643" spans="1:1" ht="13" x14ac:dyDescent="0.15">
      <c r="A4643" s="5"/>
    </row>
    <row r="4644" spans="1:1" ht="13" x14ac:dyDescent="0.15">
      <c r="A4644" s="5"/>
    </row>
    <row r="4645" spans="1:1" ht="13" x14ac:dyDescent="0.15">
      <c r="A4645" s="5"/>
    </row>
    <row r="4646" spans="1:1" ht="13" x14ac:dyDescent="0.15">
      <c r="A4646" s="5"/>
    </row>
    <row r="4647" spans="1:1" ht="13" x14ac:dyDescent="0.15">
      <c r="A4647" s="5"/>
    </row>
    <row r="4648" spans="1:1" ht="13" x14ac:dyDescent="0.15">
      <c r="A4648" s="5"/>
    </row>
    <row r="4649" spans="1:1" ht="13" x14ac:dyDescent="0.15">
      <c r="A4649" s="5"/>
    </row>
    <row r="4650" spans="1:1" ht="13" x14ac:dyDescent="0.15">
      <c r="A4650" s="5"/>
    </row>
    <row r="4651" spans="1:1" ht="13" x14ac:dyDescent="0.15">
      <c r="A4651" s="5"/>
    </row>
    <row r="4652" spans="1:1" ht="13" x14ac:dyDescent="0.15">
      <c r="A4652" s="5"/>
    </row>
    <row r="4653" spans="1:1" ht="13" x14ac:dyDescent="0.15">
      <c r="A4653" s="5"/>
    </row>
    <row r="4654" spans="1:1" ht="13" x14ac:dyDescent="0.15">
      <c r="A4654" s="5"/>
    </row>
    <row r="4655" spans="1:1" ht="13" x14ac:dyDescent="0.15">
      <c r="A4655" s="5"/>
    </row>
    <row r="4656" spans="1:1" ht="13" x14ac:dyDescent="0.15">
      <c r="A4656" s="5"/>
    </row>
    <row r="4657" spans="1:1" ht="13" x14ac:dyDescent="0.15">
      <c r="A4657" s="5"/>
    </row>
    <row r="4658" spans="1:1" ht="13" x14ac:dyDescent="0.15">
      <c r="A4658" s="5"/>
    </row>
    <row r="4659" spans="1:1" ht="13" x14ac:dyDescent="0.15">
      <c r="A4659" s="5"/>
    </row>
    <row r="4660" spans="1:1" ht="13" x14ac:dyDescent="0.15">
      <c r="A4660" s="5"/>
    </row>
    <row r="4661" spans="1:1" ht="13" x14ac:dyDescent="0.15">
      <c r="A4661" s="5"/>
    </row>
    <row r="4662" spans="1:1" ht="13" x14ac:dyDescent="0.15">
      <c r="A4662" s="5"/>
    </row>
    <row r="4663" spans="1:1" ht="13" x14ac:dyDescent="0.15">
      <c r="A4663" s="5"/>
    </row>
    <row r="4664" spans="1:1" ht="13" x14ac:dyDescent="0.15">
      <c r="A4664" s="5"/>
    </row>
    <row r="4665" spans="1:1" ht="13" x14ac:dyDescent="0.15">
      <c r="A4665" s="5"/>
    </row>
    <row r="4666" spans="1:1" ht="13" x14ac:dyDescent="0.15">
      <c r="A4666" s="5"/>
    </row>
    <row r="4667" spans="1:1" ht="13" x14ac:dyDescent="0.15">
      <c r="A4667" s="5"/>
    </row>
    <row r="4668" spans="1:1" ht="13" x14ac:dyDescent="0.15">
      <c r="A4668" s="5"/>
    </row>
    <row r="4669" spans="1:1" ht="13" x14ac:dyDescent="0.15">
      <c r="A4669" s="5"/>
    </row>
    <row r="4670" spans="1:1" ht="13" x14ac:dyDescent="0.15">
      <c r="A4670" s="5"/>
    </row>
    <row r="4671" spans="1:1" ht="13" x14ac:dyDescent="0.15">
      <c r="A4671" s="5"/>
    </row>
    <row r="4672" spans="1:1" ht="13" x14ac:dyDescent="0.15">
      <c r="A4672" s="5"/>
    </row>
    <row r="4673" spans="1:1" ht="13" x14ac:dyDescent="0.15">
      <c r="A4673" s="5"/>
    </row>
    <row r="4674" spans="1:1" ht="13" x14ac:dyDescent="0.15">
      <c r="A4674" s="5"/>
    </row>
    <row r="4675" spans="1:1" ht="13" x14ac:dyDescent="0.15">
      <c r="A4675" s="5"/>
    </row>
    <row r="4676" spans="1:1" ht="13" x14ac:dyDescent="0.15">
      <c r="A4676" s="5"/>
    </row>
    <row r="4677" spans="1:1" ht="13" x14ac:dyDescent="0.15">
      <c r="A4677" s="5"/>
    </row>
    <row r="4678" spans="1:1" ht="13" x14ac:dyDescent="0.15">
      <c r="A4678" s="5"/>
    </row>
    <row r="4679" spans="1:1" ht="13" x14ac:dyDescent="0.15">
      <c r="A4679" s="5"/>
    </row>
    <row r="4680" spans="1:1" ht="13" x14ac:dyDescent="0.15">
      <c r="A4680" s="5"/>
    </row>
    <row r="4681" spans="1:1" ht="13" x14ac:dyDescent="0.15">
      <c r="A4681" s="5"/>
    </row>
    <row r="4682" spans="1:1" ht="13" x14ac:dyDescent="0.15">
      <c r="A4682" s="5"/>
    </row>
    <row r="4683" spans="1:1" ht="13" x14ac:dyDescent="0.15">
      <c r="A4683" s="5"/>
    </row>
    <row r="4684" spans="1:1" ht="13" x14ac:dyDescent="0.15">
      <c r="A4684" s="5"/>
    </row>
    <row r="4685" spans="1:1" ht="13" x14ac:dyDescent="0.15">
      <c r="A4685" s="5"/>
    </row>
    <row r="4686" spans="1:1" ht="13" x14ac:dyDescent="0.15">
      <c r="A4686" s="5"/>
    </row>
    <row r="4687" spans="1:1" ht="13" x14ac:dyDescent="0.15">
      <c r="A4687" s="5"/>
    </row>
    <row r="4688" spans="1:1" ht="13" x14ac:dyDescent="0.15">
      <c r="A4688" s="5"/>
    </row>
    <row r="4689" spans="1:1" ht="13" x14ac:dyDescent="0.15">
      <c r="A4689" s="5"/>
    </row>
    <row r="4690" spans="1:1" ht="13" x14ac:dyDescent="0.15">
      <c r="A4690" s="5"/>
    </row>
    <row r="4691" spans="1:1" ht="13" x14ac:dyDescent="0.15">
      <c r="A4691" s="5"/>
    </row>
    <row r="4692" spans="1:1" ht="13" x14ac:dyDescent="0.15">
      <c r="A4692" s="5"/>
    </row>
    <row r="4693" spans="1:1" ht="13" x14ac:dyDescent="0.15">
      <c r="A4693" s="5"/>
    </row>
    <row r="4694" spans="1:1" ht="13" x14ac:dyDescent="0.15">
      <c r="A4694" s="5"/>
    </row>
    <row r="4695" spans="1:1" ht="13" x14ac:dyDescent="0.15">
      <c r="A4695" s="5"/>
    </row>
    <row r="4696" spans="1:1" ht="13" x14ac:dyDescent="0.15">
      <c r="A4696" s="5"/>
    </row>
    <row r="4697" spans="1:1" ht="13" x14ac:dyDescent="0.15">
      <c r="A4697" s="5"/>
    </row>
    <row r="4698" spans="1:1" ht="13" x14ac:dyDescent="0.15">
      <c r="A4698" s="5"/>
    </row>
    <row r="4699" spans="1:1" ht="13" x14ac:dyDescent="0.15">
      <c r="A4699" s="5"/>
    </row>
    <row r="4700" spans="1:1" ht="13" x14ac:dyDescent="0.15">
      <c r="A4700" s="5"/>
    </row>
    <row r="4701" spans="1:1" ht="13" x14ac:dyDescent="0.15">
      <c r="A4701" s="5"/>
    </row>
    <row r="4702" spans="1:1" ht="13" x14ac:dyDescent="0.15">
      <c r="A4702" s="5"/>
    </row>
    <row r="4703" spans="1:1" ht="13" x14ac:dyDescent="0.15">
      <c r="A4703" s="5"/>
    </row>
    <row r="4704" spans="1:1" ht="13" x14ac:dyDescent="0.15">
      <c r="A4704" s="5"/>
    </row>
    <row r="4705" spans="1:1" ht="13" x14ac:dyDescent="0.15">
      <c r="A4705" s="5"/>
    </row>
    <row r="4706" spans="1:1" ht="13" x14ac:dyDescent="0.15">
      <c r="A4706" s="5"/>
    </row>
    <row r="4707" spans="1:1" ht="13" x14ac:dyDescent="0.15">
      <c r="A4707" s="5"/>
    </row>
    <row r="4708" spans="1:1" ht="13" x14ac:dyDescent="0.15">
      <c r="A4708" s="5"/>
    </row>
    <row r="4709" spans="1:1" ht="13" x14ac:dyDescent="0.15">
      <c r="A4709" s="5"/>
    </row>
    <row r="4710" spans="1:1" ht="13" x14ac:dyDescent="0.15">
      <c r="A4710" s="5"/>
    </row>
    <row r="4711" spans="1:1" ht="13" x14ac:dyDescent="0.15">
      <c r="A4711" s="5"/>
    </row>
    <row r="4712" spans="1:1" ht="13" x14ac:dyDescent="0.15">
      <c r="A4712" s="5"/>
    </row>
    <row r="4713" spans="1:1" ht="13" x14ac:dyDescent="0.15">
      <c r="A4713" s="5"/>
    </row>
    <row r="4714" spans="1:1" ht="13" x14ac:dyDescent="0.15">
      <c r="A4714" s="5"/>
    </row>
    <row r="4715" spans="1:1" ht="13" x14ac:dyDescent="0.15">
      <c r="A4715" s="5"/>
    </row>
    <row r="4716" spans="1:1" ht="13" x14ac:dyDescent="0.15">
      <c r="A4716" s="5"/>
    </row>
    <row r="4717" spans="1:1" ht="13" x14ac:dyDescent="0.15">
      <c r="A4717" s="5"/>
    </row>
    <row r="4718" spans="1:1" ht="13" x14ac:dyDescent="0.15">
      <c r="A4718" s="5"/>
    </row>
    <row r="4719" spans="1:1" ht="13" x14ac:dyDescent="0.15">
      <c r="A4719" s="5"/>
    </row>
    <row r="4720" spans="1:1" ht="13" x14ac:dyDescent="0.15">
      <c r="A4720" s="5"/>
    </row>
    <row r="4721" spans="1:1" ht="13" x14ac:dyDescent="0.15">
      <c r="A4721" s="5"/>
    </row>
    <row r="4722" spans="1:1" ht="13" x14ac:dyDescent="0.15">
      <c r="A4722" s="5"/>
    </row>
    <row r="4723" spans="1:1" ht="13" x14ac:dyDescent="0.15">
      <c r="A4723" s="5"/>
    </row>
    <row r="4724" spans="1:1" ht="13" x14ac:dyDescent="0.15">
      <c r="A4724" s="5"/>
    </row>
    <row r="4725" spans="1:1" ht="13" x14ac:dyDescent="0.15">
      <c r="A4725" s="5"/>
    </row>
    <row r="4726" spans="1:1" ht="13" x14ac:dyDescent="0.15">
      <c r="A4726" s="5"/>
    </row>
    <row r="4727" spans="1:1" ht="13" x14ac:dyDescent="0.15">
      <c r="A4727" s="5"/>
    </row>
    <row r="4728" spans="1:1" ht="13" x14ac:dyDescent="0.15">
      <c r="A4728" s="5"/>
    </row>
    <row r="4729" spans="1:1" ht="13" x14ac:dyDescent="0.15">
      <c r="A4729" s="5"/>
    </row>
    <row r="4730" spans="1:1" ht="13" x14ac:dyDescent="0.15">
      <c r="A4730" s="5"/>
    </row>
    <row r="4731" spans="1:1" ht="13" x14ac:dyDescent="0.15">
      <c r="A4731" s="5"/>
    </row>
    <row r="4732" spans="1:1" ht="13" x14ac:dyDescent="0.15">
      <c r="A4732" s="5"/>
    </row>
    <row r="4733" spans="1:1" ht="13" x14ac:dyDescent="0.15">
      <c r="A4733" s="5"/>
    </row>
    <row r="4734" spans="1:1" ht="13" x14ac:dyDescent="0.15">
      <c r="A4734" s="5"/>
    </row>
    <row r="4735" spans="1:1" ht="13" x14ac:dyDescent="0.15">
      <c r="A4735" s="5"/>
    </row>
    <row r="4736" spans="1:1" ht="13" x14ac:dyDescent="0.15">
      <c r="A4736" s="5"/>
    </row>
    <row r="4737" spans="1:1" ht="13" x14ac:dyDescent="0.15">
      <c r="A4737" s="5"/>
    </row>
    <row r="4738" spans="1:1" ht="13" x14ac:dyDescent="0.15">
      <c r="A4738" s="5"/>
    </row>
    <row r="4739" spans="1:1" ht="13" x14ac:dyDescent="0.15">
      <c r="A4739" s="5"/>
    </row>
    <row r="4740" spans="1:1" ht="13" x14ac:dyDescent="0.15">
      <c r="A4740" s="5"/>
    </row>
    <row r="4741" spans="1:1" ht="13" x14ac:dyDescent="0.15">
      <c r="A4741" s="5"/>
    </row>
    <row r="4742" spans="1:1" ht="13" x14ac:dyDescent="0.15">
      <c r="A4742" s="5"/>
    </row>
    <row r="4743" spans="1:1" ht="13" x14ac:dyDescent="0.15">
      <c r="A4743" s="5"/>
    </row>
    <row r="4744" spans="1:1" ht="13" x14ac:dyDescent="0.15">
      <c r="A4744" s="5"/>
    </row>
    <row r="4745" spans="1:1" ht="13" x14ac:dyDescent="0.15">
      <c r="A4745" s="5"/>
    </row>
    <row r="4746" spans="1:1" ht="13" x14ac:dyDescent="0.15">
      <c r="A4746" s="5"/>
    </row>
    <row r="4747" spans="1:1" ht="13" x14ac:dyDescent="0.15">
      <c r="A4747" s="5"/>
    </row>
    <row r="4748" spans="1:1" ht="13" x14ac:dyDescent="0.15">
      <c r="A4748" s="5"/>
    </row>
    <row r="4749" spans="1:1" ht="13" x14ac:dyDescent="0.15">
      <c r="A4749" s="5"/>
    </row>
    <row r="4750" spans="1:1" ht="13" x14ac:dyDescent="0.15">
      <c r="A4750" s="5"/>
    </row>
    <row r="4751" spans="1:1" ht="13" x14ac:dyDescent="0.15">
      <c r="A4751" s="5"/>
    </row>
    <row r="4752" spans="1:1" ht="13" x14ac:dyDescent="0.15">
      <c r="A4752" s="5"/>
    </row>
    <row r="4753" spans="1:1" ht="13" x14ac:dyDescent="0.15">
      <c r="A4753" s="5"/>
    </row>
    <row r="4754" spans="1:1" ht="13" x14ac:dyDescent="0.15">
      <c r="A4754" s="5"/>
    </row>
    <row r="4755" spans="1:1" ht="13" x14ac:dyDescent="0.15">
      <c r="A4755" s="5"/>
    </row>
    <row r="4756" spans="1:1" ht="13" x14ac:dyDescent="0.15">
      <c r="A4756" s="5"/>
    </row>
    <row r="4757" spans="1:1" ht="13" x14ac:dyDescent="0.15">
      <c r="A4757" s="5"/>
    </row>
    <row r="4758" spans="1:1" ht="13" x14ac:dyDescent="0.15">
      <c r="A4758" s="5"/>
    </row>
    <row r="4759" spans="1:1" ht="13" x14ac:dyDescent="0.15">
      <c r="A4759" s="5"/>
    </row>
    <row r="4760" spans="1:1" ht="13" x14ac:dyDescent="0.15">
      <c r="A4760" s="5"/>
    </row>
    <row r="4761" spans="1:1" ht="13" x14ac:dyDescent="0.15">
      <c r="A4761" s="5"/>
    </row>
    <row r="4762" spans="1:1" ht="13" x14ac:dyDescent="0.15">
      <c r="A4762" s="5"/>
    </row>
    <row r="4763" spans="1:1" ht="13" x14ac:dyDescent="0.15">
      <c r="A4763" s="5"/>
    </row>
    <row r="4764" spans="1:1" ht="13" x14ac:dyDescent="0.15">
      <c r="A4764" s="5"/>
    </row>
    <row r="4765" spans="1:1" ht="13" x14ac:dyDescent="0.15">
      <c r="A4765" s="5"/>
    </row>
    <row r="4766" spans="1:1" ht="13" x14ac:dyDescent="0.15">
      <c r="A4766" s="5"/>
    </row>
    <row r="4767" spans="1:1" ht="13" x14ac:dyDescent="0.15">
      <c r="A4767" s="5"/>
    </row>
    <row r="4768" spans="1:1" ht="13" x14ac:dyDescent="0.15">
      <c r="A4768" s="5"/>
    </row>
    <row r="4769" spans="1:1" ht="13" x14ac:dyDescent="0.15">
      <c r="A4769" s="5"/>
    </row>
    <row r="4770" spans="1:1" ht="13" x14ac:dyDescent="0.15">
      <c r="A4770" s="5"/>
    </row>
    <row r="4771" spans="1:1" ht="13" x14ac:dyDescent="0.15">
      <c r="A4771" s="5"/>
    </row>
    <row r="4772" spans="1:1" ht="13" x14ac:dyDescent="0.15">
      <c r="A4772" s="5"/>
    </row>
    <row r="4773" spans="1:1" ht="13" x14ac:dyDescent="0.15">
      <c r="A4773" s="5"/>
    </row>
    <row r="4774" spans="1:1" ht="13" x14ac:dyDescent="0.15">
      <c r="A4774" s="5"/>
    </row>
    <row r="4775" spans="1:1" ht="13" x14ac:dyDescent="0.15">
      <c r="A4775" s="5"/>
    </row>
    <row r="4776" spans="1:1" ht="13" x14ac:dyDescent="0.15">
      <c r="A4776" s="5"/>
    </row>
    <row r="4777" spans="1:1" ht="13" x14ac:dyDescent="0.15">
      <c r="A4777" s="5"/>
    </row>
    <row r="4778" spans="1:1" ht="13" x14ac:dyDescent="0.15">
      <c r="A4778" s="5"/>
    </row>
    <row r="4779" spans="1:1" ht="13" x14ac:dyDescent="0.15">
      <c r="A4779" s="5"/>
    </row>
    <row r="4780" spans="1:1" ht="13" x14ac:dyDescent="0.15">
      <c r="A4780" s="5"/>
    </row>
    <row r="4781" spans="1:1" ht="13" x14ac:dyDescent="0.15">
      <c r="A4781" s="5"/>
    </row>
    <row r="4782" spans="1:1" ht="13" x14ac:dyDescent="0.15">
      <c r="A4782" s="5"/>
    </row>
    <row r="4783" spans="1:1" ht="13" x14ac:dyDescent="0.15">
      <c r="A4783" s="5"/>
    </row>
    <row r="4784" spans="1:1" ht="13" x14ac:dyDescent="0.15">
      <c r="A4784" s="5"/>
    </row>
    <row r="4785" spans="1:1" ht="13" x14ac:dyDescent="0.15">
      <c r="A4785" s="5"/>
    </row>
    <row r="4786" spans="1:1" ht="13" x14ac:dyDescent="0.15">
      <c r="A4786" s="5"/>
    </row>
    <row r="4787" spans="1:1" ht="13" x14ac:dyDescent="0.15">
      <c r="A4787" s="5"/>
    </row>
    <row r="4788" spans="1:1" ht="13" x14ac:dyDescent="0.15">
      <c r="A4788" s="5"/>
    </row>
    <row r="4789" spans="1:1" ht="13" x14ac:dyDescent="0.15">
      <c r="A4789" s="5"/>
    </row>
    <row r="4790" spans="1:1" ht="13" x14ac:dyDescent="0.15">
      <c r="A4790" s="5"/>
    </row>
    <row r="4791" spans="1:1" ht="13" x14ac:dyDescent="0.15">
      <c r="A4791" s="5"/>
    </row>
    <row r="4792" spans="1:1" ht="13" x14ac:dyDescent="0.15">
      <c r="A4792" s="5"/>
    </row>
    <row r="4793" spans="1:1" ht="13" x14ac:dyDescent="0.15">
      <c r="A4793" s="5"/>
    </row>
    <row r="4794" spans="1:1" ht="13" x14ac:dyDescent="0.15">
      <c r="A4794" s="5"/>
    </row>
    <row r="4795" spans="1:1" ht="13" x14ac:dyDescent="0.15">
      <c r="A4795" s="5"/>
    </row>
    <row r="4796" spans="1:1" ht="13" x14ac:dyDescent="0.15">
      <c r="A4796" s="5"/>
    </row>
    <row r="4797" spans="1:1" ht="13" x14ac:dyDescent="0.15">
      <c r="A4797" s="5"/>
    </row>
    <row r="4798" spans="1:1" ht="13" x14ac:dyDescent="0.15">
      <c r="A4798" s="5"/>
    </row>
    <row r="4799" spans="1:1" ht="13" x14ac:dyDescent="0.15">
      <c r="A4799" s="5"/>
    </row>
    <row r="4800" spans="1:1" ht="13" x14ac:dyDescent="0.15">
      <c r="A4800" s="5"/>
    </row>
    <row r="4801" spans="1:1" ht="13" x14ac:dyDescent="0.15">
      <c r="A4801" s="5"/>
    </row>
    <row r="4802" spans="1:1" ht="13" x14ac:dyDescent="0.15">
      <c r="A4802" s="5"/>
    </row>
    <row r="4803" spans="1:1" ht="13" x14ac:dyDescent="0.15">
      <c r="A4803" s="5"/>
    </row>
    <row r="4804" spans="1:1" ht="13" x14ac:dyDescent="0.15">
      <c r="A4804" s="5"/>
    </row>
    <row r="4805" spans="1:1" ht="13" x14ac:dyDescent="0.15">
      <c r="A4805" s="5"/>
    </row>
    <row r="4806" spans="1:1" ht="13" x14ac:dyDescent="0.15">
      <c r="A4806" s="5"/>
    </row>
    <row r="4807" spans="1:1" ht="13" x14ac:dyDescent="0.15">
      <c r="A4807" s="5"/>
    </row>
    <row r="4808" spans="1:1" ht="13" x14ac:dyDescent="0.15">
      <c r="A4808" s="5"/>
    </row>
    <row r="4809" spans="1:1" ht="13" x14ac:dyDescent="0.15">
      <c r="A4809" s="5"/>
    </row>
    <row r="4810" spans="1:1" ht="13" x14ac:dyDescent="0.15">
      <c r="A4810" s="5"/>
    </row>
    <row r="4811" spans="1:1" ht="13" x14ac:dyDescent="0.15">
      <c r="A4811" s="5"/>
    </row>
    <row r="4812" spans="1:1" ht="13" x14ac:dyDescent="0.15">
      <c r="A4812" s="5"/>
    </row>
    <row r="4813" spans="1:1" ht="13" x14ac:dyDescent="0.15">
      <c r="A4813" s="5"/>
    </row>
    <row r="4814" spans="1:1" ht="13" x14ac:dyDescent="0.15">
      <c r="A4814" s="5"/>
    </row>
    <row r="4815" spans="1:1" ht="13" x14ac:dyDescent="0.15">
      <c r="A4815" s="5"/>
    </row>
    <row r="4816" spans="1:1" ht="13" x14ac:dyDescent="0.15">
      <c r="A4816" s="5"/>
    </row>
    <row r="4817" spans="1:1" ht="13" x14ac:dyDescent="0.15">
      <c r="A4817" s="5"/>
    </row>
    <row r="4818" spans="1:1" ht="13" x14ac:dyDescent="0.15">
      <c r="A4818" s="5"/>
    </row>
    <row r="4819" spans="1:1" ht="13" x14ac:dyDescent="0.15">
      <c r="A4819" s="5"/>
    </row>
    <row r="4820" spans="1:1" ht="13" x14ac:dyDescent="0.15">
      <c r="A4820" s="5"/>
    </row>
    <row r="4821" spans="1:1" ht="13" x14ac:dyDescent="0.15">
      <c r="A4821" s="5"/>
    </row>
    <row r="4822" spans="1:1" ht="13" x14ac:dyDescent="0.15">
      <c r="A4822" s="5"/>
    </row>
    <row r="4823" spans="1:1" ht="13" x14ac:dyDescent="0.15">
      <c r="A4823" s="5"/>
    </row>
    <row r="4824" spans="1:1" ht="13" x14ac:dyDescent="0.15">
      <c r="A4824" s="5"/>
    </row>
    <row r="4825" spans="1:1" ht="13" x14ac:dyDescent="0.15">
      <c r="A4825" s="5"/>
    </row>
    <row r="4826" spans="1:1" ht="13" x14ac:dyDescent="0.15">
      <c r="A4826" s="5"/>
    </row>
    <row r="4827" spans="1:1" ht="13" x14ac:dyDescent="0.15">
      <c r="A4827" s="5"/>
    </row>
    <row r="4828" spans="1:1" ht="13" x14ac:dyDescent="0.15">
      <c r="A4828" s="5"/>
    </row>
    <row r="4829" spans="1:1" ht="13" x14ac:dyDescent="0.15">
      <c r="A4829" s="5"/>
    </row>
    <row r="4830" spans="1:1" ht="13" x14ac:dyDescent="0.15">
      <c r="A4830" s="5"/>
    </row>
    <row r="4831" spans="1:1" ht="13" x14ac:dyDescent="0.15">
      <c r="A4831" s="5"/>
    </row>
    <row r="4832" spans="1:1" ht="13" x14ac:dyDescent="0.15">
      <c r="A4832" s="5"/>
    </row>
    <row r="4833" spans="1:1" ht="13" x14ac:dyDescent="0.15">
      <c r="A4833" s="5"/>
    </row>
    <row r="4834" spans="1:1" ht="13" x14ac:dyDescent="0.15">
      <c r="A4834" s="5"/>
    </row>
    <row r="4835" spans="1:1" ht="13" x14ac:dyDescent="0.15">
      <c r="A4835" s="5"/>
    </row>
    <row r="4836" spans="1:1" ht="13" x14ac:dyDescent="0.15">
      <c r="A4836" s="5"/>
    </row>
    <row r="4837" spans="1:1" ht="13" x14ac:dyDescent="0.15">
      <c r="A4837" s="5"/>
    </row>
    <row r="4838" spans="1:1" ht="13" x14ac:dyDescent="0.15">
      <c r="A4838" s="5"/>
    </row>
    <row r="4839" spans="1:1" ht="13" x14ac:dyDescent="0.15">
      <c r="A4839" s="5"/>
    </row>
    <row r="4840" spans="1:1" ht="13" x14ac:dyDescent="0.15">
      <c r="A4840" s="5"/>
    </row>
    <row r="4841" spans="1:1" ht="13" x14ac:dyDescent="0.15">
      <c r="A4841" s="5"/>
    </row>
    <row r="4842" spans="1:1" ht="13" x14ac:dyDescent="0.15">
      <c r="A4842" s="5"/>
    </row>
    <row r="4843" spans="1:1" ht="13" x14ac:dyDescent="0.15">
      <c r="A4843" s="5"/>
    </row>
    <row r="4844" spans="1:1" ht="13" x14ac:dyDescent="0.15">
      <c r="A4844" s="5"/>
    </row>
    <row r="4845" spans="1:1" ht="13" x14ac:dyDescent="0.15">
      <c r="A4845" s="5"/>
    </row>
    <row r="4846" spans="1:1" ht="13" x14ac:dyDescent="0.15">
      <c r="A4846" s="5"/>
    </row>
    <row r="4847" spans="1:1" ht="13" x14ac:dyDescent="0.15">
      <c r="A4847" s="5"/>
    </row>
    <row r="4848" spans="1:1" ht="13" x14ac:dyDescent="0.15">
      <c r="A4848" s="5"/>
    </row>
    <row r="4849" spans="1:1" ht="13" x14ac:dyDescent="0.15">
      <c r="A4849" s="5"/>
    </row>
    <row r="4850" spans="1:1" ht="13" x14ac:dyDescent="0.15">
      <c r="A4850" s="5"/>
    </row>
    <row r="4851" spans="1:1" ht="13" x14ac:dyDescent="0.15">
      <c r="A4851" s="5"/>
    </row>
    <row r="4852" spans="1:1" ht="13" x14ac:dyDescent="0.15">
      <c r="A4852" s="5"/>
    </row>
    <row r="4853" spans="1:1" ht="13" x14ac:dyDescent="0.15">
      <c r="A4853" s="5"/>
    </row>
    <row r="4854" spans="1:1" ht="13" x14ac:dyDescent="0.15">
      <c r="A4854" s="5"/>
    </row>
    <row r="4855" spans="1:1" ht="13" x14ac:dyDescent="0.15">
      <c r="A4855" s="5"/>
    </row>
    <row r="4856" spans="1:1" ht="13" x14ac:dyDescent="0.15">
      <c r="A4856" s="5"/>
    </row>
    <row r="4857" spans="1:1" ht="13" x14ac:dyDescent="0.15">
      <c r="A4857" s="5"/>
    </row>
    <row r="4858" spans="1:1" ht="13" x14ac:dyDescent="0.15">
      <c r="A4858" s="5"/>
    </row>
    <row r="4859" spans="1:1" ht="13" x14ac:dyDescent="0.15">
      <c r="A4859" s="5"/>
    </row>
    <row r="4860" spans="1:1" ht="13" x14ac:dyDescent="0.15">
      <c r="A4860" s="5"/>
    </row>
    <row r="4861" spans="1:1" ht="13" x14ac:dyDescent="0.15">
      <c r="A4861" s="5"/>
    </row>
    <row r="4862" spans="1:1" ht="13" x14ac:dyDescent="0.15">
      <c r="A4862" s="5"/>
    </row>
    <row r="4863" spans="1:1" ht="13" x14ac:dyDescent="0.15">
      <c r="A4863" s="5"/>
    </row>
    <row r="4864" spans="1:1" ht="13" x14ac:dyDescent="0.15">
      <c r="A4864" s="5"/>
    </row>
    <row r="4865" spans="1:1" ht="13" x14ac:dyDescent="0.15">
      <c r="A4865" s="5"/>
    </row>
    <row r="4866" spans="1:1" ht="13" x14ac:dyDescent="0.15">
      <c r="A4866" s="5"/>
    </row>
    <row r="4867" spans="1:1" ht="13" x14ac:dyDescent="0.15">
      <c r="A4867" s="5"/>
    </row>
    <row r="4868" spans="1:1" ht="13" x14ac:dyDescent="0.15">
      <c r="A4868" s="5"/>
    </row>
    <row r="4869" spans="1:1" ht="13" x14ac:dyDescent="0.15">
      <c r="A4869" s="5"/>
    </row>
    <row r="4870" spans="1:1" ht="13" x14ac:dyDescent="0.15">
      <c r="A4870" s="5"/>
    </row>
    <row r="4871" spans="1:1" ht="13" x14ac:dyDescent="0.15">
      <c r="A4871" s="5"/>
    </row>
    <row r="4872" spans="1:1" ht="13" x14ac:dyDescent="0.15">
      <c r="A4872" s="5"/>
    </row>
    <row r="4873" spans="1:1" ht="13" x14ac:dyDescent="0.15">
      <c r="A4873" s="5"/>
    </row>
    <row r="4874" spans="1:1" ht="13" x14ac:dyDescent="0.15">
      <c r="A4874" s="5"/>
    </row>
    <row r="4875" spans="1:1" ht="13" x14ac:dyDescent="0.15">
      <c r="A4875" s="5"/>
    </row>
    <row r="4876" spans="1:1" ht="13" x14ac:dyDescent="0.15">
      <c r="A4876" s="5"/>
    </row>
    <row r="4877" spans="1:1" ht="13" x14ac:dyDescent="0.15">
      <c r="A4877" s="5"/>
    </row>
    <row r="4878" spans="1:1" ht="13" x14ac:dyDescent="0.15">
      <c r="A4878" s="5"/>
    </row>
    <row r="4879" spans="1:1" ht="13" x14ac:dyDescent="0.15">
      <c r="A4879" s="5"/>
    </row>
    <row r="4880" spans="1:1" ht="13" x14ac:dyDescent="0.15">
      <c r="A4880" s="5"/>
    </row>
    <row r="4881" spans="1:1" ht="13" x14ac:dyDescent="0.15">
      <c r="A4881" s="5"/>
    </row>
    <row r="4882" spans="1:1" ht="13" x14ac:dyDescent="0.15">
      <c r="A4882" s="5"/>
    </row>
    <row r="4883" spans="1:1" ht="13" x14ac:dyDescent="0.15">
      <c r="A4883" s="5"/>
    </row>
    <row r="4884" spans="1:1" ht="13" x14ac:dyDescent="0.15">
      <c r="A4884" s="5"/>
    </row>
    <row r="4885" spans="1:1" ht="13" x14ac:dyDescent="0.15">
      <c r="A4885" s="5"/>
    </row>
    <row r="4886" spans="1:1" ht="13" x14ac:dyDescent="0.15">
      <c r="A4886" s="5"/>
    </row>
    <row r="4887" spans="1:1" ht="13" x14ac:dyDescent="0.15">
      <c r="A4887" s="5"/>
    </row>
    <row r="4888" spans="1:1" ht="13" x14ac:dyDescent="0.15">
      <c r="A4888" s="5"/>
    </row>
    <row r="4889" spans="1:1" ht="13" x14ac:dyDescent="0.15">
      <c r="A4889" s="5"/>
    </row>
    <row r="4890" spans="1:1" ht="13" x14ac:dyDescent="0.15">
      <c r="A4890" s="5"/>
    </row>
    <row r="4891" spans="1:1" ht="13" x14ac:dyDescent="0.15">
      <c r="A4891" s="5"/>
    </row>
    <row r="4892" spans="1:1" ht="13" x14ac:dyDescent="0.15">
      <c r="A4892" s="5"/>
    </row>
    <row r="4893" spans="1:1" ht="13" x14ac:dyDescent="0.15">
      <c r="A4893" s="5"/>
    </row>
    <row r="4894" spans="1:1" ht="13" x14ac:dyDescent="0.15">
      <c r="A4894" s="5"/>
    </row>
    <row r="4895" spans="1:1" ht="13" x14ac:dyDescent="0.15">
      <c r="A4895" s="5"/>
    </row>
    <row r="4896" spans="1:1" ht="13" x14ac:dyDescent="0.15">
      <c r="A4896" s="5"/>
    </row>
    <row r="4897" spans="1:1" ht="13" x14ac:dyDescent="0.15">
      <c r="A4897" s="5"/>
    </row>
    <row r="4898" spans="1:1" ht="13" x14ac:dyDescent="0.15">
      <c r="A4898" s="5"/>
    </row>
    <row r="4899" spans="1:1" ht="13" x14ac:dyDescent="0.15">
      <c r="A4899" s="5"/>
    </row>
    <row r="4900" spans="1:1" ht="13" x14ac:dyDescent="0.15">
      <c r="A4900" s="5"/>
    </row>
    <row r="4901" spans="1:1" ht="13" x14ac:dyDescent="0.15">
      <c r="A4901" s="5"/>
    </row>
    <row r="4902" spans="1:1" ht="13" x14ac:dyDescent="0.15">
      <c r="A4902" s="5"/>
    </row>
    <row r="4903" spans="1:1" ht="13" x14ac:dyDescent="0.15">
      <c r="A4903" s="5"/>
    </row>
    <row r="4904" spans="1:1" ht="13" x14ac:dyDescent="0.15">
      <c r="A4904" s="5"/>
    </row>
    <row r="4905" spans="1:1" ht="13" x14ac:dyDescent="0.15">
      <c r="A4905" s="5"/>
    </row>
    <row r="4906" spans="1:1" ht="13" x14ac:dyDescent="0.15">
      <c r="A4906" s="5"/>
    </row>
    <row r="4907" spans="1:1" ht="13" x14ac:dyDescent="0.15">
      <c r="A4907" s="5"/>
    </row>
    <row r="4908" spans="1:1" ht="13" x14ac:dyDescent="0.15">
      <c r="A4908" s="5"/>
    </row>
    <row r="4909" spans="1:1" ht="13" x14ac:dyDescent="0.15">
      <c r="A4909" s="5"/>
    </row>
    <row r="4910" spans="1:1" ht="13" x14ac:dyDescent="0.15">
      <c r="A4910" s="5"/>
    </row>
    <row r="4911" spans="1:1" ht="13" x14ac:dyDescent="0.15">
      <c r="A4911" s="5"/>
    </row>
    <row r="4912" spans="1:1" ht="13" x14ac:dyDescent="0.15">
      <c r="A4912" s="5"/>
    </row>
    <row r="4913" spans="1:1" ht="13" x14ac:dyDescent="0.15">
      <c r="A4913" s="5"/>
    </row>
    <row r="4914" spans="1:1" ht="13" x14ac:dyDescent="0.15">
      <c r="A4914" s="5"/>
    </row>
    <row r="4915" spans="1:1" ht="13" x14ac:dyDescent="0.15">
      <c r="A4915" s="5"/>
    </row>
    <row r="4916" spans="1:1" ht="13" x14ac:dyDescent="0.15">
      <c r="A4916" s="5"/>
    </row>
    <row r="4917" spans="1:1" ht="13" x14ac:dyDescent="0.15">
      <c r="A4917" s="5"/>
    </row>
    <row r="4918" spans="1:1" ht="13" x14ac:dyDescent="0.15">
      <c r="A4918" s="5"/>
    </row>
    <row r="4919" spans="1:1" ht="13" x14ac:dyDescent="0.15">
      <c r="A4919" s="5"/>
    </row>
    <row r="4920" spans="1:1" ht="13" x14ac:dyDescent="0.15">
      <c r="A4920" s="5"/>
    </row>
    <row r="4921" spans="1:1" ht="13" x14ac:dyDescent="0.15">
      <c r="A4921" s="5"/>
    </row>
    <row r="4922" spans="1:1" ht="13" x14ac:dyDescent="0.15">
      <c r="A4922" s="5"/>
    </row>
    <row r="4923" spans="1:1" ht="13" x14ac:dyDescent="0.15">
      <c r="A4923" s="5"/>
    </row>
    <row r="4924" spans="1:1" ht="13" x14ac:dyDescent="0.15">
      <c r="A4924" s="5"/>
    </row>
    <row r="4925" spans="1:1" ht="13" x14ac:dyDescent="0.15">
      <c r="A4925" s="5"/>
    </row>
    <row r="4926" spans="1:1" ht="13" x14ac:dyDescent="0.15">
      <c r="A4926" s="5"/>
    </row>
    <row r="4927" spans="1:1" ht="13" x14ac:dyDescent="0.15">
      <c r="A4927" s="5"/>
    </row>
    <row r="4928" spans="1:1" ht="13" x14ac:dyDescent="0.15">
      <c r="A4928" s="5"/>
    </row>
    <row r="4929" spans="1:1" ht="13" x14ac:dyDescent="0.15">
      <c r="A4929" s="5"/>
    </row>
    <row r="4930" spans="1:1" ht="13" x14ac:dyDescent="0.15">
      <c r="A4930" s="5"/>
    </row>
    <row r="4931" spans="1:1" ht="13" x14ac:dyDescent="0.15">
      <c r="A4931" s="5"/>
    </row>
    <row r="4932" spans="1:1" ht="13" x14ac:dyDescent="0.15">
      <c r="A4932" s="5"/>
    </row>
    <row r="4933" spans="1:1" ht="13" x14ac:dyDescent="0.15">
      <c r="A4933" s="5"/>
    </row>
    <row r="4934" spans="1:1" ht="13" x14ac:dyDescent="0.15">
      <c r="A4934" s="5"/>
    </row>
    <row r="4935" spans="1:1" ht="13" x14ac:dyDescent="0.15">
      <c r="A4935" s="5"/>
    </row>
    <row r="4936" spans="1:1" ht="13" x14ac:dyDescent="0.15">
      <c r="A4936" s="5"/>
    </row>
    <row r="4937" spans="1:1" ht="13" x14ac:dyDescent="0.15">
      <c r="A4937" s="5"/>
    </row>
    <row r="4938" spans="1:1" ht="13" x14ac:dyDescent="0.15">
      <c r="A4938" s="5"/>
    </row>
    <row r="4939" spans="1:1" ht="13" x14ac:dyDescent="0.15">
      <c r="A4939" s="5"/>
    </row>
    <row r="4940" spans="1:1" ht="13" x14ac:dyDescent="0.15">
      <c r="A4940" s="5"/>
    </row>
    <row r="4941" spans="1:1" ht="13" x14ac:dyDescent="0.15">
      <c r="A4941" s="5"/>
    </row>
    <row r="4942" spans="1:1" ht="13" x14ac:dyDescent="0.15">
      <c r="A4942" s="5"/>
    </row>
    <row r="4943" spans="1:1" ht="13" x14ac:dyDescent="0.15">
      <c r="A4943" s="5"/>
    </row>
    <row r="4944" spans="1:1" ht="13" x14ac:dyDescent="0.15">
      <c r="A4944" s="5"/>
    </row>
    <row r="4945" spans="1:1" ht="13" x14ac:dyDescent="0.15">
      <c r="A4945" s="5"/>
    </row>
    <row r="4946" spans="1:1" ht="13" x14ac:dyDescent="0.15">
      <c r="A4946" s="5"/>
    </row>
    <row r="4947" spans="1:1" ht="13" x14ac:dyDescent="0.15">
      <c r="A4947" s="5"/>
    </row>
    <row r="4948" spans="1:1" ht="13" x14ac:dyDescent="0.15">
      <c r="A4948" s="5"/>
    </row>
    <row r="4949" spans="1:1" ht="13" x14ac:dyDescent="0.15">
      <c r="A4949" s="5"/>
    </row>
    <row r="4950" spans="1:1" ht="13" x14ac:dyDescent="0.15">
      <c r="A4950" s="5"/>
    </row>
    <row r="4951" spans="1:1" ht="13" x14ac:dyDescent="0.15">
      <c r="A4951" s="5"/>
    </row>
    <row r="4952" spans="1:1" ht="13" x14ac:dyDescent="0.15">
      <c r="A4952" s="5"/>
    </row>
    <row r="4953" spans="1:1" ht="13" x14ac:dyDescent="0.15">
      <c r="A4953" s="5"/>
    </row>
    <row r="4954" spans="1:1" ht="13" x14ac:dyDescent="0.15">
      <c r="A4954" s="5"/>
    </row>
    <row r="4955" spans="1:1" ht="13" x14ac:dyDescent="0.15">
      <c r="A4955" s="5"/>
    </row>
    <row r="4956" spans="1:1" ht="13" x14ac:dyDescent="0.15">
      <c r="A4956" s="5"/>
    </row>
    <row r="4957" spans="1:1" ht="13" x14ac:dyDescent="0.15">
      <c r="A4957" s="5"/>
    </row>
    <row r="4958" spans="1:1" ht="13" x14ac:dyDescent="0.15">
      <c r="A4958" s="5"/>
    </row>
    <row r="4959" spans="1:1" ht="13" x14ac:dyDescent="0.15">
      <c r="A4959" s="5"/>
    </row>
    <row r="4960" spans="1:1" ht="13" x14ac:dyDescent="0.15">
      <c r="A4960" s="5"/>
    </row>
    <row r="4961" spans="1:1" ht="13" x14ac:dyDescent="0.15">
      <c r="A4961" s="5"/>
    </row>
    <row r="4962" spans="1:1" ht="13" x14ac:dyDescent="0.15">
      <c r="A4962" s="5"/>
    </row>
    <row r="4963" spans="1:1" ht="13" x14ac:dyDescent="0.15">
      <c r="A4963" s="5"/>
    </row>
    <row r="4964" spans="1:1" ht="13" x14ac:dyDescent="0.15">
      <c r="A4964" s="5"/>
    </row>
    <row r="4965" spans="1:1" ht="13" x14ac:dyDescent="0.15">
      <c r="A4965" s="5"/>
    </row>
    <row r="4966" spans="1:1" ht="13" x14ac:dyDescent="0.15">
      <c r="A4966" s="5"/>
    </row>
    <row r="4967" spans="1:1" ht="13" x14ac:dyDescent="0.15">
      <c r="A4967" s="5"/>
    </row>
    <row r="4968" spans="1:1" ht="13" x14ac:dyDescent="0.15">
      <c r="A4968" s="5"/>
    </row>
    <row r="4969" spans="1:1" ht="13" x14ac:dyDescent="0.15">
      <c r="A4969" s="5"/>
    </row>
    <row r="4970" spans="1:1" ht="13" x14ac:dyDescent="0.15">
      <c r="A4970" s="5"/>
    </row>
    <row r="4971" spans="1:1" ht="13" x14ac:dyDescent="0.15">
      <c r="A4971" s="5"/>
    </row>
    <row r="4972" spans="1:1" ht="13" x14ac:dyDescent="0.15">
      <c r="A4972" s="5"/>
    </row>
    <row r="4973" spans="1:1" ht="13" x14ac:dyDescent="0.15">
      <c r="A4973" s="5"/>
    </row>
    <row r="4974" spans="1:1" ht="13" x14ac:dyDescent="0.15">
      <c r="A4974" s="5"/>
    </row>
    <row r="4975" spans="1:1" ht="13" x14ac:dyDescent="0.15">
      <c r="A4975" s="5"/>
    </row>
    <row r="4976" spans="1:1" ht="13" x14ac:dyDescent="0.15">
      <c r="A4976" s="5"/>
    </row>
    <row r="4977" spans="1:1" ht="13" x14ac:dyDescent="0.15">
      <c r="A4977" s="5"/>
    </row>
    <row r="4978" spans="1:1" ht="13" x14ac:dyDescent="0.15">
      <c r="A4978" s="5"/>
    </row>
    <row r="4979" spans="1:1" ht="13" x14ac:dyDescent="0.15">
      <c r="A4979" s="5"/>
    </row>
    <row r="4980" spans="1:1" ht="13" x14ac:dyDescent="0.15">
      <c r="A4980" s="5"/>
    </row>
    <row r="4981" spans="1:1" ht="13" x14ac:dyDescent="0.15">
      <c r="A4981" s="5"/>
    </row>
    <row r="4982" spans="1:1" ht="13" x14ac:dyDescent="0.15">
      <c r="A4982" s="5"/>
    </row>
    <row r="4983" spans="1:1" ht="13" x14ac:dyDescent="0.15">
      <c r="A4983" s="5"/>
    </row>
    <row r="4984" spans="1:1" ht="13" x14ac:dyDescent="0.15">
      <c r="A4984" s="5"/>
    </row>
    <row r="4985" spans="1:1" ht="13" x14ac:dyDescent="0.15">
      <c r="A4985" s="5"/>
    </row>
    <row r="4986" spans="1:1" ht="13" x14ac:dyDescent="0.15">
      <c r="A4986" s="5"/>
    </row>
    <row r="4987" spans="1:1" ht="13" x14ac:dyDescent="0.15">
      <c r="A4987" s="5"/>
    </row>
    <row r="4988" spans="1:1" ht="13" x14ac:dyDescent="0.15">
      <c r="A4988" s="5"/>
    </row>
    <row r="4989" spans="1:1" ht="13" x14ac:dyDescent="0.15">
      <c r="A4989" s="5"/>
    </row>
    <row r="4990" spans="1:1" ht="13" x14ac:dyDescent="0.15">
      <c r="A4990" s="5"/>
    </row>
    <row r="4991" spans="1:1" ht="13" x14ac:dyDescent="0.15">
      <c r="A4991" s="5"/>
    </row>
    <row r="4992" spans="1:1" ht="13" x14ac:dyDescent="0.15">
      <c r="A4992" s="5"/>
    </row>
    <row r="4993" spans="1:1" ht="13" x14ac:dyDescent="0.15">
      <c r="A4993" s="5"/>
    </row>
    <row r="4994" spans="1:1" ht="13" x14ac:dyDescent="0.15">
      <c r="A4994" s="5"/>
    </row>
    <row r="4995" spans="1:1" ht="13" x14ac:dyDescent="0.15">
      <c r="A4995" s="5"/>
    </row>
    <row r="4996" spans="1:1" ht="13" x14ac:dyDescent="0.15">
      <c r="A4996" s="5"/>
    </row>
    <row r="4997" spans="1:1" ht="13" x14ac:dyDescent="0.15">
      <c r="A4997" s="5"/>
    </row>
    <row r="4998" spans="1:1" ht="13" x14ac:dyDescent="0.15">
      <c r="A4998" s="5"/>
    </row>
    <row r="4999" spans="1:1" ht="13" x14ac:dyDescent="0.15">
      <c r="A4999" s="5"/>
    </row>
    <row r="5000" spans="1:1" ht="13" x14ac:dyDescent="0.15">
      <c r="A5000" s="5"/>
    </row>
    <row r="5001" spans="1:1" ht="13" x14ac:dyDescent="0.15">
      <c r="A5001" s="5"/>
    </row>
    <row r="5002" spans="1:1" ht="13" x14ac:dyDescent="0.15">
      <c r="A5002" s="5"/>
    </row>
    <row r="5003" spans="1:1" ht="13" x14ac:dyDescent="0.15">
      <c r="A5003" s="5"/>
    </row>
    <row r="5004" spans="1:1" ht="13" x14ac:dyDescent="0.15">
      <c r="A5004" s="5"/>
    </row>
    <row r="5005" spans="1:1" ht="13" x14ac:dyDescent="0.15">
      <c r="A5005" s="5"/>
    </row>
    <row r="5006" spans="1:1" ht="13" x14ac:dyDescent="0.15">
      <c r="A5006" s="5"/>
    </row>
    <row r="5007" spans="1:1" ht="13" x14ac:dyDescent="0.15">
      <c r="A5007" s="5"/>
    </row>
    <row r="5008" spans="1:1" ht="13" x14ac:dyDescent="0.15">
      <c r="A5008" s="5"/>
    </row>
    <row r="5009" spans="1:1" ht="13" x14ac:dyDescent="0.15">
      <c r="A5009" s="5"/>
    </row>
    <row r="5010" spans="1:1" ht="13" x14ac:dyDescent="0.15">
      <c r="A5010" s="5"/>
    </row>
    <row r="5011" spans="1:1" ht="13" x14ac:dyDescent="0.15">
      <c r="A5011" s="5"/>
    </row>
    <row r="5012" spans="1:1" ht="13" x14ac:dyDescent="0.15">
      <c r="A5012" s="5"/>
    </row>
    <row r="5013" spans="1:1" ht="13" x14ac:dyDescent="0.15">
      <c r="A5013" s="5"/>
    </row>
    <row r="5014" spans="1:1" ht="13" x14ac:dyDescent="0.15">
      <c r="A5014" s="5"/>
    </row>
    <row r="5015" spans="1:1" ht="13" x14ac:dyDescent="0.15">
      <c r="A5015" s="5"/>
    </row>
    <row r="5016" spans="1:1" ht="13" x14ac:dyDescent="0.15">
      <c r="A5016" s="5"/>
    </row>
    <row r="5017" spans="1:1" ht="13" x14ac:dyDescent="0.15">
      <c r="A5017" s="5"/>
    </row>
    <row r="5018" spans="1:1" ht="13" x14ac:dyDescent="0.15">
      <c r="A5018" s="5"/>
    </row>
    <row r="5019" spans="1:1" ht="13" x14ac:dyDescent="0.15">
      <c r="A5019" s="5"/>
    </row>
    <row r="5020" spans="1:1" ht="13" x14ac:dyDescent="0.15">
      <c r="A5020" s="5"/>
    </row>
    <row r="5021" spans="1:1" ht="13" x14ac:dyDescent="0.15">
      <c r="A5021" s="5"/>
    </row>
    <row r="5022" spans="1:1" ht="13" x14ac:dyDescent="0.15">
      <c r="A5022" s="5"/>
    </row>
    <row r="5023" spans="1:1" ht="13" x14ac:dyDescent="0.15">
      <c r="A5023" s="5"/>
    </row>
    <row r="5024" spans="1:1" ht="13" x14ac:dyDescent="0.15">
      <c r="A5024" s="5"/>
    </row>
    <row r="5025" spans="1:1" ht="13" x14ac:dyDescent="0.15">
      <c r="A5025" s="5"/>
    </row>
    <row r="5026" spans="1:1" ht="13" x14ac:dyDescent="0.15">
      <c r="A5026" s="5"/>
    </row>
    <row r="5027" spans="1:1" ht="13" x14ac:dyDescent="0.15">
      <c r="A5027" s="5"/>
    </row>
    <row r="5028" spans="1:1" ht="13" x14ac:dyDescent="0.15">
      <c r="A5028" s="5"/>
    </row>
    <row r="5029" spans="1:1" ht="13" x14ac:dyDescent="0.15">
      <c r="A5029" s="5"/>
    </row>
    <row r="5030" spans="1:1" ht="13" x14ac:dyDescent="0.15">
      <c r="A5030" s="5"/>
    </row>
    <row r="5031" spans="1:1" ht="13" x14ac:dyDescent="0.15">
      <c r="A5031" s="5"/>
    </row>
    <row r="5032" spans="1:1" ht="13" x14ac:dyDescent="0.15">
      <c r="A5032" s="5"/>
    </row>
    <row r="5033" spans="1:1" ht="13" x14ac:dyDescent="0.15">
      <c r="A5033" s="5"/>
    </row>
    <row r="5034" spans="1:1" ht="13" x14ac:dyDescent="0.15">
      <c r="A5034" s="5"/>
    </row>
    <row r="5035" spans="1:1" ht="13" x14ac:dyDescent="0.15">
      <c r="A5035" s="5"/>
    </row>
    <row r="5036" spans="1:1" ht="13" x14ac:dyDescent="0.15">
      <c r="A5036" s="5"/>
    </row>
    <row r="5037" spans="1:1" ht="13" x14ac:dyDescent="0.15">
      <c r="A5037" s="5"/>
    </row>
    <row r="5038" spans="1:1" ht="13" x14ac:dyDescent="0.15">
      <c r="A5038" s="5"/>
    </row>
    <row r="5039" spans="1:1" ht="13" x14ac:dyDescent="0.15">
      <c r="A5039" s="5"/>
    </row>
    <row r="5040" spans="1:1" ht="13" x14ac:dyDescent="0.15">
      <c r="A5040" s="5"/>
    </row>
    <row r="5041" spans="1:1" ht="13" x14ac:dyDescent="0.15">
      <c r="A5041" s="5"/>
    </row>
    <row r="5042" spans="1:1" ht="13" x14ac:dyDescent="0.15">
      <c r="A5042" s="5"/>
    </row>
    <row r="5043" spans="1:1" ht="13" x14ac:dyDescent="0.15">
      <c r="A5043" s="5"/>
    </row>
    <row r="5044" spans="1:1" ht="13" x14ac:dyDescent="0.15">
      <c r="A5044" s="5"/>
    </row>
    <row r="5045" spans="1:1" ht="13" x14ac:dyDescent="0.15">
      <c r="A5045" s="5"/>
    </row>
    <row r="5046" spans="1:1" ht="13" x14ac:dyDescent="0.15">
      <c r="A5046" s="5"/>
    </row>
    <row r="5047" spans="1:1" ht="13" x14ac:dyDescent="0.15">
      <c r="A5047" s="5"/>
    </row>
    <row r="5048" spans="1:1" ht="13" x14ac:dyDescent="0.15">
      <c r="A5048" s="5"/>
    </row>
    <row r="5049" spans="1:1" ht="13" x14ac:dyDescent="0.15">
      <c r="A5049" s="5"/>
    </row>
    <row r="5050" spans="1:1" ht="13" x14ac:dyDescent="0.15">
      <c r="A5050" s="5"/>
    </row>
    <row r="5051" spans="1:1" ht="13" x14ac:dyDescent="0.15">
      <c r="A5051" s="5"/>
    </row>
    <row r="5052" spans="1:1" ht="13" x14ac:dyDescent="0.15">
      <c r="A5052" s="5"/>
    </row>
    <row r="5053" spans="1:1" ht="13" x14ac:dyDescent="0.15">
      <c r="A5053" s="5"/>
    </row>
    <row r="5054" spans="1:1" ht="13" x14ac:dyDescent="0.15">
      <c r="A5054" s="5"/>
    </row>
    <row r="5055" spans="1:1" ht="13" x14ac:dyDescent="0.15">
      <c r="A5055" s="5"/>
    </row>
    <row r="5056" spans="1:1" ht="13" x14ac:dyDescent="0.15">
      <c r="A5056" s="5"/>
    </row>
    <row r="5057" spans="1:1" ht="13" x14ac:dyDescent="0.15">
      <c r="A5057" s="5"/>
    </row>
    <row r="5058" spans="1:1" ht="13" x14ac:dyDescent="0.15">
      <c r="A5058" s="5"/>
    </row>
    <row r="5059" spans="1:1" ht="13" x14ac:dyDescent="0.15">
      <c r="A5059" s="5"/>
    </row>
    <row r="5060" spans="1:1" ht="13" x14ac:dyDescent="0.15">
      <c r="A5060" s="5"/>
    </row>
    <row r="5061" spans="1:1" ht="13" x14ac:dyDescent="0.15">
      <c r="A5061" s="5"/>
    </row>
    <row r="5062" spans="1:1" ht="13" x14ac:dyDescent="0.15">
      <c r="A5062" s="5"/>
    </row>
    <row r="5063" spans="1:1" ht="13" x14ac:dyDescent="0.15">
      <c r="A5063" s="5"/>
    </row>
    <row r="5064" spans="1:1" ht="13" x14ac:dyDescent="0.15">
      <c r="A5064" s="5"/>
    </row>
    <row r="5065" spans="1:1" ht="13" x14ac:dyDescent="0.15">
      <c r="A5065" s="5"/>
    </row>
    <row r="5066" spans="1:1" ht="13" x14ac:dyDescent="0.15">
      <c r="A5066" s="5"/>
    </row>
    <row r="5067" spans="1:1" ht="13" x14ac:dyDescent="0.15">
      <c r="A5067" s="5"/>
    </row>
    <row r="5068" spans="1:1" ht="13" x14ac:dyDescent="0.15">
      <c r="A5068" s="5"/>
    </row>
    <row r="5069" spans="1:1" ht="13" x14ac:dyDescent="0.15">
      <c r="A5069" s="5"/>
    </row>
    <row r="5070" spans="1:1" ht="13" x14ac:dyDescent="0.15">
      <c r="A5070" s="5"/>
    </row>
    <row r="5071" spans="1:1" ht="13" x14ac:dyDescent="0.15">
      <c r="A5071" s="5"/>
    </row>
    <row r="5072" spans="1:1" ht="13" x14ac:dyDescent="0.15">
      <c r="A5072" s="5"/>
    </row>
    <row r="5073" spans="1:1" ht="13" x14ac:dyDescent="0.15">
      <c r="A5073" s="5"/>
    </row>
    <row r="5074" spans="1:1" ht="13" x14ac:dyDescent="0.15">
      <c r="A5074" s="5"/>
    </row>
    <row r="5075" spans="1:1" ht="13" x14ac:dyDescent="0.15">
      <c r="A5075" s="5"/>
    </row>
    <row r="5076" spans="1:1" ht="13" x14ac:dyDescent="0.15">
      <c r="A5076" s="5"/>
    </row>
    <row r="5077" spans="1:1" ht="13" x14ac:dyDescent="0.15">
      <c r="A5077" s="5"/>
    </row>
    <row r="5078" spans="1:1" ht="13" x14ac:dyDescent="0.15">
      <c r="A5078" s="5"/>
    </row>
    <row r="5079" spans="1:1" ht="13" x14ac:dyDescent="0.15">
      <c r="A5079" s="5"/>
    </row>
    <row r="5080" spans="1:1" ht="13" x14ac:dyDescent="0.15">
      <c r="A5080" s="5"/>
    </row>
    <row r="5081" spans="1:1" ht="13" x14ac:dyDescent="0.15">
      <c r="A5081" s="5"/>
    </row>
    <row r="5082" spans="1:1" ht="13" x14ac:dyDescent="0.15">
      <c r="A5082" s="5"/>
    </row>
    <row r="5083" spans="1:1" ht="13" x14ac:dyDescent="0.15">
      <c r="A5083" s="5"/>
    </row>
    <row r="5084" spans="1:1" ht="13" x14ac:dyDescent="0.15">
      <c r="A5084" s="5"/>
    </row>
    <row r="5085" spans="1:1" ht="13" x14ac:dyDescent="0.15">
      <c r="A5085" s="5"/>
    </row>
    <row r="5086" spans="1:1" ht="13" x14ac:dyDescent="0.15">
      <c r="A5086" s="5"/>
    </row>
    <row r="5087" spans="1:1" ht="13" x14ac:dyDescent="0.15">
      <c r="A5087" s="5"/>
    </row>
    <row r="5088" spans="1:1" ht="13" x14ac:dyDescent="0.15">
      <c r="A5088" s="5"/>
    </row>
    <row r="5089" spans="1:1" ht="13" x14ac:dyDescent="0.15">
      <c r="A5089" s="5"/>
    </row>
    <row r="5090" spans="1:1" ht="13" x14ac:dyDescent="0.15">
      <c r="A5090" s="5"/>
    </row>
    <row r="5091" spans="1:1" ht="13" x14ac:dyDescent="0.15">
      <c r="A5091" s="5"/>
    </row>
    <row r="5092" spans="1:1" ht="13" x14ac:dyDescent="0.15">
      <c r="A5092" s="5"/>
    </row>
    <row r="5093" spans="1:1" ht="13" x14ac:dyDescent="0.15">
      <c r="A5093" s="5"/>
    </row>
    <row r="5094" spans="1:1" ht="13" x14ac:dyDescent="0.15">
      <c r="A5094" s="5"/>
    </row>
    <row r="5095" spans="1:1" ht="13" x14ac:dyDescent="0.15">
      <c r="A5095" s="5"/>
    </row>
    <row r="5096" spans="1:1" ht="13" x14ac:dyDescent="0.15">
      <c r="A5096" s="5"/>
    </row>
    <row r="5097" spans="1:1" ht="13" x14ac:dyDescent="0.15">
      <c r="A5097" s="5"/>
    </row>
    <row r="5098" spans="1:1" ht="13" x14ac:dyDescent="0.15">
      <c r="A5098" s="5"/>
    </row>
    <row r="5099" spans="1:1" ht="13" x14ac:dyDescent="0.15">
      <c r="A5099" s="5"/>
    </row>
    <row r="5100" spans="1:1" ht="13" x14ac:dyDescent="0.15">
      <c r="A5100" s="5"/>
    </row>
    <row r="5101" spans="1:1" ht="13" x14ac:dyDescent="0.15">
      <c r="A5101" s="5"/>
    </row>
    <row r="5102" spans="1:1" ht="13" x14ac:dyDescent="0.15">
      <c r="A5102" s="5"/>
    </row>
    <row r="5103" spans="1:1" ht="13" x14ac:dyDescent="0.15">
      <c r="A5103" s="5"/>
    </row>
    <row r="5104" spans="1:1" ht="13" x14ac:dyDescent="0.15">
      <c r="A5104" s="5"/>
    </row>
    <row r="5105" spans="1:1" ht="13" x14ac:dyDescent="0.15">
      <c r="A5105" s="5"/>
    </row>
    <row r="5106" spans="1:1" ht="13" x14ac:dyDescent="0.15">
      <c r="A5106" s="5"/>
    </row>
    <row r="5107" spans="1:1" ht="13" x14ac:dyDescent="0.15">
      <c r="A5107" s="5"/>
    </row>
    <row r="5108" spans="1:1" ht="13" x14ac:dyDescent="0.15">
      <c r="A5108" s="5"/>
    </row>
    <row r="5109" spans="1:1" ht="13" x14ac:dyDescent="0.15">
      <c r="A5109" s="5"/>
    </row>
    <row r="5110" spans="1:1" ht="13" x14ac:dyDescent="0.15">
      <c r="A5110" s="5"/>
    </row>
    <row r="5111" spans="1:1" ht="13" x14ac:dyDescent="0.15">
      <c r="A5111" s="5"/>
    </row>
    <row r="5112" spans="1:1" ht="13" x14ac:dyDescent="0.15">
      <c r="A5112" s="5"/>
    </row>
    <row r="5113" spans="1:1" ht="13" x14ac:dyDescent="0.15">
      <c r="A5113" s="5"/>
    </row>
    <row r="5114" spans="1:1" ht="13" x14ac:dyDescent="0.15">
      <c r="A5114" s="5"/>
    </row>
    <row r="5115" spans="1:1" ht="13" x14ac:dyDescent="0.15">
      <c r="A5115" s="5"/>
    </row>
    <row r="5116" spans="1:1" ht="13" x14ac:dyDescent="0.15">
      <c r="A5116" s="5"/>
    </row>
    <row r="5117" spans="1:1" ht="13" x14ac:dyDescent="0.15">
      <c r="A5117" s="5"/>
    </row>
    <row r="5118" spans="1:1" ht="13" x14ac:dyDescent="0.15">
      <c r="A5118" s="5"/>
    </row>
    <row r="5119" spans="1:1" ht="13" x14ac:dyDescent="0.15">
      <c r="A5119" s="5"/>
    </row>
    <row r="5120" spans="1:1" ht="13" x14ac:dyDescent="0.15">
      <c r="A5120" s="5"/>
    </row>
    <row r="5121" spans="1:1" ht="13" x14ac:dyDescent="0.15">
      <c r="A5121" s="5"/>
    </row>
    <row r="5122" spans="1:1" ht="13" x14ac:dyDescent="0.15">
      <c r="A5122" s="5"/>
    </row>
    <row r="5123" spans="1:1" ht="13" x14ac:dyDescent="0.15">
      <c r="A5123" s="5"/>
    </row>
    <row r="5124" spans="1:1" ht="13" x14ac:dyDescent="0.15">
      <c r="A5124" s="5"/>
    </row>
    <row r="5125" spans="1:1" ht="13" x14ac:dyDescent="0.15">
      <c r="A5125" s="5"/>
    </row>
    <row r="5126" spans="1:1" ht="13" x14ac:dyDescent="0.15">
      <c r="A5126" s="5"/>
    </row>
    <row r="5127" spans="1:1" ht="13" x14ac:dyDescent="0.15">
      <c r="A5127" s="5"/>
    </row>
    <row r="5128" spans="1:1" ht="13" x14ac:dyDescent="0.15">
      <c r="A5128" s="5"/>
    </row>
    <row r="5129" spans="1:1" ht="13" x14ac:dyDescent="0.15">
      <c r="A5129" s="5"/>
    </row>
    <row r="5130" spans="1:1" ht="13" x14ac:dyDescent="0.15">
      <c r="A5130" s="5"/>
    </row>
    <row r="5131" spans="1:1" ht="13" x14ac:dyDescent="0.15">
      <c r="A5131" s="5"/>
    </row>
    <row r="5132" spans="1:1" ht="13" x14ac:dyDescent="0.15">
      <c r="A5132" s="5"/>
    </row>
    <row r="5133" spans="1:1" ht="13" x14ac:dyDescent="0.15">
      <c r="A5133" s="5"/>
    </row>
    <row r="5134" spans="1:1" ht="13" x14ac:dyDescent="0.15">
      <c r="A5134" s="5"/>
    </row>
    <row r="5135" spans="1:1" ht="13" x14ac:dyDescent="0.15">
      <c r="A5135" s="5"/>
    </row>
    <row r="5136" spans="1:1" ht="13" x14ac:dyDescent="0.15">
      <c r="A5136" s="5"/>
    </row>
    <row r="5137" spans="1:1" ht="13" x14ac:dyDescent="0.15">
      <c r="A5137" s="5"/>
    </row>
    <row r="5138" spans="1:1" ht="13" x14ac:dyDescent="0.15">
      <c r="A5138" s="5"/>
    </row>
    <row r="5139" spans="1:1" ht="13" x14ac:dyDescent="0.15">
      <c r="A5139" s="5"/>
    </row>
    <row r="5140" spans="1:1" ht="13" x14ac:dyDescent="0.15">
      <c r="A5140" s="5"/>
    </row>
    <row r="5141" spans="1:1" ht="13" x14ac:dyDescent="0.15">
      <c r="A5141" s="5"/>
    </row>
    <row r="5142" spans="1:1" ht="13" x14ac:dyDescent="0.15">
      <c r="A5142" s="5"/>
    </row>
    <row r="5143" spans="1:1" ht="13" x14ac:dyDescent="0.15">
      <c r="A5143" s="5"/>
    </row>
    <row r="5144" spans="1:1" ht="13" x14ac:dyDescent="0.15">
      <c r="A5144" s="5"/>
    </row>
    <row r="5145" spans="1:1" ht="13" x14ac:dyDescent="0.15">
      <c r="A5145" s="5"/>
    </row>
    <row r="5146" spans="1:1" ht="13" x14ac:dyDescent="0.15">
      <c r="A5146" s="5"/>
    </row>
    <row r="5147" spans="1:1" ht="13" x14ac:dyDescent="0.15">
      <c r="A5147" s="5"/>
    </row>
    <row r="5148" spans="1:1" ht="13" x14ac:dyDescent="0.15">
      <c r="A5148" s="5"/>
    </row>
    <row r="5149" spans="1:1" ht="13" x14ac:dyDescent="0.15">
      <c r="A5149" s="5"/>
    </row>
    <row r="5150" spans="1:1" ht="13" x14ac:dyDescent="0.15">
      <c r="A5150" s="5"/>
    </row>
    <row r="5151" spans="1:1" ht="13" x14ac:dyDescent="0.15">
      <c r="A5151" s="5"/>
    </row>
    <row r="5152" spans="1:1" ht="13" x14ac:dyDescent="0.15">
      <c r="A5152" s="5"/>
    </row>
    <row r="5153" spans="1:1" ht="13" x14ac:dyDescent="0.15">
      <c r="A5153" s="5"/>
    </row>
    <row r="5154" spans="1:1" ht="13" x14ac:dyDescent="0.15">
      <c r="A5154" s="5"/>
    </row>
    <row r="5155" spans="1:1" ht="13" x14ac:dyDescent="0.15">
      <c r="A5155" s="5"/>
    </row>
    <row r="5156" spans="1:1" ht="13" x14ac:dyDescent="0.15">
      <c r="A5156" s="5"/>
    </row>
    <row r="5157" spans="1:1" ht="13" x14ac:dyDescent="0.15">
      <c r="A5157" s="5"/>
    </row>
    <row r="5158" spans="1:1" ht="13" x14ac:dyDescent="0.15">
      <c r="A5158" s="5"/>
    </row>
    <row r="5159" spans="1:1" ht="13" x14ac:dyDescent="0.15">
      <c r="A5159" s="5"/>
    </row>
    <row r="5160" spans="1:1" ht="13" x14ac:dyDescent="0.15">
      <c r="A5160" s="5"/>
    </row>
    <row r="5161" spans="1:1" ht="13" x14ac:dyDescent="0.15">
      <c r="A5161" s="5"/>
    </row>
    <row r="5162" spans="1:1" ht="13" x14ac:dyDescent="0.15">
      <c r="A5162" s="5"/>
    </row>
    <row r="5163" spans="1:1" ht="13" x14ac:dyDescent="0.15">
      <c r="A5163" s="5"/>
    </row>
    <row r="5164" spans="1:1" ht="13" x14ac:dyDescent="0.15">
      <c r="A5164" s="5"/>
    </row>
    <row r="5165" spans="1:1" ht="13" x14ac:dyDescent="0.15">
      <c r="A5165" s="5"/>
    </row>
    <row r="5166" spans="1:1" ht="13" x14ac:dyDescent="0.15">
      <c r="A5166" s="5"/>
    </row>
    <row r="5167" spans="1:1" ht="13" x14ac:dyDescent="0.15">
      <c r="A5167" s="5"/>
    </row>
    <row r="5168" spans="1:1" ht="13" x14ac:dyDescent="0.15">
      <c r="A5168" s="5"/>
    </row>
    <row r="5169" spans="1:1" ht="13" x14ac:dyDescent="0.15">
      <c r="A5169" s="5"/>
    </row>
    <row r="5170" spans="1:1" ht="13" x14ac:dyDescent="0.15">
      <c r="A5170" s="5"/>
    </row>
    <row r="5171" spans="1:1" ht="13" x14ac:dyDescent="0.15">
      <c r="A5171" s="5"/>
    </row>
    <row r="5172" spans="1:1" ht="13" x14ac:dyDescent="0.15">
      <c r="A5172" s="5"/>
    </row>
    <row r="5173" spans="1:1" ht="13" x14ac:dyDescent="0.15">
      <c r="A5173" s="5"/>
    </row>
    <row r="5174" spans="1:1" ht="13" x14ac:dyDescent="0.15">
      <c r="A5174" s="5"/>
    </row>
    <row r="5175" spans="1:1" ht="13" x14ac:dyDescent="0.15">
      <c r="A5175" s="5"/>
    </row>
    <row r="5176" spans="1:1" ht="13" x14ac:dyDescent="0.15">
      <c r="A5176" s="5"/>
    </row>
    <row r="5177" spans="1:1" ht="13" x14ac:dyDescent="0.15">
      <c r="A5177" s="5"/>
    </row>
    <row r="5178" spans="1:1" ht="13" x14ac:dyDescent="0.15">
      <c r="A5178" s="5"/>
    </row>
    <row r="5179" spans="1:1" ht="13" x14ac:dyDescent="0.15">
      <c r="A5179" s="5"/>
    </row>
    <row r="5180" spans="1:1" ht="13" x14ac:dyDescent="0.15">
      <c r="A5180" s="5"/>
    </row>
    <row r="5181" spans="1:1" ht="13" x14ac:dyDescent="0.15">
      <c r="A5181" s="5"/>
    </row>
    <row r="5182" spans="1:1" ht="13" x14ac:dyDescent="0.15">
      <c r="A5182" s="5"/>
    </row>
    <row r="5183" spans="1:1" ht="13" x14ac:dyDescent="0.15">
      <c r="A5183" s="5"/>
    </row>
    <row r="5184" spans="1:1" ht="13" x14ac:dyDescent="0.15">
      <c r="A5184" s="5"/>
    </row>
    <row r="5185" spans="1:1" ht="13" x14ac:dyDescent="0.15">
      <c r="A5185" s="5"/>
    </row>
    <row r="5186" spans="1:1" ht="13" x14ac:dyDescent="0.15">
      <c r="A5186" s="5"/>
    </row>
    <row r="5187" spans="1:1" ht="13" x14ac:dyDescent="0.15">
      <c r="A5187" s="5"/>
    </row>
    <row r="5188" spans="1:1" ht="13" x14ac:dyDescent="0.15">
      <c r="A5188" s="5"/>
    </row>
    <row r="5189" spans="1:1" ht="13" x14ac:dyDescent="0.15">
      <c r="A5189" s="5"/>
    </row>
    <row r="5190" spans="1:1" ht="13" x14ac:dyDescent="0.15">
      <c r="A5190" s="5"/>
    </row>
    <row r="5191" spans="1:1" ht="13" x14ac:dyDescent="0.15">
      <c r="A5191" s="5"/>
    </row>
    <row r="5192" spans="1:1" ht="13" x14ac:dyDescent="0.15">
      <c r="A5192" s="5"/>
    </row>
    <row r="5193" spans="1:1" ht="13" x14ac:dyDescent="0.15">
      <c r="A5193" s="5"/>
    </row>
    <row r="5194" spans="1:1" ht="13" x14ac:dyDescent="0.15">
      <c r="A5194" s="5"/>
    </row>
    <row r="5195" spans="1:1" ht="13" x14ac:dyDescent="0.15">
      <c r="A5195" s="5"/>
    </row>
    <row r="5196" spans="1:1" ht="13" x14ac:dyDescent="0.15">
      <c r="A5196" s="5"/>
    </row>
    <row r="5197" spans="1:1" ht="13" x14ac:dyDescent="0.15">
      <c r="A5197" s="5"/>
    </row>
    <row r="5198" spans="1:1" ht="13" x14ac:dyDescent="0.15">
      <c r="A5198" s="5"/>
    </row>
    <row r="5199" spans="1:1" ht="13" x14ac:dyDescent="0.15">
      <c r="A5199" s="5"/>
    </row>
    <row r="5200" spans="1:1" ht="13" x14ac:dyDescent="0.15">
      <c r="A5200" s="5"/>
    </row>
    <row r="5201" spans="1:1" ht="13" x14ac:dyDescent="0.15">
      <c r="A5201" s="5"/>
    </row>
    <row r="5202" spans="1:1" ht="13" x14ac:dyDescent="0.15">
      <c r="A5202" s="5"/>
    </row>
    <row r="5203" spans="1:1" ht="13" x14ac:dyDescent="0.15">
      <c r="A5203" s="5"/>
    </row>
    <row r="5204" spans="1:1" ht="13" x14ac:dyDescent="0.15">
      <c r="A5204" s="5"/>
    </row>
    <row r="5205" spans="1:1" ht="13" x14ac:dyDescent="0.15">
      <c r="A5205" s="5"/>
    </row>
    <row r="5206" spans="1:1" ht="13" x14ac:dyDescent="0.15">
      <c r="A5206" s="5"/>
    </row>
    <row r="5207" spans="1:1" ht="13" x14ac:dyDescent="0.15">
      <c r="A5207" s="5"/>
    </row>
    <row r="5208" spans="1:1" ht="13" x14ac:dyDescent="0.15">
      <c r="A5208" s="5"/>
    </row>
    <row r="5209" spans="1:1" ht="13" x14ac:dyDescent="0.15">
      <c r="A5209" s="5"/>
    </row>
    <row r="5210" spans="1:1" ht="13" x14ac:dyDescent="0.15">
      <c r="A5210" s="5"/>
    </row>
    <row r="5211" spans="1:1" ht="13" x14ac:dyDescent="0.15">
      <c r="A5211" s="5"/>
    </row>
    <row r="5212" spans="1:1" ht="13" x14ac:dyDescent="0.15">
      <c r="A5212" s="5"/>
    </row>
    <row r="5213" spans="1:1" ht="13" x14ac:dyDescent="0.15">
      <c r="A5213" s="5"/>
    </row>
    <row r="5214" spans="1:1" ht="13" x14ac:dyDescent="0.15">
      <c r="A5214" s="5"/>
    </row>
    <row r="5215" spans="1:1" ht="13" x14ac:dyDescent="0.15">
      <c r="A5215" s="5"/>
    </row>
    <row r="5216" spans="1:1" ht="13" x14ac:dyDescent="0.15">
      <c r="A5216" s="5"/>
    </row>
    <row r="5217" spans="1:1" ht="13" x14ac:dyDescent="0.15">
      <c r="A5217" s="5"/>
    </row>
    <row r="5218" spans="1:1" ht="13" x14ac:dyDescent="0.15">
      <c r="A5218" s="5"/>
    </row>
    <row r="5219" spans="1:1" ht="13" x14ac:dyDescent="0.15">
      <c r="A5219" s="5"/>
    </row>
    <row r="5220" spans="1:1" ht="13" x14ac:dyDescent="0.15">
      <c r="A5220" s="5"/>
    </row>
    <row r="5221" spans="1:1" ht="13" x14ac:dyDescent="0.15">
      <c r="A5221" s="5"/>
    </row>
    <row r="5222" spans="1:1" ht="13" x14ac:dyDescent="0.15">
      <c r="A5222" s="5"/>
    </row>
    <row r="5223" spans="1:1" ht="13" x14ac:dyDescent="0.15">
      <c r="A5223" s="5"/>
    </row>
    <row r="5224" spans="1:1" ht="13" x14ac:dyDescent="0.15">
      <c r="A5224" s="5"/>
    </row>
    <row r="5225" spans="1:1" ht="13" x14ac:dyDescent="0.15">
      <c r="A5225" s="5"/>
    </row>
    <row r="5226" spans="1:1" ht="13" x14ac:dyDescent="0.15">
      <c r="A5226" s="5"/>
    </row>
    <row r="5227" spans="1:1" ht="13" x14ac:dyDescent="0.15">
      <c r="A5227" s="5"/>
    </row>
    <row r="5228" spans="1:1" ht="13" x14ac:dyDescent="0.15">
      <c r="A5228" s="5"/>
    </row>
    <row r="5229" spans="1:1" ht="13" x14ac:dyDescent="0.15">
      <c r="A5229" s="5"/>
    </row>
    <row r="5230" spans="1:1" ht="13" x14ac:dyDescent="0.15">
      <c r="A5230" s="5"/>
    </row>
    <row r="5231" spans="1:1" ht="13" x14ac:dyDescent="0.15">
      <c r="A5231" s="5"/>
    </row>
    <row r="5232" spans="1:1" ht="13" x14ac:dyDescent="0.15">
      <c r="A5232" s="5"/>
    </row>
    <row r="5233" spans="1:1" ht="13" x14ac:dyDescent="0.15">
      <c r="A5233" s="5"/>
    </row>
    <row r="5234" spans="1:1" ht="13" x14ac:dyDescent="0.15">
      <c r="A5234" s="5"/>
    </row>
    <row r="5235" spans="1:1" ht="13" x14ac:dyDescent="0.15">
      <c r="A5235" s="5"/>
    </row>
    <row r="5236" spans="1:1" ht="13" x14ac:dyDescent="0.15">
      <c r="A5236" s="5"/>
    </row>
    <row r="5237" spans="1:1" ht="13" x14ac:dyDescent="0.15">
      <c r="A5237" s="5"/>
    </row>
    <row r="5238" spans="1:1" ht="13" x14ac:dyDescent="0.15">
      <c r="A5238" s="5"/>
    </row>
    <row r="5239" spans="1:1" ht="13" x14ac:dyDescent="0.15">
      <c r="A5239" s="5"/>
    </row>
    <row r="5240" spans="1:1" ht="13" x14ac:dyDescent="0.15">
      <c r="A5240" s="5"/>
    </row>
    <row r="5241" spans="1:1" ht="13" x14ac:dyDescent="0.15">
      <c r="A5241" s="5"/>
    </row>
    <row r="5242" spans="1:1" ht="13" x14ac:dyDescent="0.15">
      <c r="A5242" s="5"/>
    </row>
    <row r="5243" spans="1:1" ht="13" x14ac:dyDescent="0.15">
      <c r="A5243" s="5"/>
    </row>
    <row r="5244" spans="1:1" ht="13" x14ac:dyDescent="0.15">
      <c r="A5244" s="5"/>
    </row>
    <row r="5245" spans="1:1" ht="13" x14ac:dyDescent="0.15">
      <c r="A5245" s="5"/>
    </row>
    <row r="5246" spans="1:1" ht="13" x14ac:dyDescent="0.15">
      <c r="A5246" s="5"/>
    </row>
    <row r="5247" spans="1:1" ht="13" x14ac:dyDescent="0.15">
      <c r="A5247" s="5"/>
    </row>
    <row r="5248" spans="1:1" ht="13" x14ac:dyDescent="0.15">
      <c r="A5248" s="5"/>
    </row>
    <row r="5249" spans="1:1" ht="13" x14ac:dyDescent="0.15">
      <c r="A5249" s="5"/>
    </row>
    <row r="5250" spans="1:1" ht="13" x14ac:dyDescent="0.15">
      <c r="A5250" s="5"/>
    </row>
    <row r="5251" spans="1:1" ht="13" x14ac:dyDescent="0.15">
      <c r="A5251" s="5"/>
    </row>
    <row r="5252" spans="1:1" ht="13" x14ac:dyDescent="0.15">
      <c r="A5252" s="5"/>
    </row>
    <row r="5253" spans="1:1" ht="13" x14ac:dyDescent="0.15">
      <c r="A5253" s="5"/>
    </row>
    <row r="5254" spans="1:1" ht="13" x14ac:dyDescent="0.15">
      <c r="A5254" s="5"/>
    </row>
    <row r="5255" spans="1:1" ht="13" x14ac:dyDescent="0.15">
      <c r="A5255" s="5"/>
    </row>
    <row r="5256" spans="1:1" ht="13" x14ac:dyDescent="0.15">
      <c r="A5256" s="5"/>
    </row>
    <row r="5257" spans="1:1" ht="13" x14ac:dyDescent="0.15">
      <c r="A5257" s="5"/>
    </row>
    <row r="5258" spans="1:1" ht="13" x14ac:dyDescent="0.15">
      <c r="A5258" s="5"/>
    </row>
    <row r="5259" spans="1:1" ht="13" x14ac:dyDescent="0.15">
      <c r="A5259" s="5"/>
    </row>
    <row r="5260" spans="1:1" ht="13" x14ac:dyDescent="0.15">
      <c r="A5260" s="5"/>
    </row>
    <row r="5261" spans="1:1" ht="13" x14ac:dyDescent="0.15">
      <c r="A5261" s="5"/>
    </row>
    <row r="5262" spans="1:1" ht="13" x14ac:dyDescent="0.15">
      <c r="A5262" s="5"/>
    </row>
    <row r="5263" spans="1:1" ht="13" x14ac:dyDescent="0.15">
      <c r="A5263" s="5"/>
    </row>
    <row r="5264" spans="1:1" ht="13" x14ac:dyDescent="0.15">
      <c r="A5264" s="5"/>
    </row>
    <row r="5265" spans="1:1" ht="13" x14ac:dyDescent="0.15">
      <c r="A5265" s="5"/>
    </row>
    <row r="5266" spans="1:1" ht="13" x14ac:dyDescent="0.15">
      <c r="A5266" s="5"/>
    </row>
    <row r="5267" spans="1:1" ht="13" x14ac:dyDescent="0.15">
      <c r="A5267" s="5"/>
    </row>
    <row r="5268" spans="1:1" ht="13" x14ac:dyDescent="0.15">
      <c r="A5268" s="5"/>
    </row>
    <row r="5269" spans="1:1" ht="13" x14ac:dyDescent="0.15">
      <c r="A5269" s="5"/>
    </row>
    <row r="5270" spans="1:1" ht="13" x14ac:dyDescent="0.15">
      <c r="A5270" s="5"/>
    </row>
    <row r="5271" spans="1:1" ht="13" x14ac:dyDescent="0.15">
      <c r="A5271" s="5"/>
    </row>
    <row r="5272" spans="1:1" ht="13" x14ac:dyDescent="0.15">
      <c r="A5272" s="5"/>
    </row>
    <row r="5273" spans="1:1" ht="13" x14ac:dyDescent="0.15">
      <c r="A5273" s="5"/>
    </row>
    <row r="5274" spans="1:1" ht="13" x14ac:dyDescent="0.15">
      <c r="A5274" s="5"/>
    </row>
    <row r="5275" spans="1:1" ht="13" x14ac:dyDescent="0.15">
      <c r="A5275" s="5"/>
    </row>
    <row r="5276" spans="1:1" ht="13" x14ac:dyDescent="0.15">
      <c r="A5276" s="5"/>
    </row>
    <row r="5277" spans="1:1" ht="13" x14ac:dyDescent="0.15">
      <c r="A5277" s="5"/>
    </row>
    <row r="5278" spans="1:1" ht="13" x14ac:dyDescent="0.15">
      <c r="A5278" s="5"/>
    </row>
    <row r="5279" spans="1:1" ht="13" x14ac:dyDescent="0.15">
      <c r="A5279" s="5"/>
    </row>
    <row r="5280" spans="1:1" ht="13" x14ac:dyDescent="0.15">
      <c r="A5280" s="5"/>
    </row>
    <row r="5281" spans="1:1" ht="13" x14ac:dyDescent="0.15">
      <c r="A5281" s="5"/>
    </row>
    <row r="5282" spans="1:1" ht="13" x14ac:dyDescent="0.15">
      <c r="A5282" s="5"/>
    </row>
    <row r="5283" spans="1:1" ht="13" x14ac:dyDescent="0.15">
      <c r="A5283" s="5"/>
    </row>
    <row r="5284" spans="1:1" ht="13" x14ac:dyDescent="0.15">
      <c r="A5284" s="5"/>
    </row>
    <row r="5285" spans="1:1" ht="13" x14ac:dyDescent="0.15">
      <c r="A5285" s="5"/>
    </row>
    <row r="5286" spans="1:1" ht="13" x14ac:dyDescent="0.15">
      <c r="A5286" s="5"/>
    </row>
    <row r="5287" spans="1:1" ht="13" x14ac:dyDescent="0.15">
      <c r="A5287" s="5"/>
    </row>
    <row r="5288" spans="1:1" ht="13" x14ac:dyDescent="0.15">
      <c r="A5288" s="5"/>
    </row>
    <row r="5289" spans="1:1" ht="13" x14ac:dyDescent="0.15">
      <c r="A5289" s="5"/>
    </row>
    <row r="5290" spans="1:1" ht="13" x14ac:dyDescent="0.15">
      <c r="A5290" s="5"/>
    </row>
    <row r="5291" spans="1:1" ht="13" x14ac:dyDescent="0.15">
      <c r="A5291" s="5"/>
    </row>
    <row r="5292" spans="1:1" ht="13" x14ac:dyDescent="0.15">
      <c r="A5292" s="5"/>
    </row>
    <row r="5293" spans="1:1" ht="13" x14ac:dyDescent="0.15">
      <c r="A5293" s="5"/>
    </row>
    <row r="5294" spans="1:1" ht="13" x14ac:dyDescent="0.15">
      <c r="A5294" s="5"/>
    </row>
    <row r="5295" spans="1:1" ht="13" x14ac:dyDescent="0.15">
      <c r="A5295" s="5"/>
    </row>
    <row r="5296" spans="1:1" ht="13" x14ac:dyDescent="0.15">
      <c r="A5296" s="5"/>
    </row>
    <row r="5297" spans="1:1" ht="13" x14ac:dyDescent="0.15">
      <c r="A5297" s="5"/>
    </row>
    <row r="5298" spans="1:1" ht="13" x14ac:dyDescent="0.15">
      <c r="A5298" s="5"/>
    </row>
    <row r="5299" spans="1:1" ht="13" x14ac:dyDescent="0.15">
      <c r="A5299" s="5"/>
    </row>
    <row r="5300" spans="1:1" ht="13" x14ac:dyDescent="0.15">
      <c r="A5300" s="5"/>
    </row>
    <row r="5301" spans="1:1" ht="13" x14ac:dyDescent="0.15">
      <c r="A5301" s="5"/>
    </row>
    <row r="5302" spans="1:1" ht="13" x14ac:dyDescent="0.15">
      <c r="A5302" s="5"/>
    </row>
    <row r="5303" spans="1:1" ht="13" x14ac:dyDescent="0.15">
      <c r="A5303" s="5"/>
    </row>
    <row r="5304" spans="1:1" ht="13" x14ac:dyDescent="0.15">
      <c r="A5304" s="5"/>
    </row>
    <row r="5305" spans="1:1" ht="13" x14ac:dyDescent="0.15">
      <c r="A5305" s="5"/>
    </row>
    <row r="5306" spans="1:1" ht="13" x14ac:dyDescent="0.15">
      <c r="A5306" s="5"/>
    </row>
    <row r="5307" spans="1:1" ht="13" x14ac:dyDescent="0.15">
      <c r="A5307" s="5"/>
    </row>
    <row r="5308" spans="1:1" ht="13" x14ac:dyDescent="0.15">
      <c r="A5308" s="5"/>
    </row>
    <row r="5309" spans="1:1" ht="13" x14ac:dyDescent="0.15">
      <c r="A5309" s="5"/>
    </row>
    <row r="5310" spans="1:1" ht="13" x14ac:dyDescent="0.15">
      <c r="A5310" s="5"/>
    </row>
    <row r="5311" spans="1:1" ht="13" x14ac:dyDescent="0.15">
      <c r="A5311" s="5"/>
    </row>
    <row r="5312" spans="1:1" ht="13" x14ac:dyDescent="0.15">
      <c r="A5312" s="5"/>
    </row>
    <row r="5313" spans="1:1" ht="13" x14ac:dyDescent="0.15">
      <c r="A5313" s="5"/>
    </row>
    <row r="5314" spans="1:1" ht="13" x14ac:dyDescent="0.15">
      <c r="A5314" s="5"/>
    </row>
    <row r="5315" spans="1:1" ht="13" x14ac:dyDescent="0.15">
      <c r="A5315" s="5"/>
    </row>
    <row r="5316" spans="1:1" ht="13" x14ac:dyDescent="0.15">
      <c r="A5316" s="5"/>
    </row>
    <row r="5317" spans="1:1" ht="13" x14ac:dyDescent="0.15">
      <c r="A5317" s="5"/>
    </row>
    <row r="5318" spans="1:1" ht="13" x14ac:dyDescent="0.15">
      <c r="A5318" s="5"/>
    </row>
    <row r="5319" spans="1:1" ht="13" x14ac:dyDescent="0.15">
      <c r="A5319" s="5"/>
    </row>
    <row r="5320" spans="1:1" ht="13" x14ac:dyDescent="0.15">
      <c r="A5320" s="5"/>
    </row>
    <row r="5321" spans="1:1" ht="13" x14ac:dyDescent="0.15">
      <c r="A5321" s="5"/>
    </row>
    <row r="5322" spans="1:1" ht="13" x14ac:dyDescent="0.15">
      <c r="A5322" s="5"/>
    </row>
    <row r="5323" spans="1:1" ht="13" x14ac:dyDescent="0.15">
      <c r="A5323" s="5"/>
    </row>
    <row r="5324" spans="1:1" ht="13" x14ac:dyDescent="0.15">
      <c r="A5324" s="5"/>
    </row>
    <row r="5325" spans="1:1" ht="13" x14ac:dyDescent="0.15">
      <c r="A5325" s="5"/>
    </row>
    <row r="5326" spans="1:1" ht="13" x14ac:dyDescent="0.15">
      <c r="A5326" s="5"/>
    </row>
    <row r="5327" spans="1:1" ht="13" x14ac:dyDescent="0.15">
      <c r="A5327" s="5"/>
    </row>
    <row r="5328" spans="1:1" ht="13" x14ac:dyDescent="0.15">
      <c r="A5328" s="5"/>
    </row>
    <row r="5329" spans="1:1" ht="13" x14ac:dyDescent="0.15">
      <c r="A5329" s="5"/>
    </row>
    <row r="5330" spans="1:1" ht="13" x14ac:dyDescent="0.15">
      <c r="A5330" s="5"/>
    </row>
    <row r="5331" spans="1:1" ht="13" x14ac:dyDescent="0.15">
      <c r="A5331" s="5"/>
    </row>
    <row r="5332" spans="1:1" ht="13" x14ac:dyDescent="0.15">
      <c r="A5332" s="5"/>
    </row>
    <row r="5333" spans="1:1" ht="13" x14ac:dyDescent="0.15">
      <c r="A5333" s="5"/>
    </row>
    <row r="5334" spans="1:1" ht="13" x14ac:dyDescent="0.15">
      <c r="A5334" s="5"/>
    </row>
    <row r="5335" spans="1:1" ht="13" x14ac:dyDescent="0.15">
      <c r="A5335" s="5"/>
    </row>
    <row r="5336" spans="1:1" ht="13" x14ac:dyDescent="0.15">
      <c r="A5336" s="5"/>
    </row>
    <row r="5337" spans="1:1" ht="13" x14ac:dyDescent="0.15">
      <c r="A5337" s="5"/>
    </row>
    <row r="5338" spans="1:1" ht="13" x14ac:dyDescent="0.15">
      <c r="A5338" s="5"/>
    </row>
    <row r="5339" spans="1:1" ht="13" x14ac:dyDescent="0.15">
      <c r="A5339" s="5"/>
    </row>
    <row r="5340" spans="1:1" ht="13" x14ac:dyDescent="0.15">
      <c r="A5340" s="5"/>
    </row>
    <row r="5341" spans="1:1" ht="13" x14ac:dyDescent="0.15">
      <c r="A5341" s="5"/>
    </row>
    <row r="5342" spans="1:1" ht="13" x14ac:dyDescent="0.15">
      <c r="A5342" s="5"/>
    </row>
    <row r="5343" spans="1:1" ht="13" x14ac:dyDescent="0.15">
      <c r="A5343" s="5"/>
    </row>
    <row r="5344" spans="1:1" ht="13" x14ac:dyDescent="0.15">
      <c r="A5344" s="5"/>
    </row>
    <row r="5345" spans="1:1" ht="13" x14ac:dyDescent="0.15">
      <c r="A5345" s="5"/>
    </row>
    <row r="5346" spans="1:1" ht="13" x14ac:dyDescent="0.15">
      <c r="A5346" s="5"/>
    </row>
    <row r="5347" spans="1:1" ht="13" x14ac:dyDescent="0.15">
      <c r="A5347" s="5"/>
    </row>
    <row r="5348" spans="1:1" ht="13" x14ac:dyDescent="0.15">
      <c r="A5348" s="5"/>
    </row>
    <row r="5349" spans="1:1" ht="13" x14ac:dyDescent="0.15">
      <c r="A5349" s="5"/>
    </row>
    <row r="5350" spans="1:1" ht="13" x14ac:dyDescent="0.15">
      <c r="A5350" s="5"/>
    </row>
    <row r="5351" spans="1:1" ht="13" x14ac:dyDescent="0.15">
      <c r="A5351" s="5"/>
    </row>
    <row r="5352" spans="1:1" ht="13" x14ac:dyDescent="0.15">
      <c r="A5352" s="5"/>
    </row>
    <row r="5353" spans="1:1" ht="13" x14ac:dyDescent="0.15">
      <c r="A5353" s="5"/>
    </row>
    <row r="5354" spans="1:1" ht="13" x14ac:dyDescent="0.15">
      <c r="A5354" s="5"/>
    </row>
    <row r="5355" spans="1:1" ht="13" x14ac:dyDescent="0.15">
      <c r="A5355" s="5"/>
    </row>
    <row r="5356" spans="1:1" ht="13" x14ac:dyDescent="0.15">
      <c r="A5356" s="5"/>
    </row>
    <row r="5357" spans="1:1" ht="13" x14ac:dyDescent="0.15">
      <c r="A5357" s="5"/>
    </row>
    <row r="5358" spans="1:1" ht="13" x14ac:dyDescent="0.15">
      <c r="A5358" s="5"/>
    </row>
    <row r="5359" spans="1:1" ht="13" x14ac:dyDescent="0.15">
      <c r="A5359" s="5"/>
    </row>
    <row r="5360" spans="1:1" ht="13" x14ac:dyDescent="0.15">
      <c r="A5360" s="5"/>
    </row>
    <row r="5361" spans="1:1" ht="13" x14ac:dyDescent="0.15">
      <c r="A5361" s="5"/>
    </row>
    <row r="5362" spans="1:1" ht="13" x14ac:dyDescent="0.15">
      <c r="A5362" s="5"/>
    </row>
    <row r="5363" spans="1:1" ht="13" x14ac:dyDescent="0.15">
      <c r="A5363" s="5"/>
    </row>
    <row r="5364" spans="1:1" ht="13" x14ac:dyDescent="0.15">
      <c r="A5364" s="5"/>
    </row>
    <row r="5365" spans="1:1" ht="13" x14ac:dyDescent="0.15">
      <c r="A5365" s="5"/>
    </row>
    <row r="5366" spans="1:1" ht="13" x14ac:dyDescent="0.15">
      <c r="A5366" s="5"/>
    </row>
    <row r="5367" spans="1:1" ht="13" x14ac:dyDescent="0.15">
      <c r="A5367" s="5"/>
    </row>
    <row r="5368" spans="1:1" ht="13" x14ac:dyDescent="0.15">
      <c r="A5368" s="5"/>
    </row>
    <row r="5369" spans="1:1" ht="13" x14ac:dyDescent="0.15">
      <c r="A5369" s="5"/>
    </row>
    <row r="5370" spans="1:1" ht="13" x14ac:dyDescent="0.15">
      <c r="A5370" s="5"/>
    </row>
    <row r="5371" spans="1:1" ht="13" x14ac:dyDescent="0.15">
      <c r="A5371" s="5"/>
    </row>
    <row r="5372" spans="1:1" ht="13" x14ac:dyDescent="0.15">
      <c r="A5372" s="5"/>
    </row>
    <row r="5373" spans="1:1" ht="13" x14ac:dyDescent="0.15">
      <c r="A5373" s="5"/>
    </row>
    <row r="5374" spans="1:1" ht="13" x14ac:dyDescent="0.15">
      <c r="A5374" s="5"/>
    </row>
    <row r="5375" spans="1:1" ht="13" x14ac:dyDescent="0.15">
      <c r="A5375" s="5"/>
    </row>
    <row r="5376" spans="1:1" ht="13" x14ac:dyDescent="0.15">
      <c r="A5376" s="5"/>
    </row>
    <row r="5377" spans="1:1" ht="13" x14ac:dyDescent="0.15">
      <c r="A5377" s="5"/>
    </row>
    <row r="5378" spans="1:1" ht="13" x14ac:dyDescent="0.15">
      <c r="A5378" s="5"/>
    </row>
    <row r="5379" spans="1:1" ht="13" x14ac:dyDescent="0.15">
      <c r="A5379" s="5"/>
    </row>
    <row r="5380" spans="1:1" ht="13" x14ac:dyDescent="0.15">
      <c r="A5380" s="5"/>
    </row>
    <row r="5381" spans="1:1" ht="13" x14ac:dyDescent="0.15">
      <c r="A5381" s="5"/>
    </row>
    <row r="5382" spans="1:1" ht="13" x14ac:dyDescent="0.15">
      <c r="A5382" s="5"/>
    </row>
    <row r="5383" spans="1:1" ht="13" x14ac:dyDescent="0.15">
      <c r="A5383" s="5"/>
    </row>
    <row r="5384" spans="1:1" ht="13" x14ac:dyDescent="0.15">
      <c r="A5384" s="5"/>
    </row>
    <row r="5385" spans="1:1" ht="13" x14ac:dyDescent="0.15">
      <c r="A5385" s="5"/>
    </row>
    <row r="5386" spans="1:1" ht="13" x14ac:dyDescent="0.15">
      <c r="A5386" s="5"/>
    </row>
    <row r="5387" spans="1:1" ht="13" x14ac:dyDescent="0.15">
      <c r="A5387" s="5"/>
    </row>
    <row r="5388" spans="1:1" ht="13" x14ac:dyDescent="0.15">
      <c r="A5388" s="5"/>
    </row>
    <row r="5389" spans="1:1" ht="13" x14ac:dyDescent="0.15">
      <c r="A5389" s="5"/>
    </row>
    <row r="5390" spans="1:1" ht="13" x14ac:dyDescent="0.15">
      <c r="A5390" s="5"/>
    </row>
    <row r="5391" spans="1:1" ht="13" x14ac:dyDescent="0.15">
      <c r="A5391" s="5"/>
    </row>
    <row r="5392" spans="1:1" ht="13" x14ac:dyDescent="0.15">
      <c r="A5392" s="5"/>
    </row>
    <row r="5393" spans="1:1" ht="13" x14ac:dyDescent="0.15">
      <c r="A5393" s="5"/>
    </row>
    <row r="5394" spans="1:1" ht="13" x14ac:dyDescent="0.15">
      <c r="A5394" s="5"/>
    </row>
    <row r="5395" spans="1:1" ht="13" x14ac:dyDescent="0.15">
      <c r="A5395" s="5"/>
    </row>
    <row r="5396" spans="1:1" ht="13" x14ac:dyDescent="0.15">
      <c r="A5396" s="5"/>
    </row>
    <row r="5397" spans="1:1" ht="13" x14ac:dyDescent="0.15">
      <c r="A5397" s="5"/>
    </row>
    <row r="5398" spans="1:1" ht="13" x14ac:dyDescent="0.15">
      <c r="A5398" s="5"/>
    </row>
    <row r="5399" spans="1:1" ht="13" x14ac:dyDescent="0.15">
      <c r="A5399" s="5"/>
    </row>
    <row r="5400" spans="1:1" ht="13" x14ac:dyDescent="0.15">
      <c r="A5400" s="5"/>
    </row>
    <row r="5401" spans="1:1" ht="13" x14ac:dyDescent="0.15">
      <c r="A5401" s="5"/>
    </row>
    <row r="5402" spans="1:1" ht="13" x14ac:dyDescent="0.15">
      <c r="A5402" s="5"/>
    </row>
    <row r="5403" spans="1:1" ht="13" x14ac:dyDescent="0.15">
      <c r="A5403" s="5"/>
    </row>
    <row r="5404" spans="1:1" ht="13" x14ac:dyDescent="0.15">
      <c r="A5404" s="5"/>
    </row>
    <row r="5405" spans="1:1" ht="13" x14ac:dyDescent="0.15">
      <c r="A5405" s="5"/>
    </row>
    <row r="5406" spans="1:1" ht="13" x14ac:dyDescent="0.15">
      <c r="A5406" s="5"/>
    </row>
    <row r="5407" spans="1:1" ht="13" x14ac:dyDescent="0.15">
      <c r="A5407" s="5"/>
    </row>
    <row r="5408" spans="1:1" ht="13" x14ac:dyDescent="0.15">
      <c r="A5408" s="5"/>
    </row>
    <row r="5409" spans="1:1" ht="13" x14ac:dyDescent="0.15">
      <c r="A5409" s="5"/>
    </row>
    <row r="5410" spans="1:1" ht="13" x14ac:dyDescent="0.15">
      <c r="A5410" s="5"/>
    </row>
    <row r="5411" spans="1:1" ht="13" x14ac:dyDescent="0.15">
      <c r="A5411" s="5"/>
    </row>
    <row r="5412" spans="1:1" ht="13" x14ac:dyDescent="0.15">
      <c r="A5412" s="5"/>
    </row>
    <row r="5413" spans="1:1" ht="13" x14ac:dyDescent="0.15">
      <c r="A5413" s="5"/>
    </row>
    <row r="5414" spans="1:1" ht="13" x14ac:dyDescent="0.15">
      <c r="A5414" s="5"/>
    </row>
    <row r="5415" spans="1:1" ht="13" x14ac:dyDescent="0.15">
      <c r="A5415" s="5"/>
    </row>
    <row r="5416" spans="1:1" ht="13" x14ac:dyDescent="0.15">
      <c r="A5416" s="5"/>
    </row>
    <row r="5417" spans="1:1" ht="13" x14ac:dyDescent="0.15">
      <c r="A5417" s="5"/>
    </row>
    <row r="5418" spans="1:1" ht="13" x14ac:dyDescent="0.15">
      <c r="A5418" s="5"/>
    </row>
    <row r="5419" spans="1:1" ht="13" x14ac:dyDescent="0.15">
      <c r="A5419" s="5"/>
    </row>
    <row r="5420" spans="1:1" ht="13" x14ac:dyDescent="0.15">
      <c r="A5420" s="5"/>
    </row>
    <row r="5421" spans="1:1" ht="13" x14ac:dyDescent="0.15">
      <c r="A5421" s="5"/>
    </row>
    <row r="5422" spans="1:1" ht="13" x14ac:dyDescent="0.15">
      <c r="A5422" s="5"/>
    </row>
    <row r="5423" spans="1:1" ht="13" x14ac:dyDescent="0.15">
      <c r="A5423" s="5"/>
    </row>
    <row r="5424" spans="1:1" ht="13" x14ac:dyDescent="0.15">
      <c r="A5424" s="5"/>
    </row>
    <row r="5425" spans="1:1" ht="13" x14ac:dyDescent="0.15">
      <c r="A5425" s="5"/>
    </row>
    <row r="5426" spans="1:1" ht="13" x14ac:dyDescent="0.15">
      <c r="A5426" s="5"/>
    </row>
    <row r="5427" spans="1:1" ht="13" x14ac:dyDescent="0.15">
      <c r="A5427" s="5"/>
    </row>
    <row r="5428" spans="1:1" ht="13" x14ac:dyDescent="0.15">
      <c r="A5428" s="5"/>
    </row>
    <row r="5429" spans="1:1" ht="13" x14ac:dyDescent="0.15">
      <c r="A5429" s="5"/>
    </row>
    <row r="5430" spans="1:1" ht="13" x14ac:dyDescent="0.15">
      <c r="A5430" s="5"/>
    </row>
    <row r="5431" spans="1:1" ht="13" x14ac:dyDescent="0.15">
      <c r="A5431" s="5"/>
    </row>
    <row r="5432" spans="1:1" ht="13" x14ac:dyDescent="0.15">
      <c r="A5432" s="5"/>
    </row>
    <row r="5433" spans="1:1" ht="13" x14ac:dyDescent="0.15">
      <c r="A5433" s="5"/>
    </row>
    <row r="5434" spans="1:1" ht="13" x14ac:dyDescent="0.15">
      <c r="A5434" s="5"/>
    </row>
    <row r="5435" spans="1:1" ht="13" x14ac:dyDescent="0.15">
      <c r="A5435" s="5"/>
    </row>
    <row r="5436" spans="1:1" ht="13" x14ac:dyDescent="0.15">
      <c r="A5436" s="5"/>
    </row>
    <row r="5437" spans="1:1" ht="13" x14ac:dyDescent="0.15">
      <c r="A5437" s="5"/>
    </row>
    <row r="5438" spans="1:1" ht="13" x14ac:dyDescent="0.15">
      <c r="A5438" s="5"/>
    </row>
    <row r="5439" spans="1:1" ht="13" x14ac:dyDescent="0.15">
      <c r="A5439" s="5"/>
    </row>
    <row r="5440" spans="1:1" ht="13" x14ac:dyDescent="0.15">
      <c r="A5440" s="5"/>
    </row>
    <row r="5441" spans="1:1" ht="13" x14ac:dyDescent="0.15">
      <c r="A5441" s="5"/>
    </row>
    <row r="5442" spans="1:1" ht="13" x14ac:dyDescent="0.15">
      <c r="A5442" s="5"/>
    </row>
    <row r="5443" spans="1:1" ht="13" x14ac:dyDescent="0.15">
      <c r="A5443" s="5"/>
    </row>
    <row r="5444" spans="1:1" ht="13" x14ac:dyDescent="0.15">
      <c r="A5444" s="5"/>
    </row>
    <row r="5445" spans="1:1" ht="13" x14ac:dyDescent="0.15">
      <c r="A5445" s="5"/>
    </row>
    <row r="5446" spans="1:1" ht="13" x14ac:dyDescent="0.15">
      <c r="A5446" s="5"/>
    </row>
    <row r="5447" spans="1:1" ht="13" x14ac:dyDescent="0.15">
      <c r="A5447" s="5"/>
    </row>
    <row r="5448" spans="1:1" ht="13" x14ac:dyDescent="0.15">
      <c r="A5448" s="5"/>
    </row>
    <row r="5449" spans="1:1" ht="13" x14ac:dyDescent="0.15">
      <c r="A5449" s="5"/>
    </row>
    <row r="5450" spans="1:1" ht="13" x14ac:dyDescent="0.15">
      <c r="A5450" s="5"/>
    </row>
    <row r="5451" spans="1:1" ht="13" x14ac:dyDescent="0.15">
      <c r="A5451" s="5"/>
    </row>
    <row r="5452" spans="1:1" ht="13" x14ac:dyDescent="0.15">
      <c r="A5452" s="5"/>
    </row>
    <row r="5453" spans="1:1" ht="13" x14ac:dyDescent="0.15">
      <c r="A5453" s="5"/>
    </row>
    <row r="5454" spans="1:1" ht="13" x14ac:dyDescent="0.15">
      <c r="A5454" s="5"/>
    </row>
    <row r="5455" spans="1:1" ht="13" x14ac:dyDescent="0.15">
      <c r="A5455" s="5"/>
    </row>
    <row r="5456" spans="1:1" ht="13" x14ac:dyDescent="0.15">
      <c r="A5456" s="5"/>
    </row>
    <row r="5457" spans="1:1" ht="13" x14ac:dyDescent="0.15">
      <c r="A5457" s="5"/>
    </row>
    <row r="5458" spans="1:1" ht="13" x14ac:dyDescent="0.15">
      <c r="A5458" s="5"/>
    </row>
    <row r="5459" spans="1:1" ht="13" x14ac:dyDescent="0.15">
      <c r="A5459" s="5"/>
    </row>
    <row r="5460" spans="1:1" ht="13" x14ac:dyDescent="0.15">
      <c r="A5460" s="5"/>
    </row>
    <row r="5461" spans="1:1" ht="13" x14ac:dyDescent="0.15">
      <c r="A5461" s="5"/>
    </row>
    <row r="5462" spans="1:1" ht="13" x14ac:dyDescent="0.15">
      <c r="A5462" s="5"/>
    </row>
    <row r="5463" spans="1:1" ht="13" x14ac:dyDescent="0.15">
      <c r="A5463" s="5"/>
    </row>
    <row r="5464" spans="1:1" ht="13" x14ac:dyDescent="0.15">
      <c r="A5464" s="5"/>
    </row>
    <row r="5465" spans="1:1" ht="13" x14ac:dyDescent="0.15">
      <c r="A5465" s="5"/>
    </row>
    <row r="5466" spans="1:1" ht="13" x14ac:dyDescent="0.15">
      <c r="A5466" s="5"/>
    </row>
    <row r="5467" spans="1:1" ht="13" x14ac:dyDescent="0.15">
      <c r="A5467" s="5"/>
    </row>
    <row r="5468" spans="1:1" ht="13" x14ac:dyDescent="0.15">
      <c r="A5468" s="5"/>
    </row>
    <row r="5469" spans="1:1" ht="13" x14ac:dyDescent="0.15">
      <c r="A5469" s="5"/>
    </row>
    <row r="5470" spans="1:1" ht="13" x14ac:dyDescent="0.15">
      <c r="A5470" s="5"/>
    </row>
    <row r="5471" spans="1:1" ht="13" x14ac:dyDescent="0.15">
      <c r="A5471" s="5"/>
    </row>
    <row r="5472" spans="1:1" ht="13" x14ac:dyDescent="0.15">
      <c r="A5472" s="5"/>
    </row>
    <row r="5473" spans="1:1" ht="13" x14ac:dyDescent="0.15">
      <c r="A5473" s="5"/>
    </row>
    <row r="5474" spans="1:1" ht="13" x14ac:dyDescent="0.15">
      <c r="A5474" s="5"/>
    </row>
    <row r="5475" spans="1:1" ht="13" x14ac:dyDescent="0.15">
      <c r="A5475" s="5"/>
    </row>
    <row r="5476" spans="1:1" ht="13" x14ac:dyDescent="0.15">
      <c r="A5476" s="5"/>
    </row>
    <row r="5477" spans="1:1" ht="13" x14ac:dyDescent="0.15">
      <c r="A5477" s="5"/>
    </row>
    <row r="5478" spans="1:1" ht="13" x14ac:dyDescent="0.15">
      <c r="A5478" s="5"/>
    </row>
    <row r="5479" spans="1:1" ht="13" x14ac:dyDescent="0.15">
      <c r="A5479" s="5"/>
    </row>
    <row r="5480" spans="1:1" ht="13" x14ac:dyDescent="0.15">
      <c r="A5480" s="5"/>
    </row>
    <row r="5481" spans="1:1" ht="13" x14ac:dyDescent="0.15">
      <c r="A5481" s="5"/>
    </row>
    <row r="5482" spans="1:1" ht="13" x14ac:dyDescent="0.15">
      <c r="A5482" s="5"/>
    </row>
    <row r="5483" spans="1:1" ht="13" x14ac:dyDescent="0.15">
      <c r="A5483" s="5"/>
    </row>
    <row r="5484" spans="1:1" ht="13" x14ac:dyDescent="0.15">
      <c r="A5484" s="5"/>
    </row>
    <row r="5485" spans="1:1" ht="13" x14ac:dyDescent="0.15">
      <c r="A5485" s="5"/>
    </row>
    <row r="5486" spans="1:1" ht="13" x14ac:dyDescent="0.15">
      <c r="A5486" s="5"/>
    </row>
    <row r="5487" spans="1:1" ht="13" x14ac:dyDescent="0.15">
      <c r="A5487" s="5"/>
    </row>
    <row r="5488" spans="1:1" ht="13" x14ac:dyDescent="0.15">
      <c r="A5488" s="5"/>
    </row>
    <row r="5489" spans="1:1" ht="13" x14ac:dyDescent="0.15">
      <c r="A5489" s="5"/>
    </row>
    <row r="5490" spans="1:1" ht="13" x14ac:dyDescent="0.15">
      <c r="A5490" s="5"/>
    </row>
    <row r="5491" spans="1:1" ht="13" x14ac:dyDescent="0.15">
      <c r="A5491" s="5"/>
    </row>
    <row r="5492" spans="1:1" ht="13" x14ac:dyDescent="0.15">
      <c r="A5492" s="5"/>
    </row>
    <row r="5493" spans="1:1" ht="13" x14ac:dyDescent="0.15">
      <c r="A5493" s="5"/>
    </row>
    <row r="5494" spans="1:1" ht="13" x14ac:dyDescent="0.15">
      <c r="A5494" s="5"/>
    </row>
    <row r="5495" spans="1:1" ht="13" x14ac:dyDescent="0.15">
      <c r="A5495" s="5"/>
    </row>
    <row r="5496" spans="1:1" ht="13" x14ac:dyDescent="0.15">
      <c r="A5496" s="5"/>
    </row>
    <row r="5497" spans="1:1" ht="13" x14ac:dyDescent="0.15">
      <c r="A549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5497"/>
  <sheetViews>
    <sheetView tabSelected="1" workbookViewId="0">
      <selection sqref="A1:XFD1"/>
    </sheetView>
  </sheetViews>
  <sheetFormatPr baseColWidth="10" defaultColWidth="14.5" defaultRowHeight="15.75" customHeight="1" x14ac:dyDescent="0.15"/>
  <sheetData>
    <row r="1" spans="1:21" s="19" customFormat="1" ht="16" x14ac:dyDescent="0.2">
      <c r="A1" s="20" t="s">
        <v>3571</v>
      </c>
      <c r="B1" s="21"/>
      <c r="C1" s="22" t="s">
        <v>3572</v>
      </c>
      <c r="D1" s="22" t="s">
        <v>3573</v>
      </c>
      <c r="E1" s="22" t="s">
        <v>3574</v>
      </c>
      <c r="F1" s="23" t="s">
        <v>10619</v>
      </c>
      <c r="G1" s="21"/>
      <c r="H1" s="24" t="s">
        <v>3575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6" x14ac:dyDescent="0.2">
      <c r="A2" s="12" t="s">
        <v>3576</v>
      </c>
      <c r="B2" s="13"/>
      <c r="C2" t="e">
        <f t="shared" ref="C2:C3571" si="0">MATCH(A2,$F$2:$F$3600, 0)</f>
        <v>#N/A</v>
      </c>
      <c r="D2" t="b">
        <f t="shared" ref="D2:D3571" si="1">ISNUMBER(C2)</f>
        <v>0</v>
      </c>
      <c r="E2">
        <f t="shared" ref="E2:E3571" si="2">IF(D2 = TRUE, 1, 0)</f>
        <v>0</v>
      </c>
      <c r="F2" s="11" t="s">
        <v>3577</v>
      </c>
      <c r="H2">
        <f>SUM(E2:E3600)</f>
        <v>6</v>
      </c>
    </row>
    <row r="3" spans="1:21" ht="16" x14ac:dyDescent="0.2">
      <c r="A3" s="12" t="s">
        <v>3578</v>
      </c>
      <c r="B3" s="13"/>
      <c r="C3" t="e">
        <f t="shared" si="0"/>
        <v>#N/A</v>
      </c>
      <c r="D3" t="b">
        <f t="shared" si="1"/>
        <v>0</v>
      </c>
      <c r="E3">
        <f t="shared" si="2"/>
        <v>0</v>
      </c>
      <c r="F3" s="11" t="s">
        <v>3579</v>
      </c>
    </row>
    <row r="4" spans="1:21" ht="16" x14ac:dyDescent="0.2">
      <c r="A4" s="12" t="s">
        <v>3580</v>
      </c>
      <c r="B4" s="13"/>
      <c r="C4" t="e">
        <f t="shared" si="0"/>
        <v>#N/A</v>
      </c>
      <c r="D4" t="b">
        <f t="shared" si="1"/>
        <v>0</v>
      </c>
      <c r="E4">
        <f t="shared" si="2"/>
        <v>0</v>
      </c>
      <c r="F4" s="11" t="s">
        <v>3581</v>
      </c>
    </row>
    <row r="5" spans="1:21" ht="16" x14ac:dyDescent="0.2">
      <c r="A5" s="12" t="s">
        <v>3582</v>
      </c>
      <c r="B5" s="13"/>
      <c r="C5" t="e">
        <f t="shared" si="0"/>
        <v>#N/A</v>
      </c>
      <c r="D5" t="b">
        <f t="shared" si="1"/>
        <v>0</v>
      </c>
      <c r="E5">
        <f t="shared" si="2"/>
        <v>0</v>
      </c>
      <c r="F5" s="11" t="s">
        <v>3583</v>
      </c>
    </row>
    <row r="6" spans="1:21" ht="16" x14ac:dyDescent="0.2">
      <c r="A6" s="12" t="s">
        <v>3584</v>
      </c>
      <c r="B6" s="13"/>
      <c r="C6" t="e">
        <f t="shared" si="0"/>
        <v>#N/A</v>
      </c>
      <c r="D6" t="b">
        <f t="shared" si="1"/>
        <v>0</v>
      </c>
      <c r="E6">
        <f t="shared" si="2"/>
        <v>0</v>
      </c>
      <c r="F6" s="11" t="s">
        <v>3585</v>
      </c>
    </row>
    <row r="7" spans="1:21" ht="16" x14ac:dyDescent="0.2">
      <c r="A7" s="12" t="s">
        <v>3586</v>
      </c>
      <c r="B7" s="13"/>
      <c r="C7" t="e">
        <f t="shared" si="0"/>
        <v>#N/A</v>
      </c>
      <c r="D7" t="b">
        <f t="shared" si="1"/>
        <v>0</v>
      </c>
      <c r="E7">
        <f t="shared" si="2"/>
        <v>0</v>
      </c>
      <c r="F7" s="11" t="s">
        <v>3587</v>
      </c>
    </row>
    <row r="8" spans="1:21" ht="16" x14ac:dyDescent="0.2">
      <c r="A8" s="12" t="s">
        <v>3588</v>
      </c>
      <c r="B8" s="13"/>
      <c r="C8" t="e">
        <f t="shared" si="0"/>
        <v>#N/A</v>
      </c>
      <c r="D8" t="b">
        <f t="shared" si="1"/>
        <v>0</v>
      </c>
      <c r="E8">
        <f t="shared" si="2"/>
        <v>0</v>
      </c>
      <c r="F8" s="11" t="s">
        <v>3589</v>
      </c>
    </row>
    <row r="9" spans="1:21" ht="16" x14ac:dyDescent="0.2">
      <c r="A9" s="12" t="s">
        <v>3590</v>
      </c>
      <c r="B9" s="13"/>
      <c r="C9" t="e">
        <f t="shared" si="0"/>
        <v>#N/A</v>
      </c>
      <c r="D9" t="b">
        <f t="shared" si="1"/>
        <v>0</v>
      </c>
      <c r="E9">
        <f t="shared" si="2"/>
        <v>0</v>
      </c>
      <c r="F9" s="11" t="s">
        <v>3591</v>
      </c>
    </row>
    <row r="10" spans="1:21" ht="16" x14ac:dyDescent="0.2">
      <c r="A10" s="12" t="s">
        <v>3592</v>
      </c>
      <c r="B10" s="13"/>
      <c r="C10" t="e">
        <f t="shared" si="0"/>
        <v>#N/A</v>
      </c>
      <c r="D10" t="b">
        <f t="shared" si="1"/>
        <v>0</v>
      </c>
      <c r="E10">
        <f t="shared" si="2"/>
        <v>0</v>
      </c>
      <c r="F10" s="11" t="s">
        <v>3593</v>
      </c>
    </row>
    <row r="11" spans="1:21" ht="16" x14ac:dyDescent="0.2">
      <c r="A11" s="12" t="s">
        <v>3594</v>
      </c>
      <c r="B11" s="13"/>
      <c r="C11" t="e">
        <f t="shared" si="0"/>
        <v>#N/A</v>
      </c>
      <c r="D11" t="b">
        <f t="shared" si="1"/>
        <v>0</v>
      </c>
      <c r="E11">
        <f t="shared" si="2"/>
        <v>0</v>
      </c>
      <c r="F11" s="11" t="s">
        <v>3595</v>
      </c>
    </row>
    <row r="12" spans="1:21" ht="16" x14ac:dyDescent="0.2">
      <c r="A12" s="12" t="s">
        <v>3596</v>
      </c>
      <c r="B12" s="13"/>
      <c r="C12" t="e">
        <f t="shared" si="0"/>
        <v>#N/A</v>
      </c>
      <c r="D12" t="b">
        <f t="shared" si="1"/>
        <v>0</v>
      </c>
      <c r="E12">
        <f t="shared" si="2"/>
        <v>0</v>
      </c>
      <c r="F12" s="11" t="s">
        <v>3597</v>
      </c>
    </row>
    <row r="13" spans="1:21" ht="16" x14ac:dyDescent="0.2">
      <c r="A13" s="12" t="s">
        <v>3598</v>
      </c>
      <c r="B13" s="13"/>
      <c r="C13" t="e">
        <f t="shared" si="0"/>
        <v>#N/A</v>
      </c>
      <c r="D13" t="b">
        <f t="shared" si="1"/>
        <v>0</v>
      </c>
      <c r="E13">
        <f t="shared" si="2"/>
        <v>0</v>
      </c>
      <c r="F13" s="11" t="s">
        <v>3599</v>
      </c>
    </row>
    <row r="14" spans="1:21" ht="16" x14ac:dyDescent="0.2">
      <c r="A14" s="12" t="s">
        <v>3600</v>
      </c>
      <c r="B14" s="13"/>
      <c r="C14" t="e">
        <f t="shared" si="0"/>
        <v>#N/A</v>
      </c>
      <c r="D14" t="b">
        <f t="shared" si="1"/>
        <v>0</v>
      </c>
      <c r="E14">
        <f t="shared" si="2"/>
        <v>0</v>
      </c>
      <c r="F14" s="11" t="s">
        <v>3601</v>
      </c>
    </row>
    <row r="15" spans="1:21" ht="16" x14ac:dyDescent="0.2">
      <c r="A15" s="12">
        <v>1983</v>
      </c>
      <c r="B15" s="13"/>
      <c r="C15" t="e">
        <f t="shared" si="0"/>
        <v>#N/A</v>
      </c>
      <c r="D15" t="b">
        <f t="shared" si="1"/>
        <v>0</v>
      </c>
      <c r="E15">
        <f t="shared" si="2"/>
        <v>0</v>
      </c>
      <c r="F15" s="11" t="s">
        <v>3602</v>
      </c>
    </row>
    <row r="16" spans="1:21" ht="16" x14ac:dyDescent="0.2">
      <c r="A16" s="12">
        <v>1984</v>
      </c>
      <c r="B16" s="13"/>
      <c r="C16" t="e">
        <f t="shared" si="0"/>
        <v>#N/A</v>
      </c>
      <c r="D16" t="b">
        <f t="shared" si="1"/>
        <v>0</v>
      </c>
      <c r="E16">
        <f t="shared" si="2"/>
        <v>0</v>
      </c>
      <c r="F16" s="11" t="s">
        <v>3603</v>
      </c>
    </row>
    <row r="17" spans="1:6" ht="16" x14ac:dyDescent="0.2">
      <c r="A17" s="12" t="s">
        <v>3604</v>
      </c>
      <c r="B17" s="13"/>
      <c r="C17" t="e">
        <f t="shared" si="0"/>
        <v>#N/A</v>
      </c>
      <c r="D17" t="b">
        <f t="shared" si="1"/>
        <v>0</v>
      </c>
      <c r="E17">
        <f t="shared" si="2"/>
        <v>0</v>
      </c>
      <c r="F17" s="11" t="s">
        <v>3605</v>
      </c>
    </row>
    <row r="18" spans="1:6" ht="16" x14ac:dyDescent="0.2">
      <c r="A18" s="12" t="s">
        <v>3606</v>
      </c>
      <c r="B18" s="13"/>
      <c r="C18" t="e">
        <f t="shared" si="0"/>
        <v>#N/A</v>
      </c>
      <c r="D18" t="b">
        <f t="shared" si="1"/>
        <v>0</v>
      </c>
      <c r="E18">
        <f t="shared" si="2"/>
        <v>0</v>
      </c>
      <c r="F18" s="11" t="s">
        <v>3607</v>
      </c>
    </row>
    <row r="19" spans="1:6" ht="16" x14ac:dyDescent="0.2">
      <c r="A19" s="12" t="s">
        <v>3608</v>
      </c>
      <c r="B19" s="13"/>
      <c r="C19" t="e">
        <f t="shared" si="0"/>
        <v>#N/A</v>
      </c>
      <c r="D19" t="b">
        <f t="shared" si="1"/>
        <v>0</v>
      </c>
      <c r="E19">
        <f t="shared" si="2"/>
        <v>0</v>
      </c>
      <c r="F19" s="11" t="s">
        <v>3609</v>
      </c>
    </row>
    <row r="20" spans="1:6" ht="16" x14ac:dyDescent="0.2">
      <c r="A20" s="12">
        <v>24</v>
      </c>
      <c r="B20" s="13"/>
      <c r="C20" t="e">
        <f t="shared" si="0"/>
        <v>#N/A</v>
      </c>
      <c r="D20" t="b">
        <f t="shared" si="1"/>
        <v>0</v>
      </c>
      <c r="E20">
        <f t="shared" si="2"/>
        <v>0</v>
      </c>
      <c r="F20" s="11" t="s">
        <v>3610</v>
      </c>
    </row>
    <row r="21" spans="1:6" ht="16" x14ac:dyDescent="0.2">
      <c r="A21" s="12" t="s">
        <v>3611</v>
      </c>
      <c r="B21" s="13"/>
      <c r="C21" t="e">
        <f t="shared" si="0"/>
        <v>#N/A</v>
      </c>
      <c r="D21" t="b">
        <f t="shared" si="1"/>
        <v>0</v>
      </c>
      <c r="E21">
        <f t="shared" si="2"/>
        <v>0</v>
      </c>
      <c r="F21" s="11" t="s">
        <v>3612</v>
      </c>
    </row>
    <row r="22" spans="1:6" ht="16" x14ac:dyDescent="0.2">
      <c r="A22" s="12" t="s">
        <v>3613</v>
      </c>
      <c r="B22" s="13"/>
      <c r="C22" t="e">
        <f t="shared" si="0"/>
        <v>#N/A</v>
      </c>
      <c r="D22" t="b">
        <f t="shared" si="1"/>
        <v>0</v>
      </c>
      <c r="E22">
        <f t="shared" si="2"/>
        <v>0</v>
      </c>
      <c r="F22" s="11"/>
    </row>
    <row r="23" spans="1:6" ht="16" x14ac:dyDescent="0.2">
      <c r="A23" s="12" t="s">
        <v>3614</v>
      </c>
      <c r="B23" s="13"/>
      <c r="C23" t="e">
        <f t="shared" si="0"/>
        <v>#N/A</v>
      </c>
      <c r="D23" t="b">
        <f t="shared" si="1"/>
        <v>0</v>
      </c>
      <c r="E23">
        <f t="shared" si="2"/>
        <v>0</v>
      </c>
      <c r="F23" s="11"/>
    </row>
    <row r="24" spans="1:6" ht="16" x14ac:dyDescent="0.2">
      <c r="A24" s="12" t="s">
        <v>3615</v>
      </c>
      <c r="B24" s="13"/>
      <c r="C24" t="e">
        <f t="shared" si="0"/>
        <v>#N/A</v>
      </c>
      <c r="D24" t="b">
        <f t="shared" si="1"/>
        <v>0</v>
      </c>
      <c r="E24">
        <f t="shared" si="2"/>
        <v>0</v>
      </c>
      <c r="F24" s="11"/>
    </row>
    <row r="25" spans="1:6" ht="16" x14ac:dyDescent="0.2">
      <c r="A25" s="12" t="s">
        <v>3616</v>
      </c>
      <c r="B25" s="13"/>
      <c r="C25" t="e">
        <f t="shared" si="0"/>
        <v>#N/A</v>
      </c>
      <c r="D25" t="b">
        <f t="shared" si="1"/>
        <v>0</v>
      </c>
      <c r="E25">
        <f t="shared" si="2"/>
        <v>0</v>
      </c>
      <c r="F25" s="11"/>
    </row>
    <row r="26" spans="1:6" ht="16" x14ac:dyDescent="0.2">
      <c r="A26" s="12">
        <v>3</v>
      </c>
      <c r="B26" s="13"/>
      <c r="C26" t="e">
        <f t="shared" si="0"/>
        <v>#N/A</v>
      </c>
      <c r="D26" t="b">
        <f t="shared" si="1"/>
        <v>0</v>
      </c>
      <c r="E26">
        <f t="shared" si="2"/>
        <v>0</v>
      </c>
      <c r="F26" s="11"/>
    </row>
    <row r="27" spans="1:6" ht="16" x14ac:dyDescent="0.2">
      <c r="A27" s="12" t="s">
        <v>3617</v>
      </c>
      <c r="B27" s="13"/>
      <c r="C27" t="e">
        <f t="shared" si="0"/>
        <v>#N/A</v>
      </c>
      <c r="D27" t="b">
        <f t="shared" si="1"/>
        <v>0</v>
      </c>
      <c r="E27">
        <f t="shared" si="2"/>
        <v>0</v>
      </c>
      <c r="F27" s="11"/>
    </row>
    <row r="28" spans="1:6" ht="16" x14ac:dyDescent="0.2">
      <c r="A28" s="12" t="s">
        <v>3618</v>
      </c>
      <c r="B28" s="13"/>
      <c r="C28" t="e">
        <f t="shared" si="0"/>
        <v>#N/A</v>
      </c>
      <c r="D28" t="b">
        <f t="shared" si="1"/>
        <v>0</v>
      </c>
      <c r="E28">
        <f t="shared" si="2"/>
        <v>0</v>
      </c>
      <c r="F28" s="11"/>
    </row>
    <row r="29" spans="1:6" ht="16" x14ac:dyDescent="0.2">
      <c r="A29" s="12" t="s">
        <v>3619</v>
      </c>
      <c r="B29" s="13"/>
      <c r="C29" t="e">
        <f t="shared" si="0"/>
        <v>#N/A</v>
      </c>
      <c r="D29" t="b">
        <f t="shared" si="1"/>
        <v>0</v>
      </c>
      <c r="E29">
        <f t="shared" si="2"/>
        <v>0</v>
      </c>
      <c r="F29" s="11"/>
    </row>
    <row r="30" spans="1:6" ht="16" x14ac:dyDescent="0.2">
      <c r="A30" s="12" t="s">
        <v>3620</v>
      </c>
      <c r="B30" s="13"/>
      <c r="C30" t="e">
        <f t="shared" si="0"/>
        <v>#N/A</v>
      </c>
      <c r="D30" t="b">
        <f t="shared" si="1"/>
        <v>0</v>
      </c>
      <c r="E30">
        <f t="shared" si="2"/>
        <v>0</v>
      </c>
      <c r="F30" s="11"/>
    </row>
    <row r="31" spans="1:6" ht="16" x14ac:dyDescent="0.2">
      <c r="A31" s="12" t="s">
        <v>3621</v>
      </c>
      <c r="B31" s="13"/>
      <c r="C31" t="e">
        <f t="shared" si="0"/>
        <v>#N/A</v>
      </c>
      <c r="D31" t="b">
        <f t="shared" si="1"/>
        <v>0</v>
      </c>
      <c r="E31">
        <f t="shared" si="2"/>
        <v>0</v>
      </c>
      <c r="F31" s="11"/>
    </row>
    <row r="32" spans="1:6" ht="16" x14ac:dyDescent="0.2">
      <c r="A32" s="12" t="s">
        <v>3622</v>
      </c>
      <c r="B32" s="13"/>
      <c r="C32" t="e">
        <f t="shared" si="0"/>
        <v>#N/A</v>
      </c>
      <c r="D32" t="b">
        <f t="shared" si="1"/>
        <v>0</v>
      </c>
      <c r="E32">
        <f t="shared" si="2"/>
        <v>0</v>
      </c>
      <c r="F32" s="11"/>
    </row>
    <row r="33" spans="1:6" ht="16" x14ac:dyDescent="0.2">
      <c r="A33" s="12" t="s">
        <v>3623</v>
      </c>
      <c r="B33" s="13"/>
      <c r="C33" t="e">
        <f t="shared" si="0"/>
        <v>#N/A</v>
      </c>
      <c r="D33" t="b">
        <f t="shared" si="1"/>
        <v>0</v>
      </c>
      <c r="E33">
        <f t="shared" si="2"/>
        <v>0</v>
      </c>
      <c r="F33" s="11"/>
    </row>
    <row r="34" spans="1:6" ht="16" x14ac:dyDescent="0.2">
      <c r="A34" s="12" t="s">
        <v>3624</v>
      </c>
      <c r="B34" s="13"/>
      <c r="C34" t="e">
        <f t="shared" si="0"/>
        <v>#N/A</v>
      </c>
      <c r="D34" t="b">
        <f t="shared" si="1"/>
        <v>0</v>
      </c>
      <c r="E34">
        <f t="shared" si="2"/>
        <v>0</v>
      </c>
      <c r="F34" s="11"/>
    </row>
    <row r="35" spans="1:6" ht="16" x14ac:dyDescent="0.2">
      <c r="A35" s="12" t="s">
        <v>3625</v>
      </c>
      <c r="B35" s="13"/>
      <c r="C35" t="e">
        <f t="shared" si="0"/>
        <v>#N/A</v>
      </c>
      <c r="D35" t="b">
        <f t="shared" si="1"/>
        <v>0</v>
      </c>
      <c r="E35">
        <f t="shared" si="2"/>
        <v>0</v>
      </c>
      <c r="F35" s="11"/>
    </row>
    <row r="36" spans="1:6" ht="16" x14ac:dyDescent="0.2">
      <c r="A36" s="12" t="s">
        <v>3626</v>
      </c>
      <c r="B36" s="13"/>
      <c r="C36" t="e">
        <f t="shared" si="0"/>
        <v>#N/A</v>
      </c>
      <c r="D36" t="b">
        <f t="shared" si="1"/>
        <v>0</v>
      </c>
      <c r="E36">
        <f t="shared" si="2"/>
        <v>0</v>
      </c>
      <c r="F36" s="11"/>
    </row>
    <row r="37" spans="1:6" ht="16" x14ac:dyDescent="0.2">
      <c r="A37" s="12" t="s">
        <v>3627</v>
      </c>
      <c r="B37" s="13"/>
      <c r="C37" t="e">
        <f t="shared" si="0"/>
        <v>#N/A</v>
      </c>
      <c r="D37" t="b">
        <f t="shared" si="1"/>
        <v>0</v>
      </c>
      <c r="E37">
        <f t="shared" si="2"/>
        <v>0</v>
      </c>
      <c r="F37" s="11"/>
    </row>
    <row r="38" spans="1:6" ht="16" x14ac:dyDescent="0.2">
      <c r="A38" s="12" t="s">
        <v>3628</v>
      </c>
      <c r="B38" s="13"/>
      <c r="C38" t="e">
        <f t="shared" si="0"/>
        <v>#N/A</v>
      </c>
      <c r="D38" t="b">
        <f t="shared" si="1"/>
        <v>0</v>
      </c>
      <c r="E38">
        <f t="shared" si="2"/>
        <v>0</v>
      </c>
      <c r="F38" s="11"/>
    </row>
    <row r="39" spans="1:6" ht="16" x14ac:dyDescent="0.2">
      <c r="A39" s="12" t="s">
        <v>3629</v>
      </c>
      <c r="B39" s="13"/>
      <c r="C39" t="e">
        <f t="shared" si="0"/>
        <v>#N/A</v>
      </c>
      <c r="D39" t="b">
        <f t="shared" si="1"/>
        <v>0</v>
      </c>
      <c r="E39">
        <f t="shared" si="2"/>
        <v>0</v>
      </c>
      <c r="F39" s="11"/>
    </row>
    <row r="40" spans="1:6" ht="16" x14ac:dyDescent="0.2">
      <c r="A40" s="12" t="s">
        <v>3630</v>
      </c>
      <c r="B40" s="13"/>
      <c r="C40" t="e">
        <f t="shared" si="0"/>
        <v>#N/A</v>
      </c>
      <c r="D40" t="b">
        <f t="shared" si="1"/>
        <v>0</v>
      </c>
      <c r="E40">
        <f t="shared" si="2"/>
        <v>0</v>
      </c>
      <c r="F40" s="11"/>
    </row>
    <row r="41" spans="1:6" ht="16" x14ac:dyDescent="0.2">
      <c r="A41" s="12" t="s">
        <v>3631</v>
      </c>
      <c r="B41" s="13"/>
      <c r="C41" t="e">
        <f t="shared" si="0"/>
        <v>#N/A</v>
      </c>
      <c r="D41" t="b">
        <f t="shared" si="1"/>
        <v>0</v>
      </c>
      <c r="E41">
        <f t="shared" si="2"/>
        <v>0</v>
      </c>
      <c r="F41" s="11"/>
    </row>
    <row r="42" spans="1:6" ht="16" x14ac:dyDescent="0.2">
      <c r="A42" s="12" t="s">
        <v>3632</v>
      </c>
      <c r="B42" s="13"/>
      <c r="C42" t="e">
        <f t="shared" si="0"/>
        <v>#N/A</v>
      </c>
      <c r="D42" t="b">
        <f t="shared" si="1"/>
        <v>0</v>
      </c>
      <c r="E42">
        <f t="shared" si="2"/>
        <v>0</v>
      </c>
      <c r="F42" s="11"/>
    </row>
    <row r="43" spans="1:6" ht="16" x14ac:dyDescent="0.2">
      <c r="A43" s="12">
        <v>8.1300000000000008</v>
      </c>
      <c r="B43" s="13"/>
      <c r="C43" t="e">
        <f t="shared" si="0"/>
        <v>#N/A</v>
      </c>
      <c r="D43" t="b">
        <f t="shared" si="1"/>
        <v>0</v>
      </c>
      <c r="E43">
        <f t="shared" si="2"/>
        <v>0</v>
      </c>
      <c r="F43" s="11"/>
    </row>
    <row r="44" spans="1:6" ht="16" x14ac:dyDescent="0.2">
      <c r="A44" s="12" t="s">
        <v>3633</v>
      </c>
      <c r="B44" s="13"/>
      <c r="C44" t="e">
        <f t="shared" si="0"/>
        <v>#N/A</v>
      </c>
      <c r="D44" t="b">
        <f t="shared" si="1"/>
        <v>0</v>
      </c>
      <c r="E44">
        <f t="shared" si="2"/>
        <v>0</v>
      </c>
      <c r="F44" s="11"/>
    </row>
    <row r="45" spans="1:6" ht="16" x14ac:dyDescent="0.2">
      <c r="A45" s="12">
        <v>37135</v>
      </c>
      <c r="B45" s="13"/>
      <c r="C45" t="e">
        <f t="shared" si="0"/>
        <v>#N/A</v>
      </c>
      <c r="D45" t="b">
        <f t="shared" si="1"/>
        <v>0</v>
      </c>
      <c r="E45">
        <f t="shared" si="2"/>
        <v>0</v>
      </c>
      <c r="F45" s="11"/>
    </row>
    <row r="46" spans="1:6" ht="16" x14ac:dyDescent="0.2">
      <c r="A46" s="12" t="s">
        <v>3634</v>
      </c>
      <c r="B46" s="13"/>
      <c r="C46" t="e">
        <f t="shared" si="0"/>
        <v>#N/A</v>
      </c>
      <c r="D46" t="b">
        <f t="shared" si="1"/>
        <v>0</v>
      </c>
      <c r="E46">
        <f t="shared" si="2"/>
        <v>0</v>
      </c>
      <c r="F46" s="11"/>
    </row>
    <row r="47" spans="1:6" ht="16" x14ac:dyDescent="0.2">
      <c r="A47" s="12" t="s">
        <v>3635</v>
      </c>
      <c r="B47" s="13"/>
      <c r="C47" t="e">
        <f t="shared" si="0"/>
        <v>#N/A</v>
      </c>
      <c r="D47" t="b">
        <f t="shared" si="1"/>
        <v>0</v>
      </c>
      <c r="E47">
        <f t="shared" si="2"/>
        <v>0</v>
      </c>
      <c r="F47" s="11"/>
    </row>
    <row r="48" spans="1:6" ht="16" x14ac:dyDescent="0.2">
      <c r="A48" s="12">
        <v>90210</v>
      </c>
      <c r="B48" s="13"/>
      <c r="C48" t="e">
        <f t="shared" si="0"/>
        <v>#N/A</v>
      </c>
      <c r="D48" t="b">
        <f t="shared" si="1"/>
        <v>0</v>
      </c>
      <c r="E48">
        <f t="shared" si="2"/>
        <v>0</v>
      </c>
      <c r="F48" s="11"/>
    </row>
    <row r="49" spans="1:6" ht="16" x14ac:dyDescent="0.2">
      <c r="A49" s="12" t="s">
        <v>3636</v>
      </c>
      <c r="B49" s="13"/>
      <c r="C49" t="e">
        <f t="shared" si="0"/>
        <v>#N/A</v>
      </c>
      <c r="D49" t="b">
        <f t="shared" si="1"/>
        <v>0</v>
      </c>
      <c r="E49">
        <f t="shared" si="2"/>
        <v>0</v>
      </c>
      <c r="F49" s="11"/>
    </row>
    <row r="50" spans="1:6" ht="16" x14ac:dyDescent="0.2">
      <c r="A50" s="12" t="s">
        <v>3637</v>
      </c>
      <c r="B50" s="13"/>
      <c r="C50" t="e">
        <f t="shared" si="0"/>
        <v>#N/A</v>
      </c>
      <c r="D50" t="b">
        <f t="shared" si="1"/>
        <v>0</v>
      </c>
      <c r="E50">
        <f t="shared" si="2"/>
        <v>0</v>
      </c>
      <c r="F50" s="11"/>
    </row>
    <row r="51" spans="1:6" ht="16" x14ac:dyDescent="0.2">
      <c r="A51" s="12" t="s">
        <v>3638</v>
      </c>
      <c r="B51" s="13"/>
      <c r="C51" t="e">
        <f t="shared" si="0"/>
        <v>#N/A</v>
      </c>
      <c r="D51" t="b">
        <f t="shared" si="1"/>
        <v>0</v>
      </c>
      <c r="E51">
        <f t="shared" si="2"/>
        <v>0</v>
      </c>
      <c r="F51" s="11"/>
    </row>
    <row r="52" spans="1:6" ht="16" x14ac:dyDescent="0.2">
      <c r="A52" s="12" t="s">
        <v>3639</v>
      </c>
      <c r="B52" s="13"/>
      <c r="C52" t="e">
        <f t="shared" si="0"/>
        <v>#N/A</v>
      </c>
      <c r="D52" t="b">
        <f t="shared" si="1"/>
        <v>0</v>
      </c>
      <c r="E52">
        <f t="shared" si="2"/>
        <v>0</v>
      </c>
      <c r="F52" s="11"/>
    </row>
    <row r="53" spans="1:6" ht="16" x14ac:dyDescent="0.2">
      <c r="A53" s="12" t="s">
        <v>3640</v>
      </c>
      <c r="B53" s="13"/>
      <c r="C53" t="e">
        <f t="shared" si="0"/>
        <v>#N/A</v>
      </c>
      <c r="D53" t="b">
        <f t="shared" si="1"/>
        <v>0</v>
      </c>
      <c r="E53">
        <f t="shared" si="2"/>
        <v>0</v>
      </c>
      <c r="F53" s="11"/>
    </row>
    <row r="54" spans="1:6" ht="16" x14ac:dyDescent="0.2">
      <c r="A54" s="12" t="s">
        <v>3641</v>
      </c>
      <c r="B54" s="13"/>
      <c r="C54" t="e">
        <f t="shared" si="0"/>
        <v>#N/A</v>
      </c>
      <c r="D54" t="b">
        <f t="shared" si="1"/>
        <v>0</v>
      </c>
      <c r="E54">
        <f t="shared" si="2"/>
        <v>0</v>
      </c>
      <c r="F54" s="11"/>
    </row>
    <row r="55" spans="1:6" ht="16" x14ac:dyDescent="0.2">
      <c r="A55" s="12" t="s">
        <v>3642</v>
      </c>
      <c r="B55" s="13"/>
      <c r="C55" t="e">
        <f t="shared" si="0"/>
        <v>#N/A</v>
      </c>
      <c r="D55" t="b">
        <f t="shared" si="1"/>
        <v>0</v>
      </c>
      <c r="E55">
        <f t="shared" si="2"/>
        <v>0</v>
      </c>
      <c r="F55" s="11"/>
    </row>
    <row r="56" spans="1:6" ht="16" x14ac:dyDescent="0.2">
      <c r="A56" s="12" t="s">
        <v>3643</v>
      </c>
      <c r="B56" s="13"/>
      <c r="C56" t="e">
        <f t="shared" si="0"/>
        <v>#N/A</v>
      </c>
      <c r="D56" t="b">
        <f t="shared" si="1"/>
        <v>0</v>
      </c>
      <c r="E56">
        <f t="shared" si="2"/>
        <v>0</v>
      </c>
      <c r="F56" s="11"/>
    </row>
    <row r="57" spans="1:6" ht="16" x14ac:dyDescent="0.2">
      <c r="A57" s="12" t="s">
        <v>3644</v>
      </c>
      <c r="B57" s="13"/>
      <c r="C57" t="e">
        <f t="shared" si="0"/>
        <v>#N/A</v>
      </c>
      <c r="D57" t="b">
        <f t="shared" si="1"/>
        <v>0</v>
      </c>
      <c r="E57">
        <f t="shared" si="2"/>
        <v>0</v>
      </c>
      <c r="F57" s="11"/>
    </row>
    <row r="58" spans="1:6" ht="16" x14ac:dyDescent="0.2">
      <c r="A58" s="12" t="s">
        <v>3645</v>
      </c>
      <c r="B58" s="13"/>
      <c r="C58" t="e">
        <f t="shared" si="0"/>
        <v>#N/A</v>
      </c>
      <c r="D58" t="b">
        <f t="shared" si="1"/>
        <v>0</v>
      </c>
      <c r="E58">
        <f t="shared" si="2"/>
        <v>0</v>
      </c>
      <c r="F58" s="11"/>
    </row>
    <row r="59" spans="1:6" ht="16" x14ac:dyDescent="0.2">
      <c r="A59" s="12" t="s">
        <v>3646</v>
      </c>
      <c r="B59" s="13"/>
      <c r="C59" t="e">
        <f t="shared" si="0"/>
        <v>#N/A</v>
      </c>
      <c r="D59" t="b">
        <f t="shared" si="1"/>
        <v>0</v>
      </c>
      <c r="E59">
        <f t="shared" si="2"/>
        <v>0</v>
      </c>
      <c r="F59" s="11"/>
    </row>
    <row r="60" spans="1:6" ht="16" x14ac:dyDescent="0.2">
      <c r="A60" s="12" t="s">
        <v>3647</v>
      </c>
      <c r="B60" s="13"/>
      <c r="C60" t="e">
        <f t="shared" si="0"/>
        <v>#N/A</v>
      </c>
      <c r="D60" t="b">
        <f t="shared" si="1"/>
        <v>0</v>
      </c>
      <c r="E60">
        <f t="shared" si="2"/>
        <v>0</v>
      </c>
      <c r="F60" s="11"/>
    </row>
    <row r="61" spans="1:6" ht="16" x14ac:dyDescent="0.2">
      <c r="A61" s="12" t="s">
        <v>3648</v>
      </c>
      <c r="B61" s="13"/>
      <c r="C61" t="e">
        <f t="shared" si="0"/>
        <v>#N/A</v>
      </c>
      <c r="D61" t="b">
        <f t="shared" si="1"/>
        <v>0</v>
      </c>
      <c r="E61">
        <f t="shared" si="2"/>
        <v>0</v>
      </c>
      <c r="F61" s="11"/>
    </row>
    <row r="62" spans="1:6" ht="16" x14ac:dyDescent="0.2">
      <c r="A62" s="12" t="s">
        <v>3649</v>
      </c>
      <c r="B62" s="13"/>
      <c r="C62" t="e">
        <f t="shared" si="0"/>
        <v>#N/A</v>
      </c>
      <c r="D62" t="b">
        <f t="shared" si="1"/>
        <v>0</v>
      </c>
      <c r="E62">
        <f t="shared" si="2"/>
        <v>0</v>
      </c>
      <c r="F62" s="11"/>
    </row>
    <row r="63" spans="1:6" ht="16" x14ac:dyDescent="0.2">
      <c r="A63" s="12" t="s">
        <v>3650</v>
      </c>
      <c r="B63" s="13"/>
      <c r="C63" t="e">
        <f t="shared" si="0"/>
        <v>#N/A</v>
      </c>
      <c r="D63" t="b">
        <f t="shared" si="1"/>
        <v>0</v>
      </c>
      <c r="E63">
        <f t="shared" si="2"/>
        <v>0</v>
      </c>
      <c r="F63" s="11"/>
    </row>
    <row r="64" spans="1:6" ht="16" x14ac:dyDescent="0.2">
      <c r="A64" s="12" t="s">
        <v>3651</v>
      </c>
      <c r="B64" s="13"/>
      <c r="C64" t="e">
        <f t="shared" si="0"/>
        <v>#N/A</v>
      </c>
      <c r="D64" t="b">
        <f t="shared" si="1"/>
        <v>0</v>
      </c>
      <c r="E64">
        <f t="shared" si="2"/>
        <v>0</v>
      </c>
      <c r="F64" s="11"/>
    </row>
    <row r="65" spans="1:6" ht="16" x14ac:dyDescent="0.2">
      <c r="A65" s="12" t="s">
        <v>3652</v>
      </c>
      <c r="B65" s="13"/>
      <c r="C65" t="e">
        <f t="shared" si="0"/>
        <v>#N/A</v>
      </c>
      <c r="D65" t="b">
        <f t="shared" si="1"/>
        <v>0</v>
      </c>
      <c r="E65">
        <f t="shared" si="2"/>
        <v>0</v>
      </c>
      <c r="F65" s="11"/>
    </row>
    <row r="66" spans="1:6" ht="16" x14ac:dyDescent="0.2">
      <c r="A66" s="12" t="s">
        <v>3653</v>
      </c>
      <c r="B66" s="13"/>
      <c r="C66" t="e">
        <f t="shared" si="0"/>
        <v>#N/A</v>
      </c>
      <c r="D66" t="b">
        <f t="shared" si="1"/>
        <v>0</v>
      </c>
      <c r="E66">
        <f t="shared" si="2"/>
        <v>0</v>
      </c>
      <c r="F66" s="11"/>
    </row>
    <row r="67" spans="1:6" ht="16" x14ac:dyDescent="0.2">
      <c r="A67" s="12" t="s">
        <v>3654</v>
      </c>
      <c r="B67" s="13"/>
      <c r="C67" t="e">
        <f t="shared" si="0"/>
        <v>#N/A</v>
      </c>
      <c r="D67" t="b">
        <f t="shared" si="1"/>
        <v>0</v>
      </c>
      <c r="E67">
        <f t="shared" si="2"/>
        <v>0</v>
      </c>
      <c r="F67" s="11"/>
    </row>
    <row r="68" spans="1:6" ht="16" x14ac:dyDescent="0.2">
      <c r="A68" s="12" t="s">
        <v>3655</v>
      </c>
      <c r="B68" s="13"/>
      <c r="C68" t="e">
        <f t="shared" si="0"/>
        <v>#N/A</v>
      </c>
      <c r="D68" t="b">
        <f t="shared" si="1"/>
        <v>0</v>
      </c>
      <c r="E68">
        <f t="shared" si="2"/>
        <v>0</v>
      </c>
      <c r="F68" s="11"/>
    </row>
    <row r="69" spans="1:6" ht="16" x14ac:dyDescent="0.2">
      <c r="A69" s="12" t="s">
        <v>3656</v>
      </c>
      <c r="B69" s="13"/>
      <c r="C69" t="e">
        <f t="shared" si="0"/>
        <v>#N/A</v>
      </c>
      <c r="D69" t="b">
        <f t="shared" si="1"/>
        <v>0</v>
      </c>
      <c r="E69">
        <f t="shared" si="2"/>
        <v>0</v>
      </c>
      <c r="F69" s="11"/>
    </row>
    <row r="70" spans="1:6" ht="16" x14ac:dyDescent="0.2">
      <c r="A70" s="14" t="s">
        <v>3657</v>
      </c>
      <c r="B70" s="13"/>
      <c r="C70" t="e">
        <f t="shared" si="0"/>
        <v>#N/A</v>
      </c>
      <c r="D70" t="b">
        <f t="shared" si="1"/>
        <v>0</v>
      </c>
      <c r="E70">
        <f t="shared" si="2"/>
        <v>0</v>
      </c>
      <c r="F70" s="11"/>
    </row>
    <row r="71" spans="1:6" ht="16" x14ac:dyDescent="0.2">
      <c r="A71" s="12" t="s">
        <v>3658</v>
      </c>
      <c r="B71" s="13"/>
      <c r="C71" t="e">
        <f t="shared" si="0"/>
        <v>#N/A</v>
      </c>
      <c r="D71" t="b">
        <f t="shared" si="1"/>
        <v>0</v>
      </c>
      <c r="E71">
        <f t="shared" si="2"/>
        <v>0</v>
      </c>
      <c r="F71" s="11"/>
    </row>
    <row r="72" spans="1:6" ht="16" x14ac:dyDescent="0.2">
      <c r="A72" s="12" t="s">
        <v>3659</v>
      </c>
      <c r="B72" s="13"/>
      <c r="C72" t="e">
        <f t="shared" si="0"/>
        <v>#N/A</v>
      </c>
      <c r="D72" t="b">
        <f t="shared" si="1"/>
        <v>0</v>
      </c>
      <c r="E72">
        <f t="shared" si="2"/>
        <v>0</v>
      </c>
      <c r="F72" s="11"/>
    </row>
    <row r="73" spans="1:6" ht="16" x14ac:dyDescent="0.2">
      <c r="A73" s="12" t="s">
        <v>3660</v>
      </c>
      <c r="B73" s="13"/>
      <c r="C73" t="e">
        <f t="shared" si="0"/>
        <v>#N/A</v>
      </c>
      <c r="D73" t="b">
        <f t="shared" si="1"/>
        <v>0</v>
      </c>
      <c r="E73">
        <f t="shared" si="2"/>
        <v>0</v>
      </c>
      <c r="F73" s="11"/>
    </row>
    <row r="74" spans="1:6" ht="16" x14ac:dyDescent="0.2">
      <c r="A74" s="12" t="s">
        <v>3661</v>
      </c>
      <c r="B74" s="13"/>
      <c r="C74" t="e">
        <f t="shared" si="0"/>
        <v>#N/A</v>
      </c>
      <c r="D74" t="b">
        <f t="shared" si="1"/>
        <v>0</v>
      </c>
      <c r="E74">
        <f t="shared" si="2"/>
        <v>0</v>
      </c>
      <c r="F74" s="11"/>
    </row>
    <row r="75" spans="1:6" ht="16" x14ac:dyDescent="0.2">
      <c r="A75" s="12" t="s">
        <v>3662</v>
      </c>
      <c r="B75" s="13"/>
      <c r="C75" t="e">
        <f t="shared" si="0"/>
        <v>#N/A</v>
      </c>
      <c r="D75" t="b">
        <f t="shared" si="1"/>
        <v>0</v>
      </c>
      <c r="E75">
        <f t="shared" si="2"/>
        <v>0</v>
      </c>
      <c r="F75" s="11"/>
    </row>
    <row r="76" spans="1:6" ht="16" x14ac:dyDescent="0.2">
      <c r="A76" s="12" t="s">
        <v>3663</v>
      </c>
      <c r="B76" s="13"/>
      <c r="C76" t="e">
        <f t="shared" si="0"/>
        <v>#N/A</v>
      </c>
      <c r="D76" t="b">
        <f t="shared" si="1"/>
        <v>0</v>
      </c>
      <c r="E76">
        <f t="shared" si="2"/>
        <v>0</v>
      </c>
      <c r="F76" s="11"/>
    </row>
    <row r="77" spans="1:6" ht="16" x14ac:dyDescent="0.2">
      <c r="A77" s="12" t="s">
        <v>3664</v>
      </c>
      <c r="B77" s="13"/>
      <c r="C77" t="e">
        <f t="shared" si="0"/>
        <v>#N/A</v>
      </c>
      <c r="D77" t="b">
        <f t="shared" si="1"/>
        <v>0</v>
      </c>
      <c r="E77">
        <f t="shared" si="2"/>
        <v>0</v>
      </c>
      <c r="F77" s="11"/>
    </row>
    <row r="78" spans="1:6" ht="16" x14ac:dyDescent="0.2">
      <c r="A78" s="12" t="s">
        <v>3665</v>
      </c>
      <c r="B78" s="13"/>
      <c r="C78" t="e">
        <f t="shared" si="0"/>
        <v>#N/A</v>
      </c>
      <c r="D78" t="b">
        <f t="shared" si="1"/>
        <v>0</v>
      </c>
      <c r="E78">
        <f t="shared" si="2"/>
        <v>0</v>
      </c>
      <c r="F78" s="11"/>
    </row>
    <row r="79" spans="1:6" ht="16" x14ac:dyDescent="0.2">
      <c r="A79" s="12" t="s">
        <v>3666</v>
      </c>
      <c r="B79" s="13"/>
      <c r="C79" t="e">
        <f t="shared" si="0"/>
        <v>#N/A</v>
      </c>
      <c r="D79" t="b">
        <f t="shared" si="1"/>
        <v>0</v>
      </c>
      <c r="E79">
        <f t="shared" si="2"/>
        <v>0</v>
      </c>
      <c r="F79" s="11"/>
    </row>
    <row r="80" spans="1:6" ht="16" x14ac:dyDescent="0.2">
      <c r="A80" s="12" t="s">
        <v>3667</v>
      </c>
      <c r="B80" s="13"/>
      <c r="C80" t="e">
        <f t="shared" si="0"/>
        <v>#N/A</v>
      </c>
      <c r="D80" t="b">
        <f t="shared" si="1"/>
        <v>0</v>
      </c>
      <c r="E80">
        <f t="shared" si="2"/>
        <v>0</v>
      </c>
      <c r="F80" s="11"/>
    </row>
    <row r="81" spans="1:6" ht="16" x14ac:dyDescent="0.2">
      <c r="A81" s="12" t="s">
        <v>3668</v>
      </c>
      <c r="B81" s="13"/>
      <c r="C81" t="e">
        <f t="shared" si="0"/>
        <v>#N/A</v>
      </c>
      <c r="D81" t="b">
        <f t="shared" si="1"/>
        <v>0</v>
      </c>
      <c r="E81">
        <f t="shared" si="2"/>
        <v>0</v>
      </c>
      <c r="F81" s="11"/>
    </row>
    <row r="82" spans="1:6" ht="16" x14ac:dyDescent="0.2">
      <c r="A82" s="12" t="s">
        <v>3669</v>
      </c>
      <c r="B82" s="13"/>
      <c r="C82" t="e">
        <f t="shared" si="0"/>
        <v>#N/A</v>
      </c>
      <c r="D82" t="b">
        <f t="shared" si="1"/>
        <v>0</v>
      </c>
      <c r="E82">
        <f t="shared" si="2"/>
        <v>0</v>
      </c>
      <c r="F82" s="11"/>
    </row>
    <row r="83" spans="1:6" ht="16" x14ac:dyDescent="0.2">
      <c r="A83" s="12" t="s">
        <v>3670</v>
      </c>
      <c r="B83" s="13"/>
      <c r="C83" t="e">
        <f t="shared" si="0"/>
        <v>#N/A</v>
      </c>
      <c r="D83" t="b">
        <f t="shared" si="1"/>
        <v>0</v>
      </c>
      <c r="E83">
        <f t="shared" si="2"/>
        <v>0</v>
      </c>
      <c r="F83" s="11"/>
    </row>
    <row r="84" spans="1:6" ht="16" x14ac:dyDescent="0.2">
      <c r="A84" s="12" t="s">
        <v>3671</v>
      </c>
      <c r="B84" s="13"/>
      <c r="C84" t="e">
        <f t="shared" si="0"/>
        <v>#N/A</v>
      </c>
      <c r="D84" t="b">
        <f t="shared" si="1"/>
        <v>0</v>
      </c>
      <c r="E84">
        <f t="shared" si="2"/>
        <v>0</v>
      </c>
      <c r="F84" s="11"/>
    </row>
    <row r="85" spans="1:6" ht="16" x14ac:dyDescent="0.2">
      <c r="A85" s="12" t="s">
        <v>3672</v>
      </c>
      <c r="B85" s="13"/>
      <c r="C85" t="e">
        <f t="shared" si="0"/>
        <v>#N/A</v>
      </c>
      <c r="D85" t="b">
        <f t="shared" si="1"/>
        <v>0</v>
      </c>
      <c r="E85">
        <f t="shared" si="2"/>
        <v>0</v>
      </c>
      <c r="F85" s="11"/>
    </row>
    <row r="86" spans="1:6" ht="16" x14ac:dyDescent="0.2">
      <c r="A86" s="12" t="s">
        <v>3673</v>
      </c>
      <c r="B86" s="13"/>
      <c r="C86" t="e">
        <f t="shared" si="0"/>
        <v>#N/A</v>
      </c>
      <c r="D86" t="b">
        <f t="shared" si="1"/>
        <v>0</v>
      </c>
      <c r="E86">
        <f t="shared" si="2"/>
        <v>0</v>
      </c>
      <c r="F86" s="11"/>
    </row>
    <row r="87" spans="1:6" ht="16" x14ac:dyDescent="0.2">
      <c r="A87" s="12" t="s">
        <v>3674</v>
      </c>
      <c r="B87" s="13"/>
      <c r="C87" t="e">
        <f t="shared" si="0"/>
        <v>#N/A</v>
      </c>
      <c r="D87" t="b">
        <f t="shared" si="1"/>
        <v>0</v>
      </c>
      <c r="E87">
        <f t="shared" si="2"/>
        <v>0</v>
      </c>
      <c r="F87" s="11"/>
    </row>
    <row r="88" spans="1:6" ht="16" x14ac:dyDescent="0.2">
      <c r="A88" s="12" t="s">
        <v>3675</v>
      </c>
      <c r="B88" s="13"/>
      <c r="C88" t="e">
        <f t="shared" si="0"/>
        <v>#N/A</v>
      </c>
      <c r="D88" t="b">
        <f t="shared" si="1"/>
        <v>0</v>
      </c>
      <c r="E88">
        <f t="shared" si="2"/>
        <v>0</v>
      </c>
      <c r="F88" s="11"/>
    </row>
    <row r="89" spans="1:6" ht="16" x14ac:dyDescent="0.2">
      <c r="A89" s="12" t="s">
        <v>3676</v>
      </c>
      <c r="B89" s="13"/>
      <c r="C89" t="e">
        <f t="shared" si="0"/>
        <v>#N/A</v>
      </c>
      <c r="D89" t="b">
        <f t="shared" si="1"/>
        <v>0</v>
      </c>
      <c r="E89">
        <f t="shared" si="2"/>
        <v>0</v>
      </c>
      <c r="F89" s="11"/>
    </row>
    <row r="90" spans="1:6" ht="16" x14ac:dyDescent="0.2">
      <c r="A90" s="12" t="s">
        <v>3677</v>
      </c>
      <c r="B90" s="13"/>
      <c r="C90" t="e">
        <f t="shared" si="0"/>
        <v>#N/A</v>
      </c>
      <c r="D90" t="b">
        <f t="shared" si="1"/>
        <v>0</v>
      </c>
      <c r="E90">
        <f t="shared" si="2"/>
        <v>0</v>
      </c>
      <c r="F90" s="11"/>
    </row>
    <row r="91" spans="1:6" ht="16" x14ac:dyDescent="0.2">
      <c r="A91" s="12" t="s">
        <v>3678</v>
      </c>
      <c r="B91" s="13"/>
      <c r="C91" t="e">
        <f t="shared" si="0"/>
        <v>#N/A</v>
      </c>
      <c r="D91" t="b">
        <f t="shared" si="1"/>
        <v>0</v>
      </c>
      <c r="E91">
        <f t="shared" si="2"/>
        <v>0</v>
      </c>
      <c r="F91" s="11"/>
    </row>
    <row r="92" spans="1:6" ht="16" x14ac:dyDescent="0.2">
      <c r="A92" s="12" t="s">
        <v>3679</v>
      </c>
      <c r="B92" s="13"/>
      <c r="C92" t="e">
        <f t="shared" si="0"/>
        <v>#N/A</v>
      </c>
      <c r="D92" t="b">
        <f t="shared" si="1"/>
        <v>0</v>
      </c>
      <c r="E92">
        <f t="shared" si="2"/>
        <v>0</v>
      </c>
      <c r="F92" s="11"/>
    </row>
    <row r="93" spans="1:6" ht="16" x14ac:dyDescent="0.2">
      <c r="A93" s="12" t="s">
        <v>3680</v>
      </c>
      <c r="B93" s="13"/>
      <c r="C93" t="e">
        <f t="shared" si="0"/>
        <v>#N/A</v>
      </c>
      <c r="D93" t="b">
        <f t="shared" si="1"/>
        <v>0</v>
      </c>
      <c r="E93">
        <f t="shared" si="2"/>
        <v>0</v>
      </c>
      <c r="F93" s="11"/>
    </row>
    <row r="94" spans="1:6" ht="16" x14ac:dyDescent="0.2">
      <c r="A94" s="12" t="s">
        <v>3681</v>
      </c>
      <c r="B94" s="13"/>
      <c r="C94" t="e">
        <f t="shared" si="0"/>
        <v>#N/A</v>
      </c>
      <c r="D94" t="b">
        <f t="shared" si="1"/>
        <v>0</v>
      </c>
      <c r="E94">
        <f t="shared" si="2"/>
        <v>0</v>
      </c>
      <c r="F94" s="11"/>
    </row>
    <row r="95" spans="1:6" ht="16" x14ac:dyDescent="0.2">
      <c r="A95" s="12" t="s">
        <v>3682</v>
      </c>
      <c r="B95" s="13"/>
      <c r="C95" t="e">
        <f t="shared" si="0"/>
        <v>#N/A</v>
      </c>
      <c r="D95" t="b">
        <f t="shared" si="1"/>
        <v>0</v>
      </c>
      <c r="E95">
        <f t="shared" si="2"/>
        <v>0</v>
      </c>
      <c r="F95" s="11"/>
    </row>
    <row r="96" spans="1:6" ht="16" x14ac:dyDescent="0.2">
      <c r="A96" s="12" t="s">
        <v>3683</v>
      </c>
      <c r="B96" s="13"/>
      <c r="C96" t="e">
        <f t="shared" si="0"/>
        <v>#N/A</v>
      </c>
      <c r="D96" t="b">
        <f t="shared" si="1"/>
        <v>0</v>
      </c>
      <c r="E96">
        <f t="shared" si="2"/>
        <v>0</v>
      </c>
      <c r="F96" s="11"/>
    </row>
    <row r="97" spans="1:6" ht="16" x14ac:dyDescent="0.2">
      <c r="A97" s="12" t="s">
        <v>3684</v>
      </c>
      <c r="B97" s="13"/>
      <c r="C97" t="e">
        <f t="shared" si="0"/>
        <v>#N/A</v>
      </c>
      <c r="D97" t="b">
        <f t="shared" si="1"/>
        <v>0</v>
      </c>
      <c r="E97">
        <f t="shared" si="2"/>
        <v>0</v>
      </c>
      <c r="F97" s="11"/>
    </row>
    <row r="98" spans="1:6" ht="16" x14ac:dyDescent="0.2">
      <c r="A98" s="12" t="s">
        <v>3685</v>
      </c>
      <c r="B98" s="13"/>
      <c r="C98" t="e">
        <f t="shared" si="0"/>
        <v>#N/A</v>
      </c>
      <c r="D98" t="b">
        <f t="shared" si="1"/>
        <v>0</v>
      </c>
      <c r="E98">
        <f t="shared" si="2"/>
        <v>0</v>
      </c>
      <c r="F98" s="11"/>
    </row>
    <row r="99" spans="1:6" ht="16" x14ac:dyDescent="0.2">
      <c r="A99" s="12" t="s">
        <v>3686</v>
      </c>
      <c r="B99" s="13"/>
      <c r="C99" t="e">
        <f t="shared" si="0"/>
        <v>#N/A</v>
      </c>
      <c r="D99" t="b">
        <f t="shared" si="1"/>
        <v>0</v>
      </c>
      <c r="E99">
        <f t="shared" si="2"/>
        <v>0</v>
      </c>
      <c r="F99" s="11"/>
    </row>
    <row r="100" spans="1:6" ht="16" x14ac:dyDescent="0.2">
      <c r="A100" s="12" t="s">
        <v>3687</v>
      </c>
      <c r="B100" s="13"/>
      <c r="C100" t="e">
        <f t="shared" si="0"/>
        <v>#N/A</v>
      </c>
      <c r="D100" t="b">
        <f t="shared" si="1"/>
        <v>0</v>
      </c>
      <c r="E100">
        <f t="shared" si="2"/>
        <v>0</v>
      </c>
      <c r="F100" s="11"/>
    </row>
    <row r="101" spans="1:6" ht="16" x14ac:dyDescent="0.2">
      <c r="A101" s="12" t="s">
        <v>3688</v>
      </c>
      <c r="B101" s="13"/>
      <c r="C101" t="e">
        <f t="shared" si="0"/>
        <v>#N/A</v>
      </c>
      <c r="D101" t="b">
        <f t="shared" si="1"/>
        <v>0</v>
      </c>
      <c r="E101">
        <f t="shared" si="2"/>
        <v>0</v>
      </c>
      <c r="F101" s="11"/>
    </row>
    <row r="102" spans="1:6" ht="16" x14ac:dyDescent="0.2">
      <c r="A102" s="12" t="s">
        <v>3689</v>
      </c>
      <c r="B102" s="13"/>
      <c r="C102" t="e">
        <f t="shared" si="0"/>
        <v>#N/A</v>
      </c>
      <c r="D102" t="b">
        <f t="shared" si="1"/>
        <v>0</v>
      </c>
      <c r="E102">
        <f t="shared" si="2"/>
        <v>0</v>
      </c>
      <c r="F102" s="11"/>
    </row>
    <row r="103" spans="1:6" ht="16" x14ac:dyDescent="0.2">
      <c r="A103" s="12" t="s">
        <v>3690</v>
      </c>
      <c r="B103" s="13"/>
      <c r="C103" t="e">
        <f t="shared" si="0"/>
        <v>#N/A</v>
      </c>
      <c r="D103" t="b">
        <f t="shared" si="1"/>
        <v>0</v>
      </c>
      <c r="E103">
        <f t="shared" si="2"/>
        <v>0</v>
      </c>
      <c r="F103" s="11"/>
    </row>
    <row r="104" spans="1:6" ht="16" x14ac:dyDescent="0.2">
      <c r="A104" s="12" t="s">
        <v>3691</v>
      </c>
      <c r="B104" s="13"/>
      <c r="C104" t="e">
        <f t="shared" si="0"/>
        <v>#N/A</v>
      </c>
      <c r="D104" t="b">
        <f t="shared" si="1"/>
        <v>0</v>
      </c>
      <c r="E104">
        <f t="shared" si="2"/>
        <v>0</v>
      </c>
      <c r="F104" s="11"/>
    </row>
    <row r="105" spans="1:6" ht="16" x14ac:dyDescent="0.2">
      <c r="A105" s="12" t="s">
        <v>3692</v>
      </c>
      <c r="B105" s="13"/>
      <c r="C105" t="e">
        <f t="shared" si="0"/>
        <v>#N/A</v>
      </c>
      <c r="D105" t="b">
        <f t="shared" si="1"/>
        <v>0</v>
      </c>
      <c r="E105">
        <f t="shared" si="2"/>
        <v>0</v>
      </c>
      <c r="F105" s="11"/>
    </row>
    <row r="106" spans="1:6" ht="16" x14ac:dyDescent="0.2">
      <c r="A106" s="12" t="s">
        <v>3693</v>
      </c>
      <c r="B106" s="13"/>
      <c r="C106" t="e">
        <f t="shared" si="0"/>
        <v>#N/A</v>
      </c>
      <c r="D106" t="b">
        <f t="shared" si="1"/>
        <v>0</v>
      </c>
      <c r="E106">
        <f t="shared" si="2"/>
        <v>0</v>
      </c>
      <c r="F106" s="11"/>
    </row>
    <row r="107" spans="1:6" ht="16" x14ac:dyDescent="0.2">
      <c r="A107" s="12" t="s">
        <v>3694</v>
      </c>
      <c r="B107" s="13"/>
      <c r="C107" t="e">
        <f t="shared" si="0"/>
        <v>#N/A</v>
      </c>
      <c r="D107" t="b">
        <f t="shared" si="1"/>
        <v>0</v>
      </c>
      <c r="E107">
        <f t="shared" si="2"/>
        <v>0</v>
      </c>
      <c r="F107" s="11"/>
    </row>
    <row r="108" spans="1:6" ht="16" x14ac:dyDescent="0.2">
      <c r="A108" s="12" t="s">
        <v>3695</v>
      </c>
      <c r="B108" s="13"/>
      <c r="C108" t="e">
        <f t="shared" si="0"/>
        <v>#N/A</v>
      </c>
      <c r="D108" t="b">
        <f t="shared" si="1"/>
        <v>0</v>
      </c>
      <c r="E108">
        <f t="shared" si="2"/>
        <v>0</v>
      </c>
      <c r="F108" s="11"/>
    </row>
    <row r="109" spans="1:6" ht="16" x14ac:dyDescent="0.2">
      <c r="A109" s="12" t="s">
        <v>3696</v>
      </c>
      <c r="B109" s="13"/>
      <c r="C109" t="e">
        <f t="shared" si="0"/>
        <v>#N/A</v>
      </c>
      <c r="D109" t="b">
        <f t="shared" si="1"/>
        <v>0</v>
      </c>
      <c r="E109">
        <f t="shared" si="2"/>
        <v>0</v>
      </c>
      <c r="F109" s="11"/>
    </row>
    <row r="110" spans="1:6" ht="16" x14ac:dyDescent="0.2">
      <c r="A110" s="12" t="s">
        <v>3697</v>
      </c>
      <c r="B110" s="13"/>
      <c r="C110" t="e">
        <f t="shared" si="0"/>
        <v>#N/A</v>
      </c>
      <c r="D110" t="b">
        <f t="shared" si="1"/>
        <v>0</v>
      </c>
      <c r="E110">
        <f t="shared" si="2"/>
        <v>0</v>
      </c>
      <c r="F110" s="11"/>
    </row>
    <row r="111" spans="1:6" ht="16" x14ac:dyDescent="0.2">
      <c r="A111" s="12" t="s">
        <v>3698</v>
      </c>
      <c r="B111" s="13"/>
      <c r="C111" t="e">
        <f t="shared" si="0"/>
        <v>#N/A</v>
      </c>
      <c r="D111" t="b">
        <f t="shared" si="1"/>
        <v>0</v>
      </c>
      <c r="E111">
        <f t="shared" si="2"/>
        <v>0</v>
      </c>
      <c r="F111" s="11"/>
    </row>
    <row r="112" spans="1:6" ht="16" x14ac:dyDescent="0.2">
      <c r="A112" s="12" t="s">
        <v>3699</v>
      </c>
      <c r="B112" s="13"/>
      <c r="C112" t="e">
        <f t="shared" si="0"/>
        <v>#N/A</v>
      </c>
      <c r="D112" t="b">
        <f t="shared" si="1"/>
        <v>0</v>
      </c>
      <c r="E112">
        <f t="shared" si="2"/>
        <v>0</v>
      </c>
      <c r="F112" s="11"/>
    </row>
    <row r="113" spans="1:6" ht="16" x14ac:dyDescent="0.2">
      <c r="A113" s="12" t="s">
        <v>3700</v>
      </c>
      <c r="B113" s="13"/>
      <c r="C113" t="e">
        <f t="shared" si="0"/>
        <v>#N/A</v>
      </c>
      <c r="D113" t="b">
        <f t="shared" si="1"/>
        <v>0</v>
      </c>
      <c r="E113">
        <f t="shared" si="2"/>
        <v>0</v>
      </c>
      <c r="F113" s="11"/>
    </row>
    <row r="114" spans="1:6" ht="16" x14ac:dyDescent="0.2">
      <c r="A114" s="12" t="s">
        <v>3701</v>
      </c>
      <c r="B114" s="13"/>
      <c r="C114" t="e">
        <f t="shared" si="0"/>
        <v>#N/A</v>
      </c>
      <c r="D114" t="b">
        <f t="shared" si="1"/>
        <v>0</v>
      </c>
      <c r="E114">
        <f t="shared" si="2"/>
        <v>0</v>
      </c>
      <c r="F114" s="11"/>
    </row>
    <row r="115" spans="1:6" ht="16" x14ac:dyDescent="0.2">
      <c r="A115" s="12" t="s">
        <v>3702</v>
      </c>
      <c r="B115" s="13"/>
      <c r="C115" t="e">
        <f t="shared" si="0"/>
        <v>#N/A</v>
      </c>
      <c r="D115" t="b">
        <f t="shared" si="1"/>
        <v>0</v>
      </c>
      <c r="E115">
        <f t="shared" si="2"/>
        <v>0</v>
      </c>
      <c r="F115" s="11"/>
    </row>
    <row r="116" spans="1:6" ht="16" x14ac:dyDescent="0.2">
      <c r="A116" s="12" t="s">
        <v>3703</v>
      </c>
      <c r="B116" s="13"/>
      <c r="C116" t="e">
        <f t="shared" si="0"/>
        <v>#N/A</v>
      </c>
      <c r="D116" t="b">
        <f t="shared" si="1"/>
        <v>0</v>
      </c>
      <c r="E116">
        <f t="shared" si="2"/>
        <v>0</v>
      </c>
      <c r="F116" s="11"/>
    </row>
    <row r="117" spans="1:6" ht="16" x14ac:dyDescent="0.2">
      <c r="A117" s="12" t="s">
        <v>3704</v>
      </c>
      <c r="B117" s="13"/>
      <c r="C117" t="e">
        <f t="shared" si="0"/>
        <v>#N/A</v>
      </c>
      <c r="D117" t="b">
        <f t="shared" si="1"/>
        <v>0</v>
      </c>
      <c r="E117">
        <f t="shared" si="2"/>
        <v>0</v>
      </c>
      <c r="F117" s="11"/>
    </row>
    <row r="118" spans="1:6" ht="16" x14ac:dyDescent="0.2">
      <c r="A118" s="12" t="s">
        <v>3704</v>
      </c>
      <c r="B118" s="13"/>
      <c r="C118" t="e">
        <f t="shared" si="0"/>
        <v>#N/A</v>
      </c>
      <c r="D118" t="b">
        <f t="shared" si="1"/>
        <v>0</v>
      </c>
      <c r="E118">
        <f t="shared" si="2"/>
        <v>0</v>
      </c>
      <c r="F118" s="11"/>
    </row>
    <row r="119" spans="1:6" ht="16" x14ac:dyDescent="0.2">
      <c r="A119" s="12" t="s">
        <v>3705</v>
      </c>
      <c r="B119" s="13"/>
      <c r="C119" t="e">
        <f t="shared" si="0"/>
        <v>#N/A</v>
      </c>
      <c r="D119" t="b">
        <f t="shared" si="1"/>
        <v>0</v>
      </c>
      <c r="E119">
        <f t="shared" si="2"/>
        <v>0</v>
      </c>
      <c r="F119" s="11"/>
    </row>
    <row r="120" spans="1:6" ht="16" x14ac:dyDescent="0.2">
      <c r="A120" s="12" t="s">
        <v>3706</v>
      </c>
      <c r="B120" s="13"/>
      <c r="C120" t="e">
        <f t="shared" si="0"/>
        <v>#N/A</v>
      </c>
      <c r="D120" t="b">
        <f t="shared" si="1"/>
        <v>0</v>
      </c>
      <c r="E120">
        <f t="shared" si="2"/>
        <v>0</v>
      </c>
      <c r="F120" s="11"/>
    </row>
    <row r="121" spans="1:6" ht="16" x14ac:dyDescent="0.2">
      <c r="A121" s="12" t="s">
        <v>3707</v>
      </c>
      <c r="B121" s="13"/>
      <c r="C121" t="e">
        <f t="shared" si="0"/>
        <v>#N/A</v>
      </c>
      <c r="D121" t="b">
        <f t="shared" si="1"/>
        <v>0</v>
      </c>
      <c r="E121">
        <f t="shared" si="2"/>
        <v>0</v>
      </c>
      <c r="F121" s="11"/>
    </row>
    <row r="122" spans="1:6" ht="16" x14ac:dyDescent="0.2">
      <c r="A122" s="12" t="s">
        <v>3708</v>
      </c>
      <c r="B122" s="13"/>
      <c r="C122" t="e">
        <f t="shared" si="0"/>
        <v>#N/A</v>
      </c>
      <c r="D122" t="b">
        <f t="shared" si="1"/>
        <v>0</v>
      </c>
      <c r="E122">
        <f t="shared" si="2"/>
        <v>0</v>
      </c>
      <c r="F122" s="11"/>
    </row>
    <row r="123" spans="1:6" ht="16" x14ac:dyDescent="0.2">
      <c r="A123" s="12" t="s">
        <v>3709</v>
      </c>
      <c r="B123" s="13"/>
      <c r="C123" t="e">
        <f t="shared" si="0"/>
        <v>#N/A</v>
      </c>
      <c r="D123" t="b">
        <f t="shared" si="1"/>
        <v>0</v>
      </c>
      <c r="E123">
        <f t="shared" si="2"/>
        <v>0</v>
      </c>
      <c r="F123" s="11"/>
    </row>
    <row r="124" spans="1:6" ht="16" x14ac:dyDescent="0.2">
      <c r="A124" s="12" t="s">
        <v>3710</v>
      </c>
      <c r="B124" s="13"/>
      <c r="C124" t="e">
        <f t="shared" si="0"/>
        <v>#N/A</v>
      </c>
      <c r="D124" t="b">
        <f t="shared" si="1"/>
        <v>0</v>
      </c>
      <c r="E124">
        <f t="shared" si="2"/>
        <v>0</v>
      </c>
      <c r="F124" s="11"/>
    </row>
    <row r="125" spans="1:6" ht="16" x14ac:dyDescent="0.2">
      <c r="A125" s="12" t="s">
        <v>3711</v>
      </c>
      <c r="B125" s="13"/>
      <c r="C125" t="e">
        <f t="shared" si="0"/>
        <v>#N/A</v>
      </c>
      <c r="D125" t="b">
        <f t="shared" si="1"/>
        <v>0</v>
      </c>
      <c r="E125">
        <f t="shared" si="2"/>
        <v>0</v>
      </c>
      <c r="F125" s="11"/>
    </row>
    <row r="126" spans="1:6" ht="16" x14ac:dyDescent="0.2">
      <c r="A126" s="12" t="s">
        <v>3712</v>
      </c>
      <c r="B126" s="13"/>
      <c r="C126" t="e">
        <f t="shared" si="0"/>
        <v>#N/A</v>
      </c>
      <c r="D126" t="b">
        <f t="shared" si="1"/>
        <v>0</v>
      </c>
      <c r="E126">
        <f t="shared" si="2"/>
        <v>0</v>
      </c>
      <c r="F126" s="11"/>
    </row>
    <row r="127" spans="1:6" ht="16" x14ac:dyDescent="0.2">
      <c r="A127" s="12" t="s">
        <v>3713</v>
      </c>
      <c r="B127" s="13"/>
      <c r="C127" t="e">
        <f t="shared" si="0"/>
        <v>#N/A</v>
      </c>
      <c r="D127" t="b">
        <f t="shared" si="1"/>
        <v>0</v>
      </c>
      <c r="E127">
        <f t="shared" si="2"/>
        <v>0</v>
      </c>
      <c r="F127" s="11"/>
    </row>
    <row r="128" spans="1:6" ht="16" x14ac:dyDescent="0.2">
      <c r="A128" s="12" t="s">
        <v>3714</v>
      </c>
      <c r="B128" s="13"/>
      <c r="C128" t="e">
        <f t="shared" si="0"/>
        <v>#N/A</v>
      </c>
      <c r="D128" t="b">
        <f t="shared" si="1"/>
        <v>0</v>
      </c>
      <c r="E128">
        <f t="shared" si="2"/>
        <v>0</v>
      </c>
      <c r="F128" s="11"/>
    </row>
    <row r="129" spans="1:6" ht="16" x14ac:dyDescent="0.2">
      <c r="A129" s="12" t="s">
        <v>3715</v>
      </c>
      <c r="B129" s="13"/>
      <c r="C129" t="e">
        <f t="shared" si="0"/>
        <v>#N/A</v>
      </c>
      <c r="D129" t="b">
        <f t="shared" si="1"/>
        <v>0</v>
      </c>
      <c r="E129">
        <f t="shared" si="2"/>
        <v>0</v>
      </c>
      <c r="F129" s="11"/>
    </row>
    <row r="130" spans="1:6" ht="16" x14ac:dyDescent="0.2">
      <c r="A130" s="12" t="s">
        <v>3716</v>
      </c>
      <c r="B130" s="13"/>
      <c r="C130" t="e">
        <f t="shared" si="0"/>
        <v>#N/A</v>
      </c>
      <c r="D130" t="b">
        <f t="shared" si="1"/>
        <v>0</v>
      </c>
      <c r="E130">
        <f t="shared" si="2"/>
        <v>0</v>
      </c>
      <c r="F130" s="11"/>
    </row>
    <row r="131" spans="1:6" ht="16" x14ac:dyDescent="0.2">
      <c r="A131" s="12" t="s">
        <v>3717</v>
      </c>
      <c r="B131" s="13"/>
      <c r="C131" t="e">
        <f t="shared" si="0"/>
        <v>#N/A</v>
      </c>
      <c r="D131" t="b">
        <f t="shared" si="1"/>
        <v>0</v>
      </c>
      <c r="E131">
        <f t="shared" si="2"/>
        <v>0</v>
      </c>
      <c r="F131" s="11"/>
    </row>
    <row r="132" spans="1:6" ht="16" x14ac:dyDescent="0.2">
      <c r="A132" s="12" t="s">
        <v>3718</v>
      </c>
      <c r="B132" s="13"/>
      <c r="C132" t="e">
        <f t="shared" si="0"/>
        <v>#N/A</v>
      </c>
      <c r="D132" t="b">
        <f t="shared" si="1"/>
        <v>0</v>
      </c>
      <c r="E132">
        <f t="shared" si="2"/>
        <v>0</v>
      </c>
      <c r="F132" s="11"/>
    </row>
    <row r="133" spans="1:6" ht="16" x14ac:dyDescent="0.2">
      <c r="A133" s="12" t="s">
        <v>3719</v>
      </c>
      <c r="B133" s="13"/>
      <c r="C133" t="e">
        <f t="shared" si="0"/>
        <v>#N/A</v>
      </c>
      <c r="D133" t="b">
        <f t="shared" si="1"/>
        <v>0</v>
      </c>
      <c r="E133">
        <f t="shared" si="2"/>
        <v>0</v>
      </c>
      <c r="F133" s="11"/>
    </row>
    <row r="134" spans="1:6" ht="16" x14ac:dyDescent="0.2">
      <c r="A134" s="12" t="s">
        <v>3720</v>
      </c>
      <c r="B134" s="13"/>
      <c r="C134" t="e">
        <f t="shared" si="0"/>
        <v>#N/A</v>
      </c>
      <c r="D134" t="b">
        <f t="shared" si="1"/>
        <v>0</v>
      </c>
      <c r="E134">
        <f t="shared" si="2"/>
        <v>0</v>
      </c>
      <c r="F134" s="11"/>
    </row>
    <row r="135" spans="1:6" ht="16" x14ac:dyDescent="0.2">
      <c r="A135" s="12" t="s">
        <v>3721</v>
      </c>
      <c r="B135" s="13"/>
      <c r="C135" t="e">
        <f t="shared" si="0"/>
        <v>#N/A</v>
      </c>
      <c r="D135" t="b">
        <f t="shared" si="1"/>
        <v>0</v>
      </c>
      <c r="E135">
        <f t="shared" si="2"/>
        <v>0</v>
      </c>
      <c r="F135" s="11"/>
    </row>
    <row r="136" spans="1:6" ht="16" x14ac:dyDescent="0.2">
      <c r="A136" s="12" t="s">
        <v>3722</v>
      </c>
      <c r="B136" s="13"/>
      <c r="C136" t="e">
        <f t="shared" si="0"/>
        <v>#N/A</v>
      </c>
      <c r="D136" t="b">
        <f t="shared" si="1"/>
        <v>0</v>
      </c>
      <c r="E136">
        <f t="shared" si="2"/>
        <v>0</v>
      </c>
      <c r="F136" s="11"/>
    </row>
    <row r="137" spans="1:6" ht="16" x14ac:dyDescent="0.2">
      <c r="A137" s="12" t="s">
        <v>3723</v>
      </c>
      <c r="B137" s="13"/>
      <c r="C137" t="e">
        <f t="shared" si="0"/>
        <v>#N/A</v>
      </c>
      <c r="D137" t="b">
        <f t="shared" si="1"/>
        <v>0</v>
      </c>
      <c r="E137">
        <f t="shared" si="2"/>
        <v>0</v>
      </c>
      <c r="F137" s="11"/>
    </row>
    <row r="138" spans="1:6" ht="16" x14ac:dyDescent="0.2">
      <c r="A138" s="12" t="s">
        <v>3724</v>
      </c>
      <c r="B138" s="13"/>
      <c r="C138" t="e">
        <f t="shared" si="0"/>
        <v>#N/A</v>
      </c>
      <c r="D138" t="b">
        <f t="shared" si="1"/>
        <v>0</v>
      </c>
      <c r="E138">
        <f t="shared" si="2"/>
        <v>0</v>
      </c>
      <c r="F138" s="11"/>
    </row>
    <row r="139" spans="1:6" ht="16" x14ac:dyDescent="0.2">
      <c r="A139" s="12" t="s">
        <v>3725</v>
      </c>
      <c r="B139" s="13"/>
      <c r="C139" t="e">
        <f t="shared" si="0"/>
        <v>#N/A</v>
      </c>
      <c r="D139" t="b">
        <f t="shared" si="1"/>
        <v>0</v>
      </c>
      <c r="E139">
        <f t="shared" si="2"/>
        <v>0</v>
      </c>
      <c r="F139" s="11"/>
    </row>
    <row r="140" spans="1:6" ht="16" x14ac:dyDescent="0.2">
      <c r="A140" s="12" t="s">
        <v>3726</v>
      </c>
      <c r="B140" s="13"/>
      <c r="C140" t="e">
        <f t="shared" si="0"/>
        <v>#N/A</v>
      </c>
      <c r="D140" t="b">
        <f t="shared" si="1"/>
        <v>0</v>
      </c>
      <c r="E140">
        <f t="shared" si="2"/>
        <v>0</v>
      </c>
      <c r="F140" s="11"/>
    </row>
    <row r="141" spans="1:6" ht="16" x14ac:dyDescent="0.2">
      <c r="A141" s="12" t="s">
        <v>3727</v>
      </c>
      <c r="B141" s="13"/>
      <c r="C141" t="e">
        <f t="shared" si="0"/>
        <v>#N/A</v>
      </c>
      <c r="D141" t="b">
        <f t="shared" si="1"/>
        <v>0</v>
      </c>
      <c r="E141">
        <f t="shared" si="2"/>
        <v>0</v>
      </c>
      <c r="F141" s="11"/>
    </row>
    <row r="142" spans="1:6" ht="16" x14ac:dyDescent="0.2">
      <c r="A142" s="12" t="s">
        <v>3728</v>
      </c>
      <c r="B142" s="13"/>
      <c r="C142" t="e">
        <f t="shared" si="0"/>
        <v>#N/A</v>
      </c>
      <c r="D142" t="b">
        <f t="shared" si="1"/>
        <v>0</v>
      </c>
      <c r="E142">
        <f t="shared" si="2"/>
        <v>0</v>
      </c>
      <c r="F142" s="11"/>
    </row>
    <row r="143" spans="1:6" ht="16" x14ac:dyDescent="0.2">
      <c r="A143" s="12" t="s">
        <v>3729</v>
      </c>
      <c r="B143" s="13"/>
      <c r="C143" t="e">
        <f t="shared" si="0"/>
        <v>#N/A</v>
      </c>
      <c r="D143" t="b">
        <f t="shared" si="1"/>
        <v>0</v>
      </c>
      <c r="E143">
        <f t="shared" si="2"/>
        <v>0</v>
      </c>
      <c r="F143" s="11"/>
    </row>
    <row r="144" spans="1:6" ht="16" x14ac:dyDescent="0.2">
      <c r="A144" s="12" t="s">
        <v>3730</v>
      </c>
      <c r="B144" s="13"/>
      <c r="C144" t="e">
        <f t="shared" si="0"/>
        <v>#N/A</v>
      </c>
      <c r="D144" t="b">
        <f t="shared" si="1"/>
        <v>0</v>
      </c>
      <c r="E144">
        <f t="shared" si="2"/>
        <v>0</v>
      </c>
      <c r="F144" s="11"/>
    </row>
    <row r="145" spans="1:6" ht="16" x14ac:dyDescent="0.2">
      <c r="A145" s="12" t="s">
        <v>3731</v>
      </c>
      <c r="B145" s="13"/>
      <c r="C145" t="e">
        <f t="shared" si="0"/>
        <v>#N/A</v>
      </c>
      <c r="D145" t="b">
        <f t="shared" si="1"/>
        <v>0</v>
      </c>
      <c r="E145">
        <f t="shared" si="2"/>
        <v>0</v>
      </c>
      <c r="F145" s="11"/>
    </row>
    <row r="146" spans="1:6" ht="16" x14ac:dyDescent="0.2">
      <c r="A146" s="12" t="s">
        <v>3732</v>
      </c>
      <c r="B146" s="13"/>
      <c r="C146" t="e">
        <f t="shared" si="0"/>
        <v>#N/A</v>
      </c>
      <c r="D146" t="b">
        <f t="shared" si="1"/>
        <v>0</v>
      </c>
      <c r="E146">
        <f t="shared" si="2"/>
        <v>0</v>
      </c>
      <c r="F146" s="11"/>
    </row>
    <row r="147" spans="1:6" ht="16" x14ac:dyDescent="0.2">
      <c r="A147" s="12" t="s">
        <v>3733</v>
      </c>
      <c r="B147" s="13"/>
      <c r="C147" t="e">
        <f t="shared" si="0"/>
        <v>#N/A</v>
      </c>
      <c r="D147" t="b">
        <f t="shared" si="1"/>
        <v>0</v>
      </c>
      <c r="E147">
        <f t="shared" si="2"/>
        <v>0</v>
      </c>
      <c r="F147" s="11"/>
    </row>
    <row r="148" spans="1:6" ht="16" x14ac:dyDescent="0.2">
      <c r="A148" s="12" t="s">
        <v>3733</v>
      </c>
      <c r="B148" s="13"/>
      <c r="C148" t="e">
        <f t="shared" si="0"/>
        <v>#N/A</v>
      </c>
      <c r="D148" t="b">
        <f t="shared" si="1"/>
        <v>0</v>
      </c>
      <c r="E148">
        <f t="shared" si="2"/>
        <v>0</v>
      </c>
      <c r="F148" s="11"/>
    </row>
    <row r="149" spans="1:6" ht="16" x14ac:dyDescent="0.2">
      <c r="A149" s="12" t="s">
        <v>3734</v>
      </c>
      <c r="B149" s="13"/>
      <c r="C149" t="e">
        <f t="shared" si="0"/>
        <v>#N/A</v>
      </c>
      <c r="D149" t="b">
        <f t="shared" si="1"/>
        <v>0</v>
      </c>
      <c r="E149">
        <f t="shared" si="2"/>
        <v>0</v>
      </c>
      <c r="F149" s="11"/>
    </row>
    <row r="150" spans="1:6" ht="16" x14ac:dyDescent="0.2">
      <c r="A150" s="12" t="s">
        <v>3735</v>
      </c>
      <c r="B150" s="13"/>
      <c r="C150" t="e">
        <f t="shared" si="0"/>
        <v>#N/A</v>
      </c>
      <c r="D150" t="b">
        <f t="shared" si="1"/>
        <v>0</v>
      </c>
      <c r="E150">
        <f t="shared" si="2"/>
        <v>0</v>
      </c>
      <c r="F150" s="11"/>
    </row>
    <row r="151" spans="1:6" ht="16" x14ac:dyDescent="0.2">
      <c r="A151" s="12" t="s">
        <v>3736</v>
      </c>
      <c r="B151" s="13"/>
      <c r="C151" t="e">
        <f t="shared" si="0"/>
        <v>#N/A</v>
      </c>
      <c r="D151" t="b">
        <f t="shared" si="1"/>
        <v>0</v>
      </c>
      <c r="E151">
        <f t="shared" si="2"/>
        <v>0</v>
      </c>
      <c r="F151" s="11"/>
    </row>
    <row r="152" spans="1:6" ht="16" x14ac:dyDescent="0.2">
      <c r="A152" s="12" t="s">
        <v>3737</v>
      </c>
      <c r="B152" s="13"/>
      <c r="C152" t="e">
        <f t="shared" si="0"/>
        <v>#N/A</v>
      </c>
      <c r="D152" t="b">
        <f t="shared" si="1"/>
        <v>0</v>
      </c>
      <c r="E152">
        <f t="shared" si="2"/>
        <v>0</v>
      </c>
      <c r="F152" s="11"/>
    </row>
    <row r="153" spans="1:6" ht="16" x14ac:dyDescent="0.2">
      <c r="A153" s="12" t="s">
        <v>3738</v>
      </c>
      <c r="B153" s="13"/>
      <c r="C153" t="e">
        <f t="shared" si="0"/>
        <v>#N/A</v>
      </c>
      <c r="D153" t="b">
        <f t="shared" si="1"/>
        <v>0</v>
      </c>
      <c r="E153">
        <f t="shared" si="2"/>
        <v>0</v>
      </c>
      <c r="F153" s="11"/>
    </row>
    <row r="154" spans="1:6" ht="16" x14ac:dyDescent="0.2">
      <c r="A154" s="12" t="s">
        <v>3739</v>
      </c>
      <c r="B154" s="13"/>
      <c r="C154" t="e">
        <f t="shared" si="0"/>
        <v>#N/A</v>
      </c>
      <c r="D154" t="b">
        <f t="shared" si="1"/>
        <v>0</v>
      </c>
      <c r="E154">
        <f t="shared" si="2"/>
        <v>0</v>
      </c>
      <c r="F154" s="11"/>
    </row>
    <row r="155" spans="1:6" ht="16" x14ac:dyDescent="0.2">
      <c r="A155" s="12" t="s">
        <v>3740</v>
      </c>
      <c r="B155" s="13"/>
      <c r="C155" t="e">
        <f t="shared" si="0"/>
        <v>#N/A</v>
      </c>
      <c r="D155" t="b">
        <f t="shared" si="1"/>
        <v>0</v>
      </c>
      <c r="E155">
        <f t="shared" si="2"/>
        <v>0</v>
      </c>
      <c r="F155" s="11"/>
    </row>
    <row r="156" spans="1:6" ht="16" x14ac:dyDescent="0.2">
      <c r="A156" s="12" t="s">
        <v>3741</v>
      </c>
      <c r="B156" s="13"/>
      <c r="C156" t="e">
        <f t="shared" si="0"/>
        <v>#N/A</v>
      </c>
      <c r="D156" t="b">
        <f t="shared" si="1"/>
        <v>0</v>
      </c>
      <c r="E156">
        <f t="shared" si="2"/>
        <v>0</v>
      </c>
      <c r="F156" s="11"/>
    </row>
    <row r="157" spans="1:6" ht="16" x14ac:dyDescent="0.2">
      <c r="A157" s="12" t="s">
        <v>3742</v>
      </c>
      <c r="B157" s="13"/>
      <c r="C157" t="e">
        <f t="shared" si="0"/>
        <v>#N/A</v>
      </c>
      <c r="D157" t="b">
        <f t="shared" si="1"/>
        <v>0</v>
      </c>
      <c r="E157">
        <f t="shared" si="2"/>
        <v>0</v>
      </c>
      <c r="F157" s="11"/>
    </row>
    <row r="158" spans="1:6" ht="16" x14ac:dyDescent="0.2">
      <c r="A158" s="12" t="s">
        <v>3743</v>
      </c>
      <c r="B158" s="13"/>
      <c r="C158" t="e">
        <f t="shared" si="0"/>
        <v>#N/A</v>
      </c>
      <c r="D158" t="b">
        <f t="shared" si="1"/>
        <v>0</v>
      </c>
      <c r="E158">
        <f t="shared" si="2"/>
        <v>0</v>
      </c>
      <c r="F158" s="11"/>
    </row>
    <row r="159" spans="1:6" ht="16" x14ac:dyDescent="0.2">
      <c r="A159" s="12" t="s">
        <v>3744</v>
      </c>
      <c r="B159" s="13"/>
      <c r="C159" t="e">
        <f t="shared" si="0"/>
        <v>#N/A</v>
      </c>
      <c r="D159" t="b">
        <f t="shared" si="1"/>
        <v>0</v>
      </c>
      <c r="E159">
        <f t="shared" si="2"/>
        <v>0</v>
      </c>
      <c r="F159" s="11"/>
    </row>
    <row r="160" spans="1:6" ht="16" x14ac:dyDescent="0.2">
      <c r="A160" s="12" t="s">
        <v>3745</v>
      </c>
      <c r="B160" s="13"/>
      <c r="C160" t="e">
        <f t="shared" si="0"/>
        <v>#N/A</v>
      </c>
      <c r="D160" t="b">
        <f t="shared" si="1"/>
        <v>0</v>
      </c>
      <c r="E160">
        <f t="shared" si="2"/>
        <v>0</v>
      </c>
      <c r="F160" s="11"/>
    </row>
    <row r="161" spans="1:6" ht="16" x14ac:dyDescent="0.2">
      <c r="A161" s="12" t="s">
        <v>3746</v>
      </c>
      <c r="B161" s="13"/>
      <c r="C161" t="e">
        <f t="shared" si="0"/>
        <v>#N/A</v>
      </c>
      <c r="D161" t="b">
        <f t="shared" si="1"/>
        <v>0</v>
      </c>
      <c r="E161">
        <f t="shared" si="2"/>
        <v>0</v>
      </c>
      <c r="F161" s="11"/>
    </row>
    <row r="162" spans="1:6" ht="16" x14ac:dyDescent="0.2">
      <c r="A162" s="12" t="s">
        <v>3747</v>
      </c>
      <c r="B162" s="13"/>
      <c r="C162" t="e">
        <f t="shared" si="0"/>
        <v>#N/A</v>
      </c>
      <c r="D162" t="b">
        <f t="shared" si="1"/>
        <v>0</v>
      </c>
      <c r="E162">
        <f t="shared" si="2"/>
        <v>0</v>
      </c>
      <c r="F162" s="11"/>
    </row>
    <row r="163" spans="1:6" ht="16" x14ac:dyDescent="0.2">
      <c r="A163" s="12" t="s">
        <v>3748</v>
      </c>
      <c r="B163" s="13"/>
      <c r="C163" t="e">
        <f t="shared" si="0"/>
        <v>#N/A</v>
      </c>
      <c r="D163" t="b">
        <f t="shared" si="1"/>
        <v>0</v>
      </c>
      <c r="E163">
        <f t="shared" si="2"/>
        <v>0</v>
      </c>
      <c r="F163" s="11"/>
    </row>
    <row r="164" spans="1:6" ht="16" x14ac:dyDescent="0.2">
      <c r="A164" s="12" t="s">
        <v>3749</v>
      </c>
      <c r="B164" s="13"/>
      <c r="C164" t="e">
        <f t="shared" si="0"/>
        <v>#N/A</v>
      </c>
      <c r="D164" t="b">
        <f t="shared" si="1"/>
        <v>0</v>
      </c>
      <c r="E164">
        <f t="shared" si="2"/>
        <v>0</v>
      </c>
      <c r="F164" s="11"/>
    </row>
    <row r="165" spans="1:6" ht="16" x14ac:dyDescent="0.2">
      <c r="A165" s="12" t="s">
        <v>3750</v>
      </c>
      <c r="B165" s="13"/>
      <c r="C165" t="e">
        <f t="shared" si="0"/>
        <v>#N/A</v>
      </c>
      <c r="D165" t="b">
        <f t="shared" si="1"/>
        <v>0</v>
      </c>
      <c r="E165">
        <f t="shared" si="2"/>
        <v>0</v>
      </c>
      <c r="F165" s="11"/>
    </row>
    <row r="166" spans="1:6" ht="16" x14ac:dyDescent="0.2">
      <c r="A166" s="12" t="s">
        <v>3751</v>
      </c>
      <c r="B166" s="13"/>
      <c r="C166" t="e">
        <f t="shared" si="0"/>
        <v>#N/A</v>
      </c>
      <c r="D166" t="b">
        <f t="shared" si="1"/>
        <v>0</v>
      </c>
      <c r="E166">
        <f t="shared" si="2"/>
        <v>0</v>
      </c>
      <c r="F166" s="11"/>
    </row>
    <row r="167" spans="1:6" ht="16" x14ac:dyDescent="0.2">
      <c r="A167" s="12" t="s">
        <v>3752</v>
      </c>
      <c r="B167" s="13"/>
      <c r="C167" t="e">
        <f t="shared" si="0"/>
        <v>#N/A</v>
      </c>
      <c r="D167" t="b">
        <f t="shared" si="1"/>
        <v>0</v>
      </c>
      <c r="E167">
        <f t="shared" si="2"/>
        <v>0</v>
      </c>
      <c r="F167" s="11"/>
    </row>
    <row r="168" spans="1:6" ht="16" x14ac:dyDescent="0.2">
      <c r="A168" s="12" t="s">
        <v>3753</v>
      </c>
      <c r="B168" s="13"/>
      <c r="C168" t="e">
        <f t="shared" si="0"/>
        <v>#N/A</v>
      </c>
      <c r="D168" t="b">
        <f t="shared" si="1"/>
        <v>0</v>
      </c>
      <c r="E168">
        <f t="shared" si="2"/>
        <v>0</v>
      </c>
      <c r="F168" s="11"/>
    </row>
    <row r="169" spans="1:6" ht="16" x14ac:dyDescent="0.2">
      <c r="A169" s="12" t="s">
        <v>3754</v>
      </c>
      <c r="B169" s="13"/>
      <c r="C169" t="e">
        <f t="shared" si="0"/>
        <v>#N/A</v>
      </c>
      <c r="D169" t="b">
        <f t="shared" si="1"/>
        <v>0</v>
      </c>
      <c r="E169">
        <f t="shared" si="2"/>
        <v>0</v>
      </c>
      <c r="F169" s="11"/>
    </row>
    <row r="170" spans="1:6" ht="16" x14ac:dyDescent="0.2">
      <c r="A170" s="12" t="s">
        <v>3755</v>
      </c>
      <c r="B170" s="13"/>
      <c r="C170" t="e">
        <f t="shared" si="0"/>
        <v>#N/A</v>
      </c>
      <c r="D170" t="b">
        <f t="shared" si="1"/>
        <v>0</v>
      </c>
      <c r="E170">
        <f t="shared" si="2"/>
        <v>0</v>
      </c>
      <c r="F170" s="11"/>
    </row>
    <row r="171" spans="1:6" ht="16" x14ac:dyDescent="0.2">
      <c r="A171" s="12" t="s">
        <v>3756</v>
      </c>
      <c r="B171" s="13"/>
      <c r="C171" t="e">
        <f t="shared" si="0"/>
        <v>#N/A</v>
      </c>
      <c r="D171" t="b">
        <f t="shared" si="1"/>
        <v>0</v>
      </c>
      <c r="E171">
        <f t="shared" si="2"/>
        <v>0</v>
      </c>
      <c r="F171" s="11"/>
    </row>
    <row r="172" spans="1:6" ht="16" x14ac:dyDescent="0.2">
      <c r="A172" s="12" t="s">
        <v>3757</v>
      </c>
      <c r="B172" s="13"/>
      <c r="C172" t="e">
        <f t="shared" si="0"/>
        <v>#N/A</v>
      </c>
      <c r="D172" t="b">
        <f t="shared" si="1"/>
        <v>0</v>
      </c>
      <c r="E172">
        <f t="shared" si="2"/>
        <v>0</v>
      </c>
      <c r="F172" s="11"/>
    </row>
    <row r="173" spans="1:6" ht="16" x14ac:dyDescent="0.2">
      <c r="A173" s="12" t="s">
        <v>3758</v>
      </c>
      <c r="B173" s="13"/>
      <c r="C173" t="e">
        <f t="shared" si="0"/>
        <v>#N/A</v>
      </c>
      <c r="D173" t="b">
        <f t="shared" si="1"/>
        <v>0</v>
      </c>
      <c r="E173">
        <f t="shared" si="2"/>
        <v>0</v>
      </c>
      <c r="F173" s="11"/>
    </row>
    <row r="174" spans="1:6" ht="16" x14ac:dyDescent="0.2">
      <c r="A174" s="12" t="s">
        <v>3759</v>
      </c>
      <c r="B174" s="13"/>
      <c r="C174" t="e">
        <f t="shared" si="0"/>
        <v>#N/A</v>
      </c>
      <c r="D174" t="b">
        <f t="shared" si="1"/>
        <v>0</v>
      </c>
      <c r="E174">
        <f t="shared" si="2"/>
        <v>0</v>
      </c>
      <c r="F174" s="11"/>
    </row>
    <row r="175" spans="1:6" ht="16" x14ac:dyDescent="0.2">
      <c r="A175" s="12" t="s">
        <v>3760</v>
      </c>
      <c r="B175" s="13"/>
      <c r="C175" t="e">
        <f t="shared" si="0"/>
        <v>#N/A</v>
      </c>
      <c r="D175" t="b">
        <f t="shared" si="1"/>
        <v>0</v>
      </c>
      <c r="E175">
        <f t="shared" si="2"/>
        <v>0</v>
      </c>
      <c r="F175" s="11"/>
    </row>
    <row r="176" spans="1:6" ht="16" x14ac:dyDescent="0.2">
      <c r="A176" s="12" t="s">
        <v>3761</v>
      </c>
      <c r="B176" s="13"/>
      <c r="C176" t="e">
        <f t="shared" si="0"/>
        <v>#N/A</v>
      </c>
      <c r="D176" t="b">
        <f t="shared" si="1"/>
        <v>0</v>
      </c>
      <c r="E176">
        <f t="shared" si="2"/>
        <v>0</v>
      </c>
      <c r="F176" s="11"/>
    </row>
    <row r="177" spans="1:6" ht="16" x14ac:dyDescent="0.2">
      <c r="A177" s="12" t="s">
        <v>3762</v>
      </c>
      <c r="B177" s="13"/>
      <c r="C177" t="e">
        <f t="shared" si="0"/>
        <v>#N/A</v>
      </c>
      <c r="D177" t="b">
        <f t="shared" si="1"/>
        <v>0</v>
      </c>
      <c r="E177">
        <f t="shared" si="2"/>
        <v>0</v>
      </c>
      <c r="F177" s="11"/>
    </row>
    <row r="178" spans="1:6" ht="16" x14ac:dyDescent="0.2">
      <c r="A178" s="12" t="s">
        <v>3763</v>
      </c>
      <c r="B178" s="13"/>
      <c r="C178" t="e">
        <f t="shared" si="0"/>
        <v>#N/A</v>
      </c>
      <c r="D178" t="b">
        <f t="shared" si="1"/>
        <v>0</v>
      </c>
      <c r="E178">
        <f t="shared" si="2"/>
        <v>0</v>
      </c>
      <c r="F178" s="11"/>
    </row>
    <row r="179" spans="1:6" ht="16" x14ac:dyDescent="0.2">
      <c r="A179" s="12" t="s">
        <v>3764</v>
      </c>
      <c r="B179" s="13"/>
      <c r="C179" t="e">
        <f t="shared" si="0"/>
        <v>#N/A</v>
      </c>
      <c r="D179" t="b">
        <f t="shared" si="1"/>
        <v>0</v>
      </c>
      <c r="E179">
        <f t="shared" si="2"/>
        <v>0</v>
      </c>
      <c r="F179" s="11"/>
    </row>
    <row r="180" spans="1:6" ht="16" x14ac:dyDescent="0.2">
      <c r="A180" s="12" t="s">
        <v>3765</v>
      </c>
      <c r="B180" s="13"/>
      <c r="C180" t="e">
        <f t="shared" si="0"/>
        <v>#N/A</v>
      </c>
      <c r="D180" t="b">
        <f t="shared" si="1"/>
        <v>0</v>
      </c>
      <c r="E180">
        <f t="shared" si="2"/>
        <v>0</v>
      </c>
      <c r="F180" s="11"/>
    </row>
    <row r="181" spans="1:6" ht="16" x14ac:dyDescent="0.2">
      <c r="A181" s="12" t="s">
        <v>3766</v>
      </c>
      <c r="B181" s="13"/>
      <c r="C181" t="e">
        <f t="shared" si="0"/>
        <v>#N/A</v>
      </c>
      <c r="D181" t="b">
        <f t="shared" si="1"/>
        <v>0</v>
      </c>
      <c r="E181">
        <f t="shared" si="2"/>
        <v>0</v>
      </c>
      <c r="F181" s="11"/>
    </row>
    <row r="182" spans="1:6" ht="16" x14ac:dyDescent="0.2">
      <c r="A182" s="12" t="s">
        <v>3767</v>
      </c>
      <c r="B182" s="13"/>
      <c r="C182" t="e">
        <f t="shared" si="0"/>
        <v>#N/A</v>
      </c>
      <c r="D182" t="b">
        <f t="shared" si="1"/>
        <v>0</v>
      </c>
      <c r="E182">
        <f t="shared" si="2"/>
        <v>0</v>
      </c>
      <c r="F182" s="11"/>
    </row>
    <row r="183" spans="1:6" ht="16" x14ac:dyDescent="0.2">
      <c r="A183" s="12" t="s">
        <v>3768</v>
      </c>
      <c r="B183" s="13"/>
      <c r="C183" t="e">
        <f t="shared" si="0"/>
        <v>#N/A</v>
      </c>
      <c r="D183" t="b">
        <f t="shared" si="1"/>
        <v>0</v>
      </c>
      <c r="E183">
        <f t="shared" si="2"/>
        <v>0</v>
      </c>
      <c r="F183" s="11"/>
    </row>
    <row r="184" spans="1:6" ht="16" x14ac:dyDescent="0.2">
      <c r="A184" s="12" t="s">
        <v>3769</v>
      </c>
      <c r="B184" s="13"/>
      <c r="C184" t="e">
        <f t="shared" si="0"/>
        <v>#N/A</v>
      </c>
      <c r="D184" t="b">
        <f t="shared" si="1"/>
        <v>0</v>
      </c>
      <c r="E184">
        <f t="shared" si="2"/>
        <v>0</v>
      </c>
      <c r="F184" s="11"/>
    </row>
    <row r="185" spans="1:6" ht="16" x14ac:dyDescent="0.2">
      <c r="A185" s="12" t="s">
        <v>3770</v>
      </c>
      <c r="B185" s="13"/>
      <c r="C185" t="e">
        <f t="shared" si="0"/>
        <v>#N/A</v>
      </c>
      <c r="D185" t="b">
        <f t="shared" si="1"/>
        <v>0</v>
      </c>
      <c r="E185">
        <f t="shared" si="2"/>
        <v>0</v>
      </c>
      <c r="F185" s="11"/>
    </row>
    <row r="186" spans="1:6" ht="16" x14ac:dyDescent="0.2">
      <c r="A186" s="12" t="s">
        <v>3771</v>
      </c>
      <c r="B186" s="13"/>
      <c r="C186" t="e">
        <f t="shared" si="0"/>
        <v>#N/A</v>
      </c>
      <c r="D186" t="b">
        <f t="shared" si="1"/>
        <v>0</v>
      </c>
      <c r="E186">
        <f t="shared" si="2"/>
        <v>0</v>
      </c>
      <c r="F186" s="11"/>
    </row>
    <row r="187" spans="1:6" ht="16" x14ac:dyDescent="0.2">
      <c r="A187" s="12" t="s">
        <v>3772</v>
      </c>
      <c r="B187" s="13"/>
      <c r="C187" t="e">
        <f t="shared" si="0"/>
        <v>#N/A</v>
      </c>
      <c r="D187" t="b">
        <f t="shared" si="1"/>
        <v>0</v>
      </c>
      <c r="E187">
        <f t="shared" si="2"/>
        <v>0</v>
      </c>
      <c r="F187" s="11"/>
    </row>
    <row r="188" spans="1:6" ht="16" x14ac:dyDescent="0.2">
      <c r="A188" s="12" t="s">
        <v>3773</v>
      </c>
      <c r="B188" s="13"/>
      <c r="C188" t="e">
        <f t="shared" si="0"/>
        <v>#N/A</v>
      </c>
      <c r="D188" t="b">
        <f t="shared" si="1"/>
        <v>0</v>
      </c>
      <c r="E188">
        <f t="shared" si="2"/>
        <v>0</v>
      </c>
      <c r="F188" s="11"/>
    </row>
    <row r="189" spans="1:6" ht="16" x14ac:dyDescent="0.2">
      <c r="A189" s="12" t="s">
        <v>3774</v>
      </c>
      <c r="B189" s="13"/>
      <c r="C189" t="e">
        <f t="shared" si="0"/>
        <v>#N/A</v>
      </c>
      <c r="D189" t="b">
        <f t="shared" si="1"/>
        <v>0</v>
      </c>
      <c r="E189">
        <f t="shared" si="2"/>
        <v>0</v>
      </c>
      <c r="F189" s="11"/>
    </row>
    <row r="190" spans="1:6" ht="16" x14ac:dyDescent="0.2">
      <c r="A190" s="12" t="s">
        <v>3775</v>
      </c>
      <c r="B190" s="13"/>
      <c r="C190" t="e">
        <f t="shared" si="0"/>
        <v>#N/A</v>
      </c>
      <c r="D190" t="b">
        <f t="shared" si="1"/>
        <v>0</v>
      </c>
      <c r="E190">
        <f t="shared" si="2"/>
        <v>0</v>
      </c>
      <c r="F190" s="11"/>
    </row>
    <row r="191" spans="1:6" ht="16" x14ac:dyDescent="0.2">
      <c r="A191" s="12" t="s">
        <v>3776</v>
      </c>
      <c r="B191" s="13"/>
      <c r="C191" t="e">
        <f t="shared" si="0"/>
        <v>#N/A</v>
      </c>
      <c r="D191" t="b">
        <f t="shared" si="1"/>
        <v>0</v>
      </c>
      <c r="E191">
        <f t="shared" si="2"/>
        <v>0</v>
      </c>
      <c r="F191" s="11"/>
    </row>
    <row r="192" spans="1:6" ht="16" x14ac:dyDescent="0.2">
      <c r="A192" s="12" t="s">
        <v>3777</v>
      </c>
      <c r="B192" s="13"/>
      <c r="C192" t="e">
        <f t="shared" si="0"/>
        <v>#N/A</v>
      </c>
      <c r="D192" t="b">
        <f t="shared" si="1"/>
        <v>0</v>
      </c>
      <c r="E192">
        <f t="shared" si="2"/>
        <v>0</v>
      </c>
      <c r="F192" s="11"/>
    </row>
    <row r="193" spans="1:6" ht="16" x14ac:dyDescent="0.2">
      <c r="A193" s="12" t="s">
        <v>3778</v>
      </c>
      <c r="B193" s="13"/>
      <c r="C193" t="e">
        <f t="shared" si="0"/>
        <v>#N/A</v>
      </c>
      <c r="D193" t="b">
        <f t="shared" si="1"/>
        <v>0</v>
      </c>
      <c r="E193">
        <f t="shared" si="2"/>
        <v>0</v>
      </c>
      <c r="F193" s="11"/>
    </row>
    <row r="194" spans="1:6" ht="16" x14ac:dyDescent="0.2">
      <c r="A194" s="12" t="s">
        <v>3779</v>
      </c>
      <c r="B194" s="13"/>
      <c r="C194" t="e">
        <f t="shared" si="0"/>
        <v>#N/A</v>
      </c>
      <c r="D194" t="b">
        <f t="shared" si="1"/>
        <v>0</v>
      </c>
      <c r="E194">
        <f t="shared" si="2"/>
        <v>0</v>
      </c>
      <c r="F194" s="11"/>
    </row>
    <row r="195" spans="1:6" ht="16" x14ac:dyDescent="0.2">
      <c r="A195" s="12" t="s">
        <v>3780</v>
      </c>
      <c r="B195" s="13"/>
      <c r="C195" t="e">
        <f t="shared" si="0"/>
        <v>#N/A</v>
      </c>
      <c r="D195" t="b">
        <f t="shared" si="1"/>
        <v>0</v>
      </c>
      <c r="E195">
        <f t="shared" si="2"/>
        <v>0</v>
      </c>
      <c r="F195" s="11"/>
    </row>
    <row r="196" spans="1:6" ht="16" x14ac:dyDescent="0.2">
      <c r="A196" s="12" t="s">
        <v>3781</v>
      </c>
      <c r="B196" s="13"/>
      <c r="C196" t="e">
        <f t="shared" si="0"/>
        <v>#N/A</v>
      </c>
      <c r="D196" t="b">
        <f t="shared" si="1"/>
        <v>0</v>
      </c>
      <c r="E196">
        <f t="shared" si="2"/>
        <v>0</v>
      </c>
      <c r="F196" s="11"/>
    </row>
    <row r="197" spans="1:6" ht="16" x14ac:dyDescent="0.2">
      <c r="A197" s="12" t="s">
        <v>3782</v>
      </c>
      <c r="B197" s="13"/>
      <c r="C197" t="e">
        <f t="shared" si="0"/>
        <v>#N/A</v>
      </c>
      <c r="D197" t="b">
        <f t="shared" si="1"/>
        <v>0</v>
      </c>
      <c r="E197">
        <f t="shared" si="2"/>
        <v>0</v>
      </c>
      <c r="F197" s="11"/>
    </row>
    <row r="198" spans="1:6" ht="16" x14ac:dyDescent="0.2">
      <c r="A198" s="12" t="s">
        <v>3783</v>
      </c>
      <c r="B198" s="13"/>
      <c r="C198" t="e">
        <f t="shared" si="0"/>
        <v>#N/A</v>
      </c>
      <c r="D198" t="b">
        <f t="shared" si="1"/>
        <v>0</v>
      </c>
      <c r="E198">
        <f t="shared" si="2"/>
        <v>0</v>
      </c>
      <c r="F198" s="11"/>
    </row>
    <row r="199" spans="1:6" ht="16" x14ac:dyDescent="0.2">
      <c r="A199" s="12" t="s">
        <v>3784</v>
      </c>
      <c r="B199" s="13"/>
      <c r="C199" t="e">
        <f t="shared" si="0"/>
        <v>#N/A</v>
      </c>
      <c r="D199" t="b">
        <f t="shared" si="1"/>
        <v>0</v>
      </c>
      <c r="E199">
        <f t="shared" si="2"/>
        <v>0</v>
      </c>
      <c r="F199" s="11"/>
    </row>
    <row r="200" spans="1:6" ht="16" x14ac:dyDescent="0.2">
      <c r="A200" s="12" t="s">
        <v>3785</v>
      </c>
      <c r="B200" s="13"/>
      <c r="C200" t="e">
        <f t="shared" si="0"/>
        <v>#N/A</v>
      </c>
      <c r="D200" t="b">
        <f t="shared" si="1"/>
        <v>0</v>
      </c>
      <c r="E200">
        <f t="shared" si="2"/>
        <v>0</v>
      </c>
      <c r="F200" s="11"/>
    </row>
    <row r="201" spans="1:6" ht="16" x14ac:dyDescent="0.2">
      <c r="A201" s="12" t="s">
        <v>3786</v>
      </c>
      <c r="B201" s="13"/>
      <c r="C201" t="e">
        <f t="shared" si="0"/>
        <v>#N/A</v>
      </c>
      <c r="D201" t="b">
        <f t="shared" si="1"/>
        <v>0</v>
      </c>
      <c r="E201">
        <f t="shared" si="2"/>
        <v>0</v>
      </c>
      <c r="F201" s="11"/>
    </row>
    <row r="202" spans="1:6" ht="16" x14ac:dyDescent="0.2">
      <c r="A202" s="12" t="s">
        <v>3787</v>
      </c>
      <c r="B202" s="13"/>
      <c r="C202" t="e">
        <f t="shared" si="0"/>
        <v>#N/A</v>
      </c>
      <c r="D202" t="b">
        <f t="shared" si="1"/>
        <v>0</v>
      </c>
      <c r="E202">
        <f t="shared" si="2"/>
        <v>0</v>
      </c>
      <c r="F202" s="11"/>
    </row>
    <row r="203" spans="1:6" ht="16" x14ac:dyDescent="0.2">
      <c r="A203" s="12" t="s">
        <v>3788</v>
      </c>
      <c r="B203" s="13"/>
      <c r="C203" t="e">
        <f t="shared" si="0"/>
        <v>#N/A</v>
      </c>
      <c r="D203" t="b">
        <f t="shared" si="1"/>
        <v>0</v>
      </c>
      <c r="E203">
        <f t="shared" si="2"/>
        <v>0</v>
      </c>
      <c r="F203" s="11"/>
    </row>
    <row r="204" spans="1:6" ht="16" x14ac:dyDescent="0.2">
      <c r="A204" s="12" t="s">
        <v>3789</v>
      </c>
      <c r="B204" s="13"/>
      <c r="C204" t="e">
        <f t="shared" si="0"/>
        <v>#N/A</v>
      </c>
      <c r="D204" t="b">
        <f t="shared" si="1"/>
        <v>0</v>
      </c>
      <c r="E204">
        <f t="shared" si="2"/>
        <v>0</v>
      </c>
      <c r="F204" s="11"/>
    </row>
    <row r="205" spans="1:6" ht="16" x14ac:dyDescent="0.2">
      <c r="A205" s="12" t="s">
        <v>3790</v>
      </c>
      <c r="B205" s="13"/>
      <c r="C205" t="e">
        <f t="shared" si="0"/>
        <v>#N/A</v>
      </c>
      <c r="D205" t="b">
        <f t="shared" si="1"/>
        <v>0</v>
      </c>
      <c r="E205">
        <f t="shared" si="2"/>
        <v>0</v>
      </c>
      <c r="F205" s="11"/>
    </row>
    <row r="206" spans="1:6" ht="16" x14ac:dyDescent="0.2">
      <c r="A206" s="12" t="s">
        <v>3791</v>
      </c>
      <c r="B206" s="13"/>
      <c r="C206" t="e">
        <f t="shared" si="0"/>
        <v>#N/A</v>
      </c>
      <c r="D206" t="b">
        <f t="shared" si="1"/>
        <v>0</v>
      </c>
      <c r="E206">
        <f t="shared" si="2"/>
        <v>0</v>
      </c>
      <c r="F206" s="11"/>
    </row>
    <row r="207" spans="1:6" ht="16" x14ac:dyDescent="0.2">
      <c r="A207" s="12" t="s">
        <v>3792</v>
      </c>
      <c r="B207" s="13"/>
      <c r="C207" t="e">
        <f t="shared" si="0"/>
        <v>#N/A</v>
      </c>
      <c r="D207" t="b">
        <f t="shared" si="1"/>
        <v>0</v>
      </c>
      <c r="E207">
        <f t="shared" si="2"/>
        <v>0</v>
      </c>
      <c r="F207" s="11"/>
    </row>
    <row r="208" spans="1:6" ht="16" x14ac:dyDescent="0.2">
      <c r="A208" s="12" t="s">
        <v>3793</v>
      </c>
      <c r="B208" s="13"/>
      <c r="C208" t="e">
        <f t="shared" si="0"/>
        <v>#N/A</v>
      </c>
      <c r="D208" t="b">
        <f t="shared" si="1"/>
        <v>0</v>
      </c>
      <c r="E208">
        <f t="shared" si="2"/>
        <v>0</v>
      </c>
      <c r="F208" s="11"/>
    </row>
    <row r="209" spans="1:6" ht="16" x14ac:dyDescent="0.2">
      <c r="A209" s="12" t="s">
        <v>3794</v>
      </c>
      <c r="B209" s="13"/>
      <c r="C209" t="e">
        <f t="shared" si="0"/>
        <v>#N/A</v>
      </c>
      <c r="D209" t="b">
        <f t="shared" si="1"/>
        <v>0</v>
      </c>
      <c r="E209">
        <f t="shared" si="2"/>
        <v>0</v>
      </c>
      <c r="F209" s="11"/>
    </row>
    <row r="210" spans="1:6" ht="16" x14ac:dyDescent="0.2">
      <c r="A210" s="12" t="s">
        <v>3795</v>
      </c>
      <c r="B210" s="13"/>
      <c r="C210" t="e">
        <f t="shared" si="0"/>
        <v>#N/A</v>
      </c>
      <c r="D210" t="b">
        <f t="shared" si="1"/>
        <v>0</v>
      </c>
      <c r="E210">
        <f t="shared" si="2"/>
        <v>0</v>
      </c>
      <c r="F210" s="11"/>
    </row>
    <row r="211" spans="1:6" ht="16" x14ac:dyDescent="0.2">
      <c r="A211" s="12" t="s">
        <v>3796</v>
      </c>
      <c r="B211" s="13"/>
      <c r="C211" t="e">
        <f t="shared" si="0"/>
        <v>#N/A</v>
      </c>
      <c r="D211" t="b">
        <f t="shared" si="1"/>
        <v>0</v>
      </c>
      <c r="E211">
        <f t="shared" si="2"/>
        <v>0</v>
      </c>
      <c r="F211" s="11"/>
    </row>
    <row r="212" spans="1:6" ht="16" x14ac:dyDescent="0.2">
      <c r="A212" s="12" t="s">
        <v>3797</v>
      </c>
      <c r="B212" s="13"/>
      <c r="C212" t="e">
        <f t="shared" si="0"/>
        <v>#N/A</v>
      </c>
      <c r="D212" t="b">
        <f t="shared" si="1"/>
        <v>0</v>
      </c>
      <c r="E212">
        <f t="shared" si="2"/>
        <v>0</v>
      </c>
      <c r="F212" s="11"/>
    </row>
    <row r="213" spans="1:6" ht="16" x14ac:dyDescent="0.2">
      <c r="A213" s="12" t="s">
        <v>3798</v>
      </c>
      <c r="B213" s="13"/>
      <c r="C213" t="e">
        <f t="shared" si="0"/>
        <v>#N/A</v>
      </c>
      <c r="D213" t="b">
        <f t="shared" si="1"/>
        <v>0</v>
      </c>
      <c r="E213">
        <f t="shared" si="2"/>
        <v>0</v>
      </c>
      <c r="F213" s="11"/>
    </row>
    <row r="214" spans="1:6" ht="16" x14ac:dyDescent="0.2">
      <c r="A214" s="12" t="s">
        <v>3799</v>
      </c>
      <c r="B214" s="13"/>
      <c r="C214" t="e">
        <f t="shared" si="0"/>
        <v>#N/A</v>
      </c>
      <c r="D214" t="b">
        <f t="shared" si="1"/>
        <v>0</v>
      </c>
      <c r="E214">
        <f t="shared" si="2"/>
        <v>0</v>
      </c>
      <c r="F214" s="11"/>
    </row>
    <row r="215" spans="1:6" ht="16" x14ac:dyDescent="0.2">
      <c r="A215" s="12" t="s">
        <v>3800</v>
      </c>
      <c r="B215" s="13"/>
      <c r="C215" t="e">
        <f t="shared" si="0"/>
        <v>#N/A</v>
      </c>
      <c r="D215" t="b">
        <f t="shared" si="1"/>
        <v>0</v>
      </c>
      <c r="E215">
        <f t="shared" si="2"/>
        <v>0</v>
      </c>
      <c r="F215" s="11"/>
    </row>
    <row r="216" spans="1:6" ht="16" x14ac:dyDescent="0.2">
      <c r="A216" s="12" t="s">
        <v>3801</v>
      </c>
      <c r="B216" s="13"/>
      <c r="C216" t="e">
        <f t="shared" si="0"/>
        <v>#N/A</v>
      </c>
      <c r="D216" t="b">
        <f t="shared" si="1"/>
        <v>0</v>
      </c>
      <c r="E216">
        <f t="shared" si="2"/>
        <v>0</v>
      </c>
      <c r="F216" s="11"/>
    </row>
    <row r="217" spans="1:6" ht="16" x14ac:dyDescent="0.2">
      <c r="A217" s="12" t="s">
        <v>3802</v>
      </c>
      <c r="B217" s="13"/>
      <c r="C217" t="e">
        <f t="shared" si="0"/>
        <v>#N/A</v>
      </c>
      <c r="D217" t="b">
        <f t="shared" si="1"/>
        <v>0</v>
      </c>
      <c r="E217">
        <f t="shared" si="2"/>
        <v>0</v>
      </c>
      <c r="F217" s="11"/>
    </row>
    <row r="218" spans="1:6" ht="16" x14ac:dyDescent="0.2">
      <c r="A218" s="12" t="s">
        <v>3803</v>
      </c>
      <c r="B218" s="13"/>
      <c r="C218" t="e">
        <f t="shared" si="0"/>
        <v>#N/A</v>
      </c>
      <c r="D218" t="b">
        <f t="shared" si="1"/>
        <v>0</v>
      </c>
      <c r="E218">
        <f t="shared" si="2"/>
        <v>0</v>
      </c>
      <c r="F218" s="11"/>
    </row>
    <row r="219" spans="1:6" ht="16" x14ac:dyDescent="0.2">
      <c r="A219" s="12" t="s">
        <v>3804</v>
      </c>
      <c r="B219" s="13"/>
      <c r="C219" t="e">
        <f t="shared" si="0"/>
        <v>#N/A</v>
      </c>
      <c r="D219" t="b">
        <f t="shared" si="1"/>
        <v>0</v>
      </c>
      <c r="E219">
        <f t="shared" si="2"/>
        <v>0</v>
      </c>
      <c r="F219" s="11"/>
    </row>
    <row r="220" spans="1:6" ht="16" x14ac:dyDescent="0.2">
      <c r="A220" s="12" t="s">
        <v>3805</v>
      </c>
      <c r="B220" s="13"/>
      <c r="C220" t="e">
        <f t="shared" si="0"/>
        <v>#N/A</v>
      </c>
      <c r="D220" t="b">
        <f t="shared" si="1"/>
        <v>0</v>
      </c>
      <c r="E220">
        <f t="shared" si="2"/>
        <v>0</v>
      </c>
      <c r="F220" s="11"/>
    </row>
    <row r="221" spans="1:6" ht="16" x14ac:dyDescent="0.2">
      <c r="A221" s="12" t="s">
        <v>3806</v>
      </c>
      <c r="B221" s="13"/>
      <c r="C221" t="e">
        <f t="shared" si="0"/>
        <v>#N/A</v>
      </c>
      <c r="D221" t="b">
        <f t="shared" si="1"/>
        <v>0</v>
      </c>
      <c r="E221">
        <f t="shared" si="2"/>
        <v>0</v>
      </c>
      <c r="F221" s="11"/>
    </row>
    <row r="222" spans="1:6" ht="16" x14ac:dyDescent="0.2">
      <c r="A222" s="12" t="s">
        <v>3807</v>
      </c>
      <c r="B222" s="13"/>
      <c r="C222" t="e">
        <f t="shared" si="0"/>
        <v>#N/A</v>
      </c>
      <c r="D222" t="b">
        <f t="shared" si="1"/>
        <v>0</v>
      </c>
      <c r="E222">
        <f t="shared" si="2"/>
        <v>0</v>
      </c>
      <c r="F222" s="11"/>
    </row>
    <row r="223" spans="1:6" ht="16" x14ac:dyDescent="0.2">
      <c r="A223" s="12" t="s">
        <v>3808</v>
      </c>
      <c r="B223" s="13"/>
      <c r="C223" t="e">
        <f t="shared" si="0"/>
        <v>#N/A</v>
      </c>
      <c r="D223" t="b">
        <f t="shared" si="1"/>
        <v>0</v>
      </c>
      <c r="E223">
        <f t="shared" si="2"/>
        <v>0</v>
      </c>
      <c r="F223" s="11"/>
    </row>
    <row r="224" spans="1:6" ht="16" x14ac:dyDescent="0.2">
      <c r="A224" s="12" t="s">
        <v>3809</v>
      </c>
      <c r="B224" s="13"/>
      <c r="C224" t="e">
        <f t="shared" si="0"/>
        <v>#N/A</v>
      </c>
      <c r="D224" t="b">
        <f t="shared" si="1"/>
        <v>0</v>
      </c>
      <c r="E224">
        <f t="shared" si="2"/>
        <v>0</v>
      </c>
      <c r="F224" s="11"/>
    </row>
    <row r="225" spans="1:6" ht="16" x14ac:dyDescent="0.2">
      <c r="A225" s="12" t="s">
        <v>3810</v>
      </c>
      <c r="B225" s="13"/>
      <c r="C225" t="e">
        <f t="shared" si="0"/>
        <v>#N/A</v>
      </c>
      <c r="D225" t="b">
        <f t="shared" si="1"/>
        <v>0</v>
      </c>
      <c r="E225">
        <f t="shared" si="2"/>
        <v>0</v>
      </c>
      <c r="F225" s="11"/>
    </row>
    <row r="226" spans="1:6" ht="16" x14ac:dyDescent="0.2">
      <c r="A226" s="12" t="s">
        <v>3811</v>
      </c>
      <c r="B226" s="13"/>
      <c r="C226" t="e">
        <f t="shared" si="0"/>
        <v>#N/A</v>
      </c>
      <c r="D226" t="b">
        <f t="shared" si="1"/>
        <v>0</v>
      </c>
      <c r="E226">
        <f t="shared" si="2"/>
        <v>0</v>
      </c>
      <c r="F226" s="11"/>
    </row>
    <row r="227" spans="1:6" ht="16" x14ac:dyDescent="0.2">
      <c r="A227" s="12" t="s">
        <v>3812</v>
      </c>
      <c r="B227" s="13"/>
      <c r="C227" t="e">
        <f t="shared" si="0"/>
        <v>#N/A</v>
      </c>
      <c r="D227" t="b">
        <f t="shared" si="1"/>
        <v>0</v>
      </c>
      <c r="E227">
        <f t="shared" si="2"/>
        <v>0</v>
      </c>
      <c r="F227" s="11"/>
    </row>
    <row r="228" spans="1:6" ht="16" x14ac:dyDescent="0.2">
      <c r="A228" s="12" t="s">
        <v>3813</v>
      </c>
      <c r="B228" s="13"/>
      <c r="C228" t="e">
        <f t="shared" si="0"/>
        <v>#N/A</v>
      </c>
      <c r="D228" t="b">
        <f t="shared" si="1"/>
        <v>0</v>
      </c>
      <c r="E228">
        <f t="shared" si="2"/>
        <v>0</v>
      </c>
      <c r="F228" s="11"/>
    </row>
    <row r="229" spans="1:6" ht="16" x14ac:dyDescent="0.2">
      <c r="A229" s="12" t="s">
        <v>3814</v>
      </c>
      <c r="B229" s="13"/>
      <c r="C229" t="e">
        <f t="shared" si="0"/>
        <v>#N/A</v>
      </c>
      <c r="D229" t="b">
        <f t="shared" si="1"/>
        <v>0</v>
      </c>
      <c r="E229">
        <f t="shared" si="2"/>
        <v>0</v>
      </c>
      <c r="F229" s="11"/>
    </row>
    <row r="230" spans="1:6" ht="16" x14ac:dyDescent="0.2">
      <c r="A230" s="12" t="s">
        <v>3815</v>
      </c>
      <c r="B230" s="13"/>
      <c r="C230" t="e">
        <f t="shared" si="0"/>
        <v>#N/A</v>
      </c>
      <c r="D230" t="b">
        <f t="shared" si="1"/>
        <v>0</v>
      </c>
      <c r="E230">
        <f t="shared" si="2"/>
        <v>0</v>
      </c>
      <c r="F230" s="11"/>
    </row>
    <row r="231" spans="1:6" ht="16" x14ac:dyDescent="0.2">
      <c r="A231" s="12" t="s">
        <v>3816</v>
      </c>
      <c r="B231" s="13"/>
      <c r="C231" t="e">
        <f t="shared" si="0"/>
        <v>#N/A</v>
      </c>
      <c r="D231" t="b">
        <f t="shared" si="1"/>
        <v>0</v>
      </c>
      <c r="E231">
        <f t="shared" si="2"/>
        <v>0</v>
      </c>
      <c r="F231" s="11"/>
    </row>
    <row r="232" spans="1:6" ht="16" x14ac:dyDescent="0.2">
      <c r="A232" s="12" t="s">
        <v>3817</v>
      </c>
      <c r="B232" s="13"/>
      <c r="C232" t="e">
        <f t="shared" si="0"/>
        <v>#N/A</v>
      </c>
      <c r="D232" t="b">
        <f t="shared" si="1"/>
        <v>0</v>
      </c>
      <c r="E232">
        <f t="shared" si="2"/>
        <v>0</v>
      </c>
      <c r="F232" s="11"/>
    </row>
    <row r="233" spans="1:6" ht="16" x14ac:dyDescent="0.2">
      <c r="A233" s="12" t="s">
        <v>3818</v>
      </c>
      <c r="B233" s="13"/>
      <c r="C233" t="e">
        <f t="shared" si="0"/>
        <v>#N/A</v>
      </c>
      <c r="D233" t="b">
        <f t="shared" si="1"/>
        <v>0</v>
      </c>
      <c r="E233">
        <f t="shared" si="2"/>
        <v>0</v>
      </c>
      <c r="F233" s="11"/>
    </row>
    <row r="234" spans="1:6" ht="16" x14ac:dyDescent="0.2">
      <c r="A234" s="12" t="s">
        <v>3819</v>
      </c>
      <c r="B234" s="13"/>
      <c r="C234" t="e">
        <f t="shared" si="0"/>
        <v>#N/A</v>
      </c>
      <c r="D234" t="b">
        <f t="shared" si="1"/>
        <v>0</v>
      </c>
      <c r="E234">
        <f t="shared" si="2"/>
        <v>0</v>
      </c>
      <c r="F234" s="11"/>
    </row>
    <row r="235" spans="1:6" ht="16" x14ac:dyDescent="0.2">
      <c r="A235" s="12" t="s">
        <v>3820</v>
      </c>
      <c r="B235" s="13"/>
      <c r="C235" t="e">
        <f t="shared" si="0"/>
        <v>#N/A</v>
      </c>
      <c r="D235" t="b">
        <f t="shared" si="1"/>
        <v>0</v>
      </c>
      <c r="E235">
        <f t="shared" si="2"/>
        <v>0</v>
      </c>
      <c r="F235" s="11"/>
    </row>
    <row r="236" spans="1:6" ht="16" x14ac:dyDescent="0.2">
      <c r="A236" s="12" t="s">
        <v>3821</v>
      </c>
      <c r="B236" s="13"/>
      <c r="C236" t="e">
        <f t="shared" si="0"/>
        <v>#N/A</v>
      </c>
      <c r="D236" t="b">
        <f t="shared" si="1"/>
        <v>0</v>
      </c>
      <c r="E236">
        <f t="shared" si="2"/>
        <v>0</v>
      </c>
      <c r="F236" s="11"/>
    </row>
    <row r="237" spans="1:6" ht="16" x14ac:dyDescent="0.2">
      <c r="A237" s="12" t="s">
        <v>3822</v>
      </c>
      <c r="B237" s="13"/>
      <c r="C237" t="e">
        <f t="shared" si="0"/>
        <v>#N/A</v>
      </c>
      <c r="D237" t="b">
        <f t="shared" si="1"/>
        <v>0</v>
      </c>
      <c r="E237">
        <f t="shared" si="2"/>
        <v>0</v>
      </c>
      <c r="F237" s="11"/>
    </row>
    <row r="238" spans="1:6" ht="16" x14ac:dyDescent="0.2">
      <c r="A238" s="12" t="s">
        <v>3823</v>
      </c>
      <c r="B238" s="13"/>
      <c r="C238" t="e">
        <f t="shared" si="0"/>
        <v>#N/A</v>
      </c>
      <c r="D238" t="b">
        <f t="shared" si="1"/>
        <v>0</v>
      </c>
      <c r="E238">
        <f t="shared" si="2"/>
        <v>0</v>
      </c>
      <c r="F238" s="11"/>
    </row>
    <row r="239" spans="1:6" ht="16" x14ac:dyDescent="0.2">
      <c r="A239" s="12" t="s">
        <v>3824</v>
      </c>
      <c r="B239" s="13"/>
      <c r="C239" t="e">
        <f t="shared" si="0"/>
        <v>#N/A</v>
      </c>
      <c r="D239" t="b">
        <f t="shared" si="1"/>
        <v>0</v>
      </c>
      <c r="E239">
        <f t="shared" si="2"/>
        <v>0</v>
      </c>
      <c r="F239" s="11"/>
    </row>
    <row r="240" spans="1:6" ht="16" x14ac:dyDescent="0.2">
      <c r="A240" s="12" t="s">
        <v>3825</v>
      </c>
      <c r="B240" s="13"/>
      <c r="C240" t="e">
        <f t="shared" si="0"/>
        <v>#N/A</v>
      </c>
      <c r="D240" t="b">
        <f t="shared" si="1"/>
        <v>0</v>
      </c>
      <c r="E240">
        <f t="shared" si="2"/>
        <v>0</v>
      </c>
      <c r="F240" s="11"/>
    </row>
    <row r="241" spans="1:6" ht="16" x14ac:dyDescent="0.2">
      <c r="A241" s="12" t="s">
        <v>3826</v>
      </c>
      <c r="B241" s="13"/>
      <c r="C241" t="e">
        <f t="shared" si="0"/>
        <v>#N/A</v>
      </c>
      <c r="D241" t="b">
        <f t="shared" si="1"/>
        <v>0</v>
      </c>
      <c r="E241">
        <f t="shared" si="2"/>
        <v>0</v>
      </c>
      <c r="F241" s="11"/>
    </row>
    <row r="242" spans="1:6" ht="16" x14ac:dyDescent="0.2">
      <c r="A242" s="12" t="s">
        <v>3827</v>
      </c>
      <c r="B242" s="13"/>
      <c r="C242" t="e">
        <f t="shared" si="0"/>
        <v>#N/A</v>
      </c>
      <c r="D242" t="b">
        <f t="shared" si="1"/>
        <v>0</v>
      </c>
      <c r="E242">
        <f t="shared" si="2"/>
        <v>0</v>
      </c>
      <c r="F242" s="11"/>
    </row>
    <row r="243" spans="1:6" ht="16" x14ac:dyDescent="0.2">
      <c r="A243" s="12" t="s">
        <v>3828</v>
      </c>
      <c r="B243" s="13"/>
      <c r="C243" t="e">
        <f t="shared" si="0"/>
        <v>#N/A</v>
      </c>
      <c r="D243" t="b">
        <f t="shared" si="1"/>
        <v>0</v>
      </c>
      <c r="E243">
        <f t="shared" si="2"/>
        <v>0</v>
      </c>
      <c r="F243" s="11"/>
    </row>
    <row r="244" spans="1:6" ht="16" x14ac:dyDescent="0.2">
      <c r="A244" s="12" t="s">
        <v>3829</v>
      </c>
      <c r="B244" s="13"/>
      <c r="C244" t="e">
        <f t="shared" si="0"/>
        <v>#N/A</v>
      </c>
      <c r="D244" t="b">
        <f t="shared" si="1"/>
        <v>0</v>
      </c>
      <c r="E244">
        <f t="shared" si="2"/>
        <v>0</v>
      </c>
      <c r="F244" s="11"/>
    </row>
    <row r="245" spans="1:6" ht="16" x14ac:dyDescent="0.2">
      <c r="A245" s="12" t="s">
        <v>3830</v>
      </c>
      <c r="B245" s="13"/>
      <c r="C245" t="e">
        <f t="shared" si="0"/>
        <v>#N/A</v>
      </c>
      <c r="D245" t="b">
        <f t="shared" si="1"/>
        <v>0</v>
      </c>
      <c r="E245">
        <f t="shared" si="2"/>
        <v>0</v>
      </c>
      <c r="F245" s="11"/>
    </row>
    <row r="246" spans="1:6" ht="16" x14ac:dyDescent="0.2">
      <c r="A246" s="12" t="s">
        <v>3831</v>
      </c>
      <c r="B246" s="13"/>
      <c r="C246" t="e">
        <f t="shared" si="0"/>
        <v>#N/A</v>
      </c>
      <c r="D246" t="b">
        <f t="shared" si="1"/>
        <v>0</v>
      </c>
      <c r="E246">
        <f t="shared" si="2"/>
        <v>0</v>
      </c>
      <c r="F246" s="11"/>
    </row>
    <row r="247" spans="1:6" ht="16" x14ac:dyDescent="0.2">
      <c r="A247" s="12" t="s">
        <v>3832</v>
      </c>
      <c r="B247" s="13"/>
      <c r="C247" t="e">
        <f t="shared" si="0"/>
        <v>#N/A</v>
      </c>
      <c r="D247" t="b">
        <f t="shared" si="1"/>
        <v>0</v>
      </c>
      <c r="E247">
        <f t="shared" si="2"/>
        <v>0</v>
      </c>
      <c r="F247" s="11"/>
    </row>
    <row r="248" spans="1:6" ht="16" x14ac:dyDescent="0.2">
      <c r="A248" s="12" t="s">
        <v>3833</v>
      </c>
      <c r="B248" s="13"/>
      <c r="C248" t="e">
        <f t="shared" si="0"/>
        <v>#N/A</v>
      </c>
      <c r="D248" t="b">
        <f t="shared" si="1"/>
        <v>0</v>
      </c>
      <c r="E248">
        <f t="shared" si="2"/>
        <v>0</v>
      </c>
      <c r="F248" s="11"/>
    </row>
    <row r="249" spans="1:6" ht="16" x14ac:dyDescent="0.2">
      <c r="A249" s="12" t="s">
        <v>3834</v>
      </c>
      <c r="B249" s="13"/>
      <c r="C249" t="e">
        <f t="shared" si="0"/>
        <v>#N/A</v>
      </c>
      <c r="D249" t="b">
        <f t="shared" si="1"/>
        <v>0</v>
      </c>
      <c r="E249">
        <f t="shared" si="2"/>
        <v>0</v>
      </c>
      <c r="F249" s="11"/>
    </row>
    <row r="250" spans="1:6" ht="16" x14ac:dyDescent="0.2">
      <c r="A250" s="12" t="s">
        <v>3835</v>
      </c>
      <c r="B250" s="13"/>
      <c r="C250" t="e">
        <f t="shared" si="0"/>
        <v>#N/A</v>
      </c>
      <c r="D250" t="b">
        <f t="shared" si="1"/>
        <v>0</v>
      </c>
      <c r="E250">
        <f t="shared" si="2"/>
        <v>0</v>
      </c>
      <c r="F250" s="11"/>
    </row>
    <row r="251" spans="1:6" ht="16" x14ac:dyDescent="0.2">
      <c r="A251" s="12" t="s">
        <v>3836</v>
      </c>
      <c r="B251" s="13"/>
      <c r="C251" t="e">
        <f t="shared" si="0"/>
        <v>#N/A</v>
      </c>
      <c r="D251" t="b">
        <f t="shared" si="1"/>
        <v>0</v>
      </c>
      <c r="E251">
        <f t="shared" si="2"/>
        <v>0</v>
      </c>
      <c r="F251" s="11"/>
    </row>
    <row r="252" spans="1:6" ht="16" x14ac:dyDescent="0.2">
      <c r="A252" s="12" t="s">
        <v>3837</v>
      </c>
      <c r="B252" s="13"/>
      <c r="C252" t="e">
        <f t="shared" si="0"/>
        <v>#N/A</v>
      </c>
      <c r="D252" t="b">
        <f t="shared" si="1"/>
        <v>0</v>
      </c>
      <c r="E252">
        <f t="shared" si="2"/>
        <v>0</v>
      </c>
      <c r="F252" s="11"/>
    </row>
    <row r="253" spans="1:6" ht="16" x14ac:dyDescent="0.2">
      <c r="A253" s="12" t="s">
        <v>3838</v>
      </c>
      <c r="B253" s="13"/>
      <c r="C253" t="e">
        <f t="shared" si="0"/>
        <v>#N/A</v>
      </c>
      <c r="D253" t="b">
        <f t="shared" si="1"/>
        <v>0</v>
      </c>
      <c r="E253">
        <f t="shared" si="2"/>
        <v>0</v>
      </c>
      <c r="F253" s="11"/>
    </row>
    <row r="254" spans="1:6" ht="16" x14ac:dyDescent="0.2">
      <c r="A254" s="12" t="s">
        <v>3839</v>
      </c>
      <c r="B254" s="13"/>
      <c r="C254" t="e">
        <f t="shared" si="0"/>
        <v>#N/A</v>
      </c>
      <c r="D254" t="b">
        <f t="shared" si="1"/>
        <v>0</v>
      </c>
      <c r="E254">
        <f t="shared" si="2"/>
        <v>0</v>
      </c>
      <c r="F254" s="11"/>
    </row>
    <row r="255" spans="1:6" ht="16" x14ac:dyDescent="0.2">
      <c r="A255" s="12" t="s">
        <v>3840</v>
      </c>
      <c r="B255" s="13"/>
      <c r="C255" t="e">
        <f t="shared" si="0"/>
        <v>#N/A</v>
      </c>
      <c r="D255" t="b">
        <f t="shared" si="1"/>
        <v>0</v>
      </c>
      <c r="E255">
        <f t="shared" si="2"/>
        <v>0</v>
      </c>
      <c r="F255" s="11"/>
    </row>
    <row r="256" spans="1:6" ht="16" x14ac:dyDescent="0.2">
      <c r="A256" s="12" t="s">
        <v>3841</v>
      </c>
      <c r="B256" s="13"/>
      <c r="C256" t="e">
        <f t="shared" si="0"/>
        <v>#N/A</v>
      </c>
      <c r="D256" t="b">
        <f t="shared" si="1"/>
        <v>0</v>
      </c>
      <c r="E256">
        <f t="shared" si="2"/>
        <v>0</v>
      </c>
      <c r="F256" s="11"/>
    </row>
    <row r="257" spans="1:6" ht="16" x14ac:dyDescent="0.2">
      <c r="A257" s="12" t="s">
        <v>3842</v>
      </c>
      <c r="B257" s="13"/>
      <c r="C257" t="e">
        <f t="shared" si="0"/>
        <v>#N/A</v>
      </c>
      <c r="D257" t="b">
        <f t="shared" si="1"/>
        <v>0</v>
      </c>
      <c r="E257">
        <f t="shared" si="2"/>
        <v>0</v>
      </c>
      <c r="F257" s="11"/>
    </row>
    <row r="258" spans="1:6" ht="16" x14ac:dyDescent="0.2">
      <c r="A258" s="12" t="s">
        <v>3843</v>
      </c>
      <c r="B258" s="13"/>
      <c r="C258" t="e">
        <f t="shared" si="0"/>
        <v>#N/A</v>
      </c>
      <c r="D258" t="b">
        <f t="shared" si="1"/>
        <v>0</v>
      </c>
      <c r="E258">
        <f t="shared" si="2"/>
        <v>0</v>
      </c>
      <c r="F258" s="11"/>
    </row>
    <row r="259" spans="1:6" ht="16" x14ac:dyDescent="0.2">
      <c r="A259" s="12" t="s">
        <v>3844</v>
      </c>
      <c r="B259" s="13"/>
      <c r="C259" t="e">
        <f t="shared" si="0"/>
        <v>#N/A</v>
      </c>
      <c r="D259" t="b">
        <f t="shared" si="1"/>
        <v>0</v>
      </c>
      <c r="E259">
        <f t="shared" si="2"/>
        <v>0</v>
      </c>
      <c r="F259" s="11"/>
    </row>
    <row r="260" spans="1:6" ht="16" x14ac:dyDescent="0.2">
      <c r="A260" s="12" t="s">
        <v>3845</v>
      </c>
      <c r="B260" s="13"/>
      <c r="C260" t="e">
        <f t="shared" si="0"/>
        <v>#N/A</v>
      </c>
      <c r="D260" t="b">
        <f t="shared" si="1"/>
        <v>0</v>
      </c>
      <c r="E260">
        <f t="shared" si="2"/>
        <v>0</v>
      </c>
      <c r="F260" s="11"/>
    </row>
    <row r="261" spans="1:6" ht="16" x14ac:dyDescent="0.2">
      <c r="A261" s="12" t="s">
        <v>3846</v>
      </c>
      <c r="B261" s="13"/>
      <c r="C261" t="e">
        <f t="shared" si="0"/>
        <v>#N/A</v>
      </c>
      <c r="D261" t="b">
        <f t="shared" si="1"/>
        <v>0</v>
      </c>
      <c r="E261">
        <f t="shared" si="2"/>
        <v>0</v>
      </c>
      <c r="F261" s="11"/>
    </row>
    <row r="262" spans="1:6" ht="16" x14ac:dyDescent="0.2">
      <c r="A262" s="12" t="s">
        <v>3847</v>
      </c>
      <c r="B262" s="13"/>
      <c r="C262" t="e">
        <f t="shared" si="0"/>
        <v>#N/A</v>
      </c>
      <c r="D262" t="b">
        <f t="shared" si="1"/>
        <v>0</v>
      </c>
      <c r="E262">
        <f t="shared" si="2"/>
        <v>0</v>
      </c>
      <c r="F262" s="11"/>
    </row>
    <row r="263" spans="1:6" ht="16" x14ac:dyDescent="0.2">
      <c r="A263" s="12" t="s">
        <v>3848</v>
      </c>
      <c r="B263" s="13"/>
      <c r="C263" t="e">
        <f t="shared" si="0"/>
        <v>#N/A</v>
      </c>
      <c r="D263" t="b">
        <f t="shared" si="1"/>
        <v>0</v>
      </c>
      <c r="E263">
        <f t="shared" si="2"/>
        <v>0</v>
      </c>
      <c r="F263" s="11"/>
    </row>
    <row r="264" spans="1:6" ht="16" x14ac:dyDescent="0.2">
      <c r="A264" s="12" t="s">
        <v>3849</v>
      </c>
      <c r="B264" s="13"/>
      <c r="C264" t="e">
        <f t="shared" si="0"/>
        <v>#N/A</v>
      </c>
      <c r="D264" t="b">
        <f t="shared" si="1"/>
        <v>0</v>
      </c>
      <c r="E264">
        <f t="shared" si="2"/>
        <v>0</v>
      </c>
      <c r="F264" s="11"/>
    </row>
    <row r="265" spans="1:6" ht="16" x14ac:dyDescent="0.2">
      <c r="A265" s="12" t="s">
        <v>3850</v>
      </c>
      <c r="B265" s="13"/>
      <c r="C265" t="e">
        <f t="shared" si="0"/>
        <v>#N/A</v>
      </c>
      <c r="D265" t="b">
        <f t="shared" si="1"/>
        <v>0</v>
      </c>
      <c r="E265">
        <f t="shared" si="2"/>
        <v>0</v>
      </c>
      <c r="F265" s="11"/>
    </row>
    <row r="266" spans="1:6" ht="16" x14ac:dyDescent="0.2">
      <c r="A266" s="12" t="s">
        <v>3851</v>
      </c>
      <c r="B266" s="13"/>
      <c r="C266" t="e">
        <f t="shared" si="0"/>
        <v>#N/A</v>
      </c>
      <c r="D266" t="b">
        <f t="shared" si="1"/>
        <v>0</v>
      </c>
      <c r="E266">
        <f t="shared" si="2"/>
        <v>0</v>
      </c>
      <c r="F266" s="11"/>
    </row>
    <row r="267" spans="1:6" ht="16" x14ac:dyDescent="0.2">
      <c r="A267" s="12" t="s">
        <v>3852</v>
      </c>
      <c r="B267" s="13"/>
      <c r="C267" t="e">
        <f t="shared" si="0"/>
        <v>#N/A</v>
      </c>
      <c r="D267" t="b">
        <f t="shared" si="1"/>
        <v>0</v>
      </c>
      <c r="E267">
        <f t="shared" si="2"/>
        <v>0</v>
      </c>
      <c r="F267" s="11"/>
    </row>
    <row r="268" spans="1:6" ht="16" x14ac:dyDescent="0.2">
      <c r="A268" s="12" t="s">
        <v>3853</v>
      </c>
      <c r="B268" s="13"/>
      <c r="C268" t="e">
        <f t="shared" si="0"/>
        <v>#N/A</v>
      </c>
      <c r="D268" t="b">
        <f t="shared" si="1"/>
        <v>0</v>
      </c>
      <c r="E268">
        <f t="shared" si="2"/>
        <v>0</v>
      </c>
      <c r="F268" s="11"/>
    </row>
    <row r="269" spans="1:6" ht="16" x14ac:dyDescent="0.2">
      <c r="A269" s="12" t="s">
        <v>3854</v>
      </c>
      <c r="B269" s="13"/>
      <c r="C269" t="e">
        <f t="shared" si="0"/>
        <v>#N/A</v>
      </c>
      <c r="D269" t="b">
        <f t="shared" si="1"/>
        <v>0</v>
      </c>
      <c r="E269">
        <f t="shared" si="2"/>
        <v>0</v>
      </c>
      <c r="F269" s="11"/>
    </row>
    <row r="270" spans="1:6" ht="16" x14ac:dyDescent="0.2">
      <c r="A270" s="12" t="s">
        <v>3855</v>
      </c>
      <c r="B270" s="13"/>
      <c r="C270" t="e">
        <f t="shared" si="0"/>
        <v>#N/A</v>
      </c>
      <c r="D270" t="b">
        <f t="shared" si="1"/>
        <v>0</v>
      </c>
      <c r="E270">
        <f t="shared" si="2"/>
        <v>0</v>
      </c>
      <c r="F270" s="11"/>
    </row>
    <row r="271" spans="1:6" ht="16" x14ac:dyDescent="0.2">
      <c r="A271" s="12" t="s">
        <v>3856</v>
      </c>
      <c r="B271" s="13"/>
      <c r="C271" t="e">
        <f t="shared" si="0"/>
        <v>#N/A</v>
      </c>
      <c r="D271" t="b">
        <f t="shared" si="1"/>
        <v>0</v>
      </c>
      <c r="E271">
        <f t="shared" si="2"/>
        <v>0</v>
      </c>
      <c r="F271" s="11"/>
    </row>
    <row r="272" spans="1:6" ht="16" x14ac:dyDescent="0.2">
      <c r="A272" s="12" t="s">
        <v>3857</v>
      </c>
      <c r="B272" s="13"/>
      <c r="C272" t="e">
        <f t="shared" si="0"/>
        <v>#N/A</v>
      </c>
      <c r="D272" t="b">
        <f t="shared" si="1"/>
        <v>0</v>
      </c>
      <c r="E272">
        <f t="shared" si="2"/>
        <v>0</v>
      </c>
      <c r="F272" s="11"/>
    </row>
    <row r="273" spans="1:6" ht="16" x14ac:dyDescent="0.2">
      <c r="A273" s="12" t="s">
        <v>3858</v>
      </c>
      <c r="B273" s="13"/>
      <c r="C273" t="e">
        <f t="shared" si="0"/>
        <v>#N/A</v>
      </c>
      <c r="D273" t="b">
        <f t="shared" si="1"/>
        <v>0</v>
      </c>
      <c r="E273">
        <f t="shared" si="2"/>
        <v>0</v>
      </c>
      <c r="F273" s="11"/>
    </row>
    <row r="274" spans="1:6" ht="16" x14ac:dyDescent="0.2">
      <c r="A274" s="12" t="s">
        <v>3859</v>
      </c>
      <c r="B274" s="13"/>
      <c r="C274" t="e">
        <f t="shared" si="0"/>
        <v>#N/A</v>
      </c>
      <c r="D274" t="b">
        <f t="shared" si="1"/>
        <v>0</v>
      </c>
      <c r="E274">
        <f t="shared" si="2"/>
        <v>0</v>
      </c>
      <c r="F274" s="11"/>
    </row>
    <row r="275" spans="1:6" ht="16" x14ac:dyDescent="0.2">
      <c r="A275" s="12" t="s">
        <v>3860</v>
      </c>
      <c r="B275" s="13"/>
      <c r="C275" t="e">
        <f t="shared" si="0"/>
        <v>#N/A</v>
      </c>
      <c r="D275" t="b">
        <f t="shared" si="1"/>
        <v>0</v>
      </c>
      <c r="E275">
        <f t="shared" si="2"/>
        <v>0</v>
      </c>
      <c r="F275" s="11"/>
    </row>
    <row r="276" spans="1:6" ht="16" x14ac:dyDescent="0.2">
      <c r="A276" s="12" t="s">
        <v>3861</v>
      </c>
      <c r="B276" s="13"/>
      <c r="C276" t="e">
        <f t="shared" si="0"/>
        <v>#N/A</v>
      </c>
      <c r="D276" t="b">
        <f t="shared" si="1"/>
        <v>0</v>
      </c>
      <c r="E276">
        <f t="shared" si="2"/>
        <v>0</v>
      </c>
      <c r="F276" s="11"/>
    </row>
    <row r="277" spans="1:6" ht="16" x14ac:dyDescent="0.2">
      <c r="A277" s="12" t="s">
        <v>3862</v>
      </c>
      <c r="B277" s="13"/>
      <c r="C277" t="e">
        <f t="shared" si="0"/>
        <v>#N/A</v>
      </c>
      <c r="D277" t="b">
        <f t="shared" si="1"/>
        <v>0</v>
      </c>
      <c r="E277">
        <f t="shared" si="2"/>
        <v>0</v>
      </c>
      <c r="F277" s="11"/>
    </row>
    <row r="278" spans="1:6" ht="16" x14ac:dyDescent="0.2">
      <c r="A278" s="12" t="s">
        <v>3863</v>
      </c>
      <c r="B278" s="13"/>
      <c r="C278" t="e">
        <f t="shared" si="0"/>
        <v>#N/A</v>
      </c>
      <c r="D278" t="b">
        <f t="shared" si="1"/>
        <v>0</v>
      </c>
      <c r="E278">
        <f t="shared" si="2"/>
        <v>0</v>
      </c>
      <c r="F278" s="11"/>
    </row>
    <row r="279" spans="1:6" ht="16" x14ac:dyDescent="0.2">
      <c r="A279" s="12" t="s">
        <v>3864</v>
      </c>
      <c r="B279" s="13"/>
      <c r="C279" t="e">
        <f t="shared" si="0"/>
        <v>#N/A</v>
      </c>
      <c r="D279" t="b">
        <f t="shared" si="1"/>
        <v>0</v>
      </c>
      <c r="E279">
        <f t="shared" si="2"/>
        <v>0</v>
      </c>
      <c r="F279" s="11"/>
    </row>
    <row r="280" spans="1:6" ht="16" x14ac:dyDescent="0.2">
      <c r="A280" s="12" t="s">
        <v>3865</v>
      </c>
      <c r="B280" s="13"/>
      <c r="C280" t="e">
        <f t="shared" si="0"/>
        <v>#N/A</v>
      </c>
      <c r="D280" t="b">
        <f t="shared" si="1"/>
        <v>0</v>
      </c>
      <c r="E280">
        <f t="shared" si="2"/>
        <v>0</v>
      </c>
      <c r="F280" s="11"/>
    </row>
    <row r="281" spans="1:6" ht="16" x14ac:dyDescent="0.2">
      <c r="A281" s="12" t="s">
        <v>3866</v>
      </c>
      <c r="B281" s="13"/>
      <c r="C281" t="e">
        <f t="shared" si="0"/>
        <v>#N/A</v>
      </c>
      <c r="D281" t="b">
        <f t="shared" si="1"/>
        <v>0</v>
      </c>
      <c r="E281">
        <f t="shared" si="2"/>
        <v>0</v>
      </c>
      <c r="F281" s="11"/>
    </row>
    <row r="282" spans="1:6" ht="16" x14ac:dyDescent="0.2">
      <c r="A282" s="12" t="s">
        <v>3867</v>
      </c>
      <c r="B282" s="13"/>
      <c r="C282" t="e">
        <f t="shared" si="0"/>
        <v>#N/A</v>
      </c>
      <c r="D282" t="b">
        <f t="shared" si="1"/>
        <v>0</v>
      </c>
      <c r="E282">
        <f t="shared" si="2"/>
        <v>0</v>
      </c>
      <c r="F282" s="11"/>
    </row>
    <row r="283" spans="1:6" ht="16" x14ac:dyDescent="0.2">
      <c r="A283" s="12" t="s">
        <v>3868</v>
      </c>
      <c r="B283" s="13"/>
      <c r="C283" t="e">
        <f t="shared" si="0"/>
        <v>#N/A</v>
      </c>
      <c r="D283" t="b">
        <f t="shared" si="1"/>
        <v>0</v>
      </c>
      <c r="E283">
        <f t="shared" si="2"/>
        <v>0</v>
      </c>
      <c r="F283" s="11"/>
    </row>
    <row r="284" spans="1:6" ht="16" x14ac:dyDescent="0.2">
      <c r="A284" s="12" t="s">
        <v>3869</v>
      </c>
      <c r="B284" s="13"/>
      <c r="C284" t="e">
        <f t="shared" si="0"/>
        <v>#N/A</v>
      </c>
      <c r="D284" t="b">
        <f t="shared" si="1"/>
        <v>0</v>
      </c>
      <c r="E284">
        <f t="shared" si="2"/>
        <v>0</v>
      </c>
      <c r="F284" s="11"/>
    </row>
    <row r="285" spans="1:6" ht="16" x14ac:dyDescent="0.2">
      <c r="A285" s="12" t="s">
        <v>3870</v>
      </c>
      <c r="B285" s="13"/>
      <c r="C285" t="e">
        <f t="shared" si="0"/>
        <v>#N/A</v>
      </c>
      <c r="D285" t="b">
        <f t="shared" si="1"/>
        <v>0</v>
      </c>
      <c r="E285">
        <f t="shared" si="2"/>
        <v>0</v>
      </c>
      <c r="F285" s="11"/>
    </row>
    <row r="286" spans="1:6" ht="16" x14ac:dyDescent="0.2">
      <c r="A286" s="12" t="s">
        <v>3871</v>
      </c>
      <c r="B286" s="13"/>
      <c r="C286" t="e">
        <f t="shared" si="0"/>
        <v>#N/A</v>
      </c>
      <c r="D286" t="b">
        <f t="shared" si="1"/>
        <v>0</v>
      </c>
      <c r="E286">
        <f t="shared" si="2"/>
        <v>0</v>
      </c>
      <c r="F286" s="11"/>
    </row>
    <row r="287" spans="1:6" ht="16" x14ac:dyDescent="0.2">
      <c r="A287" s="12" t="s">
        <v>3872</v>
      </c>
      <c r="B287" s="13"/>
      <c r="C287" t="e">
        <f t="shared" si="0"/>
        <v>#N/A</v>
      </c>
      <c r="D287" t="b">
        <f t="shared" si="1"/>
        <v>0</v>
      </c>
      <c r="E287">
        <f t="shared" si="2"/>
        <v>0</v>
      </c>
      <c r="F287" s="11"/>
    </row>
    <row r="288" spans="1:6" ht="16" x14ac:dyDescent="0.2">
      <c r="A288" s="12" t="s">
        <v>3873</v>
      </c>
      <c r="B288" s="13"/>
      <c r="C288" t="e">
        <f t="shared" si="0"/>
        <v>#N/A</v>
      </c>
      <c r="D288" t="b">
        <f t="shared" si="1"/>
        <v>0</v>
      </c>
      <c r="E288">
        <f t="shared" si="2"/>
        <v>0</v>
      </c>
      <c r="F288" s="11"/>
    </row>
    <row r="289" spans="1:6" ht="16" x14ac:dyDescent="0.2">
      <c r="A289" s="12" t="s">
        <v>3874</v>
      </c>
      <c r="B289" s="13"/>
      <c r="C289" t="e">
        <f t="shared" si="0"/>
        <v>#N/A</v>
      </c>
      <c r="D289" t="b">
        <f t="shared" si="1"/>
        <v>0</v>
      </c>
      <c r="E289">
        <f t="shared" si="2"/>
        <v>0</v>
      </c>
      <c r="F289" s="11"/>
    </row>
    <row r="290" spans="1:6" ht="16" x14ac:dyDescent="0.2">
      <c r="A290" s="12" t="s">
        <v>3875</v>
      </c>
      <c r="B290" s="13"/>
      <c r="C290" t="e">
        <f t="shared" si="0"/>
        <v>#N/A</v>
      </c>
      <c r="D290" t="b">
        <f t="shared" si="1"/>
        <v>0</v>
      </c>
      <c r="E290">
        <f t="shared" si="2"/>
        <v>0</v>
      </c>
      <c r="F290" s="11"/>
    </row>
    <row r="291" spans="1:6" ht="16" x14ac:dyDescent="0.2">
      <c r="A291" s="12" t="s">
        <v>3876</v>
      </c>
      <c r="B291" s="13"/>
      <c r="C291" t="e">
        <f t="shared" si="0"/>
        <v>#N/A</v>
      </c>
      <c r="D291" t="b">
        <f t="shared" si="1"/>
        <v>0</v>
      </c>
      <c r="E291">
        <f t="shared" si="2"/>
        <v>0</v>
      </c>
      <c r="F291" s="11"/>
    </row>
    <row r="292" spans="1:6" ht="16" x14ac:dyDescent="0.2">
      <c r="A292" s="12" t="s">
        <v>3877</v>
      </c>
      <c r="B292" s="13"/>
      <c r="C292" t="e">
        <f t="shared" si="0"/>
        <v>#N/A</v>
      </c>
      <c r="D292" t="b">
        <f t="shared" si="1"/>
        <v>0</v>
      </c>
      <c r="E292">
        <f t="shared" si="2"/>
        <v>0</v>
      </c>
      <c r="F292" s="11"/>
    </row>
    <row r="293" spans="1:6" ht="16" x14ac:dyDescent="0.2">
      <c r="A293" s="12" t="s">
        <v>3878</v>
      </c>
      <c r="B293" s="13"/>
      <c r="C293" t="e">
        <f t="shared" si="0"/>
        <v>#N/A</v>
      </c>
      <c r="D293" t="b">
        <f t="shared" si="1"/>
        <v>0</v>
      </c>
      <c r="E293">
        <f t="shared" si="2"/>
        <v>0</v>
      </c>
      <c r="F293" s="11"/>
    </row>
    <row r="294" spans="1:6" ht="16" x14ac:dyDescent="0.2">
      <c r="A294" s="12" t="s">
        <v>3879</v>
      </c>
      <c r="B294" s="13"/>
      <c r="C294" t="e">
        <f t="shared" si="0"/>
        <v>#N/A</v>
      </c>
      <c r="D294" t="b">
        <f t="shared" si="1"/>
        <v>0</v>
      </c>
      <c r="E294">
        <f t="shared" si="2"/>
        <v>0</v>
      </c>
      <c r="F294" s="11"/>
    </row>
    <row r="295" spans="1:6" ht="16" x14ac:dyDescent="0.2">
      <c r="A295" s="12" t="s">
        <v>3880</v>
      </c>
      <c r="B295" s="13"/>
      <c r="C295" t="e">
        <f t="shared" si="0"/>
        <v>#N/A</v>
      </c>
      <c r="D295" t="b">
        <f t="shared" si="1"/>
        <v>0</v>
      </c>
      <c r="E295">
        <f t="shared" si="2"/>
        <v>0</v>
      </c>
      <c r="F295" s="11"/>
    </row>
    <row r="296" spans="1:6" ht="16" x14ac:dyDescent="0.2">
      <c r="A296" s="12" t="s">
        <v>3881</v>
      </c>
      <c r="B296" s="13"/>
      <c r="C296" t="e">
        <f t="shared" si="0"/>
        <v>#N/A</v>
      </c>
      <c r="D296" t="b">
        <f t="shared" si="1"/>
        <v>0</v>
      </c>
      <c r="E296">
        <f t="shared" si="2"/>
        <v>0</v>
      </c>
      <c r="F296" s="11"/>
    </row>
    <row r="297" spans="1:6" ht="16" x14ac:dyDescent="0.2">
      <c r="A297" s="12" t="s">
        <v>3882</v>
      </c>
      <c r="B297" s="13"/>
      <c r="C297" t="e">
        <f t="shared" si="0"/>
        <v>#N/A</v>
      </c>
      <c r="D297" t="b">
        <f t="shared" si="1"/>
        <v>0</v>
      </c>
      <c r="E297">
        <f t="shared" si="2"/>
        <v>0</v>
      </c>
      <c r="F297" s="11"/>
    </row>
    <row r="298" spans="1:6" ht="16" x14ac:dyDescent="0.2">
      <c r="A298" s="12" t="s">
        <v>3883</v>
      </c>
      <c r="B298" s="13"/>
      <c r="C298" t="e">
        <f t="shared" si="0"/>
        <v>#N/A</v>
      </c>
      <c r="D298" t="b">
        <f t="shared" si="1"/>
        <v>0</v>
      </c>
      <c r="E298">
        <f t="shared" si="2"/>
        <v>0</v>
      </c>
      <c r="F298" s="11"/>
    </row>
    <row r="299" spans="1:6" ht="16" x14ac:dyDescent="0.2">
      <c r="A299" s="12" t="s">
        <v>3884</v>
      </c>
      <c r="B299" s="13"/>
      <c r="C299" t="e">
        <f t="shared" si="0"/>
        <v>#N/A</v>
      </c>
      <c r="D299" t="b">
        <f t="shared" si="1"/>
        <v>0</v>
      </c>
      <c r="E299">
        <f t="shared" si="2"/>
        <v>0</v>
      </c>
      <c r="F299" s="11"/>
    </row>
    <row r="300" spans="1:6" ht="16" x14ac:dyDescent="0.2">
      <c r="A300" s="12" t="s">
        <v>3885</v>
      </c>
      <c r="B300" s="13"/>
      <c r="C300" t="e">
        <f t="shared" si="0"/>
        <v>#N/A</v>
      </c>
      <c r="D300" t="b">
        <f t="shared" si="1"/>
        <v>0</v>
      </c>
      <c r="E300">
        <f t="shared" si="2"/>
        <v>0</v>
      </c>
      <c r="F300" s="11"/>
    </row>
    <row r="301" spans="1:6" ht="16" x14ac:dyDescent="0.2">
      <c r="A301" s="12" t="s">
        <v>3886</v>
      </c>
      <c r="B301" s="13"/>
      <c r="C301" t="e">
        <f t="shared" si="0"/>
        <v>#N/A</v>
      </c>
      <c r="D301" t="b">
        <f t="shared" si="1"/>
        <v>0</v>
      </c>
      <c r="E301">
        <f t="shared" si="2"/>
        <v>0</v>
      </c>
      <c r="F301" s="11"/>
    </row>
    <row r="302" spans="1:6" ht="16" x14ac:dyDescent="0.2">
      <c r="A302" s="12" t="s">
        <v>3887</v>
      </c>
      <c r="B302" s="13"/>
      <c r="C302" t="e">
        <f t="shared" si="0"/>
        <v>#N/A</v>
      </c>
      <c r="D302" t="b">
        <f t="shared" si="1"/>
        <v>0</v>
      </c>
      <c r="E302">
        <f t="shared" si="2"/>
        <v>0</v>
      </c>
      <c r="F302" s="11"/>
    </row>
    <row r="303" spans="1:6" ht="16" x14ac:dyDescent="0.2">
      <c r="A303" s="12" t="s">
        <v>3888</v>
      </c>
      <c r="B303" s="13"/>
      <c r="C303" t="e">
        <f t="shared" si="0"/>
        <v>#N/A</v>
      </c>
      <c r="D303" t="b">
        <f t="shared" si="1"/>
        <v>0</v>
      </c>
      <c r="E303">
        <f t="shared" si="2"/>
        <v>0</v>
      </c>
      <c r="F303" s="11"/>
    </row>
    <row r="304" spans="1:6" ht="16" x14ac:dyDescent="0.2">
      <c r="A304" s="12" t="s">
        <v>3889</v>
      </c>
      <c r="B304" s="13"/>
      <c r="C304" t="e">
        <f t="shared" si="0"/>
        <v>#N/A</v>
      </c>
      <c r="D304" t="b">
        <f t="shared" si="1"/>
        <v>0</v>
      </c>
      <c r="E304">
        <f t="shared" si="2"/>
        <v>0</v>
      </c>
      <c r="F304" s="11"/>
    </row>
    <row r="305" spans="1:6" ht="16" x14ac:dyDescent="0.2">
      <c r="A305" s="12" t="s">
        <v>3890</v>
      </c>
      <c r="B305" s="13"/>
      <c r="C305" t="e">
        <f t="shared" si="0"/>
        <v>#N/A</v>
      </c>
      <c r="D305" t="b">
        <f t="shared" si="1"/>
        <v>0</v>
      </c>
      <c r="E305">
        <f t="shared" si="2"/>
        <v>0</v>
      </c>
      <c r="F305" s="11"/>
    </row>
    <row r="306" spans="1:6" ht="16" x14ac:dyDescent="0.2">
      <c r="A306" s="12" t="s">
        <v>3891</v>
      </c>
      <c r="B306" s="13"/>
      <c r="C306" t="e">
        <f t="shared" si="0"/>
        <v>#N/A</v>
      </c>
      <c r="D306" t="b">
        <f t="shared" si="1"/>
        <v>0</v>
      </c>
      <c r="E306">
        <f t="shared" si="2"/>
        <v>0</v>
      </c>
      <c r="F306" s="11"/>
    </row>
    <row r="307" spans="1:6" ht="16" x14ac:dyDescent="0.2">
      <c r="A307" s="12" t="s">
        <v>3891</v>
      </c>
      <c r="B307" s="13"/>
      <c r="C307" t="e">
        <f t="shared" si="0"/>
        <v>#N/A</v>
      </c>
      <c r="D307" t="b">
        <f t="shared" si="1"/>
        <v>0</v>
      </c>
      <c r="E307">
        <f t="shared" si="2"/>
        <v>0</v>
      </c>
      <c r="F307" s="11"/>
    </row>
    <row r="308" spans="1:6" ht="16" x14ac:dyDescent="0.2">
      <c r="A308" s="12" t="s">
        <v>3892</v>
      </c>
      <c r="B308" s="13"/>
      <c r="C308" t="e">
        <f t="shared" si="0"/>
        <v>#N/A</v>
      </c>
      <c r="D308" t="b">
        <f t="shared" si="1"/>
        <v>0</v>
      </c>
      <c r="E308">
        <f t="shared" si="2"/>
        <v>0</v>
      </c>
      <c r="F308" s="11"/>
    </row>
    <row r="309" spans="1:6" ht="16" x14ac:dyDescent="0.2">
      <c r="A309" s="12" t="s">
        <v>3893</v>
      </c>
      <c r="B309" s="13"/>
      <c r="C309" t="e">
        <f t="shared" si="0"/>
        <v>#N/A</v>
      </c>
      <c r="D309" t="b">
        <f t="shared" si="1"/>
        <v>0</v>
      </c>
      <c r="E309">
        <f t="shared" si="2"/>
        <v>0</v>
      </c>
      <c r="F309" s="11"/>
    </row>
    <row r="310" spans="1:6" ht="16" x14ac:dyDescent="0.2">
      <c r="A310" s="12" t="s">
        <v>3894</v>
      </c>
      <c r="B310" s="13"/>
      <c r="C310" t="e">
        <f t="shared" si="0"/>
        <v>#N/A</v>
      </c>
      <c r="D310" t="b">
        <f t="shared" si="1"/>
        <v>0</v>
      </c>
      <c r="E310">
        <f t="shared" si="2"/>
        <v>0</v>
      </c>
      <c r="F310" s="11"/>
    </row>
    <row r="311" spans="1:6" ht="16" x14ac:dyDescent="0.2">
      <c r="A311" s="12" t="s">
        <v>3895</v>
      </c>
      <c r="B311" s="13"/>
      <c r="C311" t="e">
        <f t="shared" si="0"/>
        <v>#N/A</v>
      </c>
      <c r="D311" t="b">
        <f t="shared" si="1"/>
        <v>0</v>
      </c>
      <c r="E311">
        <f t="shared" si="2"/>
        <v>0</v>
      </c>
      <c r="F311" s="11"/>
    </row>
    <row r="312" spans="1:6" ht="16" x14ac:dyDescent="0.2">
      <c r="A312" s="12" t="s">
        <v>3896</v>
      </c>
      <c r="B312" s="13"/>
      <c r="C312" t="e">
        <f t="shared" si="0"/>
        <v>#N/A</v>
      </c>
      <c r="D312" t="b">
        <f t="shared" si="1"/>
        <v>0</v>
      </c>
      <c r="E312">
        <f t="shared" si="2"/>
        <v>0</v>
      </c>
      <c r="F312" s="11"/>
    </row>
    <row r="313" spans="1:6" ht="16" x14ac:dyDescent="0.2">
      <c r="A313" s="12" t="s">
        <v>3897</v>
      </c>
      <c r="B313" s="13"/>
      <c r="C313" t="e">
        <f t="shared" si="0"/>
        <v>#N/A</v>
      </c>
      <c r="D313" t="b">
        <f t="shared" si="1"/>
        <v>0</v>
      </c>
      <c r="E313">
        <f t="shared" si="2"/>
        <v>0</v>
      </c>
      <c r="F313" s="11"/>
    </row>
    <row r="314" spans="1:6" ht="16" x14ac:dyDescent="0.2">
      <c r="A314" s="12" t="s">
        <v>3898</v>
      </c>
      <c r="B314" s="13"/>
      <c r="C314" t="e">
        <f t="shared" si="0"/>
        <v>#N/A</v>
      </c>
      <c r="D314" t="b">
        <f t="shared" si="1"/>
        <v>0</v>
      </c>
      <c r="E314">
        <f t="shared" si="2"/>
        <v>0</v>
      </c>
      <c r="F314" s="11"/>
    </row>
    <row r="315" spans="1:6" ht="16" x14ac:dyDescent="0.2">
      <c r="A315" s="12" t="s">
        <v>3899</v>
      </c>
      <c r="B315" s="13"/>
      <c r="C315" t="e">
        <f t="shared" si="0"/>
        <v>#N/A</v>
      </c>
      <c r="D315" t="b">
        <f t="shared" si="1"/>
        <v>0</v>
      </c>
      <c r="E315">
        <f t="shared" si="2"/>
        <v>0</v>
      </c>
      <c r="F315" s="11"/>
    </row>
    <row r="316" spans="1:6" ht="16" x14ac:dyDescent="0.2">
      <c r="A316" s="12" t="s">
        <v>3900</v>
      </c>
      <c r="B316" s="13"/>
      <c r="C316" t="e">
        <f t="shared" si="0"/>
        <v>#N/A</v>
      </c>
      <c r="D316" t="b">
        <f t="shared" si="1"/>
        <v>0</v>
      </c>
      <c r="E316">
        <f t="shared" si="2"/>
        <v>0</v>
      </c>
      <c r="F316" s="11"/>
    </row>
    <row r="317" spans="1:6" ht="16" x14ac:dyDescent="0.2">
      <c r="A317" s="12" t="s">
        <v>3901</v>
      </c>
      <c r="B317" s="13"/>
      <c r="C317" t="e">
        <f t="shared" si="0"/>
        <v>#N/A</v>
      </c>
      <c r="D317" t="b">
        <f t="shared" si="1"/>
        <v>0</v>
      </c>
      <c r="E317">
        <f t="shared" si="2"/>
        <v>0</v>
      </c>
      <c r="F317" s="11"/>
    </row>
    <row r="318" spans="1:6" ht="16" x14ac:dyDescent="0.2">
      <c r="A318" s="12" t="s">
        <v>3902</v>
      </c>
      <c r="B318" s="13"/>
      <c r="C318" t="e">
        <f t="shared" si="0"/>
        <v>#N/A</v>
      </c>
      <c r="D318" t="b">
        <f t="shared" si="1"/>
        <v>0</v>
      </c>
      <c r="E318">
        <f t="shared" si="2"/>
        <v>0</v>
      </c>
      <c r="F318" s="11"/>
    </row>
    <row r="319" spans="1:6" ht="16" x14ac:dyDescent="0.2">
      <c r="A319" s="12" t="s">
        <v>3903</v>
      </c>
      <c r="B319" s="13"/>
      <c r="C319" t="e">
        <f t="shared" si="0"/>
        <v>#N/A</v>
      </c>
      <c r="D319" t="b">
        <f t="shared" si="1"/>
        <v>0</v>
      </c>
      <c r="E319">
        <f t="shared" si="2"/>
        <v>0</v>
      </c>
      <c r="F319" s="11"/>
    </row>
    <row r="320" spans="1:6" ht="16" x14ac:dyDescent="0.2">
      <c r="A320" s="12" t="s">
        <v>3904</v>
      </c>
      <c r="B320" s="13"/>
      <c r="C320" t="e">
        <f t="shared" si="0"/>
        <v>#N/A</v>
      </c>
      <c r="D320" t="b">
        <f t="shared" si="1"/>
        <v>0</v>
      </c>
      <c r="E320">
        <f t="shared" si="2"/>
        <v>0</v>
      </c>
      <c r="F320" s="11"/>
    </row>
    <row r="321" spans="1:6" ht="16" x14ac:dyDescent="0.2">
      <c r="A321" s="12" t="s">
        <v>3905</v>
      </c>
      <c r="B321" s="13"/>
      <c r="C321" t="e">
        <f t="shared" si="0"/>
        <v>#N/A</v>
      </c>
      <c r="D321" t="b">
        <f t="shared" si="1"/>
        <v>0</v>
      </c>
      <c r="E321">
        <f t="shared" si="2"/>
        <v>0</v>
      </c>
      <c r="F321" s="11"/>
    </row>
    <row r="322" spans="1:6" ht="16" x14ac:dyDescent="0.2">
      <c r="A322" s="12" t="s">
        <v>3906</v>
      </c>
      <c r="B322" s="13"/>
      <c r="C322" t="e">
        <f t="shared" si="0"/>
        <v>#N/A</v>
      </c>
      <c r="D322" t="b">
        <f t="shared" si="1"/>
        <v>0</v>
      </c>
      <c r="E322">
        <f t="shared" si="2"/>
        <v>0</v>
      </c>
      <c r="F322" s="11"/>
    </row>
    <row r="323" spans="1:6" ht="16" x14ac:dyDescent="0.2">
      <c r="A323" s="12" t="s">
        <v>3907</v>
      </c>
      <c r="B323" s="13"/>
      <c r="C323" t="e">
        <f t="shared" si="0"/>
        <v>#N/A</v>
      </c>
      <c r="D323" t="b">
        <f t="shared" si="1"/>
        <v>0</v>
      </c>
      <c r="E323">
        <f t="shared" si="2"/>
        <v>0</v>
      </c>
      <c r="F323" s="11"/>
    </row>
    <row r="324" spans="1:6" ht="16" x14ac:dyDescent="0.2">
      <c r="A324" s="12" t="s">
        <v>3907</v>
      </c>
      <c r="B324" s="13"/>
      <c r="C324" t="e">
        <f t="shared" si="0"/>
        <v>#N/A</v>
      </c>
      <c r="D324" t="b">
        <f t="shared" si="1"/>
        <v>0</v>
      </c>
      <c r="E324">
        <f t="shared" si="2"/>
        <v>0</v>
      </c>
      <c r="F324" s="11"/>
    </row>
    <row r="325" spans="1:6" ht="16" x14ac:dyDescent="0.2">
      <c r="A325" s="12" t="s">
        <v>3908</v>
      </c>
      <c r="B325" s="13"/>
      <c r="C325" t="e">
        <f t="shared" si="0"/>
        <v>#N/A</v>
      </c>
      <c r="D325" t="b">
        <f t="shared" si="1"/>
        <v>0</v>
      </c>
      <c r="E325">
        <f t="shared" si="2"/>
        <v>0</v>
      </c>
      <c r="F325" s="11"/>
    </row>
    <row r="326" spans="1:6" ht="16" x14ac:dyDescent="0.2">
      <c r="A326" s="12" t="s">
        <v>3909</v>
      </c>
      <c r="B326" s="13"/>
      <c r="C326" t="e">
        <f t="shared" si="0"/>
        <v>#N/A</v>
      </c>
      <c r="D326" t="b">
        <f t="shared" si="1"/>
        <v>0</v>
      </c>
      <c r="E326">
        <f t="shared" si="2"/>
        <v>0</v>
      </c>
      <c r="F326" s="11"/>
    </row>
    <row r="327" spans="1:6" ht="16" x14ac:dyDescent="0.2">
      <c r="A327" s="12" t="s">
        <v>3910</v>
      </c>
      <c r="B327" s="13"/>
      <c r="C327" t="e">
        <f t="shared" si="0"/>
        <v>#N/A</v>
      </c>
      <c r="D327" t="b">
        <f t="shared" si="1"/>
        <v>0</v>
      </c>
      <c r="E327">
        <f t="shared" si="2"/>
        <v>0</v>
      </c>
      <c r="F327" s="11"/>
    </row>
    <row r="328" spans="1:6" ht="16" x14ac:dyDescent="0.2">
      <c r="A328" s="12" t="s">
        <v>3911</v>
      </c>
      <c r="B328" s="13"/>
      <c r="C328" t="e">
        <f t="shared" si="0"/>
        <v>#N/A</v>
      </c>
      <c r="D328" t="b">
        <f t="shared" si="1"/>
        <v>0</v>
      </c>
      <c r="E328">
        <f t="shared" si="2"/>
        <v>0</v>
      </c>
      <c r="F328" s="11"/>
    </row>
    <row r="329" spans="1:6" ht="16" x14ac:dyDescent="0.2">
      <c r="A329" s="12" t="s">
        <v>3912</v>
      </c>
      <c r="B329" s="13"/>
      <c r="C329" t="e">
        <f t="shared" si="0"/>
        <v>#N/A</v>
      </c>
      <c r="D329" t="b">
        <f t="shared" si="1"/>
        <v>0</v>
      </c>
      <c r="E329">
        <f t="shared" si="2"/>
        <v>0</v>
      </c>
      <c r="F329" s="11"/>
    </row>
    <row r="330" spans="1:6" ht="16" x14ac:dyDescent="0.2">
      <c r="A330" s="12" t="s">
        <v>3913</v>
      </c>
      <c r="B330" s="13"/>
      <c r="C330" t="e">
        <f t="shared" si="0"/>
        <v>#N/A</v>
      </c>
      <c r="D330" t="b">
        <f t="shared" si="1"/>
        <v>0</v>
      </c>
      <c r="E330">
        <f t="shared" si="2"/>
        <v>0</v>
      </c>
      <c r="F330" s="11"/>
    </row>
    <row r="331" spans="1:6" ht="16" x14ac:dyDescent="0.2">
      <c r="A331" s="12" t="s">
        <v>3914</v>
      </c>
      <c r="B331" s="13"/>
      <c r="C331" t="e">
        <f t="shared" si="0"/>
        <v>#N/A</v>
      </c>
      <c r="D331" t="b">
        <f t="shared" si="1"/>
        <v>0</v>
      </c>
      <c r="E331">
        <f t="shared" si="2"/>
        <v>0</v>
      </c>
      <c r="F331" s="11"/>
    </row>
    <row r="332" spans="1:6" ht="16" x14ac:dyDescent="0.2">
      <c r="A332" s="12" t="s">
        <v>3915</v>
      </c>
      <c r="B332" s="13"/>
      <c r="C332" t="e">
        <f t="shared" si="0"/>
        <v>#N/A</v>
      </c>
      <c r="D332" t="b">
        <f t="shared" si="1"/>
        <v>0</v>
      </c>
      <c r="E332">
        <f t="shared" si="2"/>
        <v>0</v>
      </c>
      <c r="F332" s="11"/>
    </row>
    <row r="333" spans="1:6" ht="16" x14ac:dyDescent="0.2">
      <c r="A333" s="12" t="s">
        <v>3916</v>
      </c>
      <c r="B333" s="13"/>
      <c r="C333" t="e">
        <f t="shared" si="0"/>
        <v>#N/A</v>
      </c>
      <c r="D333" t="b">
        <f t="shared" si="1"/>
        <v>0</v>
      </c>
      <c r="E333">
        <f t="shared" si="2"/>
        <v>0</v>
      </c>
      <c r="F333" s="11"/>
    </row>
    <row r="334" spans="1:6" ht="16" x14ac:dyDescent="0.2">
      <c r="A334" s="12" t="s">
        <v>3917</v>
      </c>
      <c r="B334" s="13"/>
      <c r="C334" t="e">
        <f t="shared" si="0"/>
        <v>#N/A</v>
      </c>
      <c r="D334" t="b">
        <f t="shared" si="1"/>
        <v>0</v>
      </c>
      <c r="E334">
        <f t="shared" si="2"/>
        <v>0</v>
      </c>
      <c r="F334" s="11"/>
    </row>
    <row r="335" spans="1:6" ht="16" x14ac:dyDescent="0.2">
      <c r="A335" s="12" t="s">
        <v>3918</v>
      </c>
      <c r="B335" s="13"/>
      <c r="C335" t="e">
        <f t="shared" si="0"/>
        <v>#N/A</v>
      </c>
      <c r="D335" t="b">
        <f t="shared" si="1"/>
        <v>0</v>
      </c>
      <c r="E335">
        <f t="shared" si="2"/>
        <v>0</v>
      </c>
      <c r="F335" s="11"/>
    </row>
    <row r="336" spans="1:6" ht="16" x14ac:dyDescent="0.2">
      <c r="A336" s="12" t="s">
        <v>3919</v>
      </c>
      <c r="B336" s="13"/>
      <c r="C336" t="e">
        <f t="shared" si="0"/>
        <v>#N/A</v>
      </c>
      <c r="D336" t="b">
        <f t="shared" si="1"/>
        <v>0</v>
      </c>
      <c r="E336">
        <f t="shared" si="2"/>
        <v>0</v>
      </c>
      <c r="F336" s="11"/>
    </row>
    <row r="337" spans="1:6" ht="16" x14ac:dyDescent="0.2">
      <c r="A337" s="12" t="s">
        <v>3920</v>
      </c>
      <c r="B337" s="13"/>
      <c r="C337" t="e">
        <f t="shared" si="0"/>
        <v>#N/A</v>
      </c>
      <c r="D337" t="b">
        <f t="shared" si="1"/>
        <v>0</v>
      </c>
      <c r="E337">
        <f t="shared" si="2"/>
        <v>0</v>
      </c>
      <c r="F337" s="11"/>
    </row>
    <row r="338" spans="1:6" ht="16" x14ac:dyDescent="0.2">
      <c r="A338" s="12" t="s">
        <v>3921</v>
      </c>
      <c r="B338" s="13"/>
      <c r="C338" t="e">
        <f t="shared" si="0"/>
        <v>#N/A</v>
      </c>
      <c r="D338" t="b">
        <f t="shared" si="1"/>
        <v>0</v>
      </c>
      <c r="E338">
        <f t="shared" si="2"/>
        <v>0</v>
      </c>
      <c r="F338" s="11"/>
    </row>
    <row r="339" spans="1:6" ht="16" x14ac:dyDescent="0.2">
      <c r="A339" s="12" t="s">
        <v>3922</v>
      </c>
      <c r="B339" s="13"/>
      <c r="C339" t="e">
        <f t="shared" si="0"/>
        <v>#N/A</v>
      </c>
      <c r="D339" t="b">
        <f t="shared" si="1"/>
        <v>0</v>
      </c>
      <c r="E339">
        <f t="shared" si="2"/>
        <v>0</v>
      </c>
      <c r="F339" s="11"/>
    </row>
    <row r="340" spans="1:6" ht="16" x14ac:dyDescent="0.2">
      <c r="A340" s="12" t="s">
        <v>3923</v>
      </c>
      <c r="B340" s="13"/>
      <c r="C340" t="e">
        <f t="shared" si="0"/>
        <v>#N/A</v>
      </c>
      <c r="D340" t="b">
        <f t="shared" si="1"/>
        <v>0</v>
      </c>
      <c r="E340">
        <f t="shared" si="2"/>
        <v>0</v>
      </c>
      <c r="F340" s="11"/>
    </row>
    <row r="341" spans="1:6" ht="16" x14ac:dyDescent="0.2">
      <c r="A341" s="12" t="s">
        <v>3924</v>
      </c>
      <c r="B341" s="13"/>
      <c r="C341" t="e">
        <f t="shared" si="0"/>
        <v>#N/A</v>
      </c>
      <c r="D341" t="b">
        <f t="shared" si="1"/>
        <v>0</v>
      </c>
      <c r="E341">
        <f t="shared" si="2"/>
        <v>0</v>
      </c>
      <c r="F341" s="11"/>
    </row>
    <row r="342" spans="1:6" ht="16" x14ac:dyDescent="0.2">
      <c r="A342" s="12" t="s">
        <v>3925</v>
      </c>
      <c r="B342" s="13"/>
      <c r="C342" t="e">
        <f t="shared" si="0"/>
        <v>#N/A</v>
      </c>
      <c r="D342" t="b">
        <f t="shared" si="1"/>
        <v>0</v>
      </c>
      <c r="E342">
        <f t="shared" si="2"/>
        <v>0</v>
      </c>
      <c r="F342" s="11"/>
    </row>
    <row r="343" spans="1:6" ht="16" x14ac:dyDescent="0.2">
      <c r="A343" s="12" t="s">
        <v>3926</v>
      </c>
      <c r="B343" s="13"/>
      <c r="C343" t="e">
        <f t="shared" si="0"/>
        <v>#N/A</v>
      </c>
      <c r="D343" t="b">
        <f t="shared" si="1"/>
        <v>0</v>
      </c>
      <c r="E343">
        <f t="shared" si="2"/>
        <v>0</v>
      </c>
      <c r="F343" s="11"/>
    </row>
    <row r="344" spans="1:6" ht="16" x14ac:dyDescent="0.2">
      <c r="A344" s="12" t="s">
        <v>3927</v>
      </c>
      <c r="B344" s="13"/>
      <c r="C344" t="e">
        <f t="shared" si="0"/>
        <v>#N/A</v>
      </c>
      <c r="D344" t="b">
        <f t="shared" si="1"/>
        <v>0</v>
      </c>
      <c r="E344">
        <f t="shared" si="2"/>
        <v>0</v>
      </c>
      <c r="F344" s="11"/>
    </row>
    <row r="345" spans="1:6" ht="16" x14ac:dyDescent="0.2">
      <c r="A345" s="12" t="s">
        <v>3928</v>
      </c>
      <c r="B345" s="13"/>
      <c r="C345" t="e">
        <f t="shared" si="0"/>
        <v>#N/A</v>
      </c>
      <c r="D345" t="b">
        <f t="shared" si="1"/>
        <v>0</v>
      </c>
      <c r="E345">
        <f t="shared" si="2"/>
        <v>0</v>
      </c>
      <c r="F345" s="11"/>
    </row>
    <row r="346" spans="1:6" ht="16" x14ac:dyDescent="0.2">
      <c r="A346" s="14" t="s">
        <v>3929</v>
      </c>
      <c r="B346" s="13"/>
      <c r="C346" t="e">
        <f t="shared" si="0"/>
        <v>#N/A</v>
      </c>
      <c r="D346" t="b">
        <f t="shared" si="1"/>
        <v>0</v>
      </c>
      <c r="E346">
        <f t="shared" si="2"/>
        <v>0</v>
      </c>
      <c r="F346" s="11"/>
    </row>
    <row r="347" spans="1:6" ht="16" x14ac:dyDescent="0.2">
      <c r="A347" s="12" t="s">
        <v>3930</v>
      </c>
      <c r="B347" s="13"/>
      <c r="C347" t="e">
        <f t="shared" si="0"/>
        <v>#N/A</v>
      </c>
      <c r="D347" t="b">
        <f t="shared" si="1"/>
        <v>0</v>
      </c>
      <c r="E347">
        <f t="shared" si="2"/>
        <v>0</v>
      </c>
      <c r="F347" s="11"/>
    </row>
    <row r="348" spans="1:6" ht="16" x14ac:dyDescent="0.2">
      <c r="A348" s="12" t="s">
        <v>3931</v>
      </c>
      <c r="B348" s="13"/>
      <c r="C348" t="e">
        <f t="shared" si="0"/>
        <v>#N/A</v>
      </c>
      <c r="D348" t="b">
        <f t="shared" si="1"/>
        <v>0</v>
      </c>
      <c r="E348">
        <f t="shared" si="2"/>
        <v>0</v>
      </c>
      <c r="F348" s="11"/>
    </row>
    <row r="349" spans="1:6" ht="16" x14ac:dyDescent="0.2">
      <c r="A349" s="12" t="s">
        <v>3932</v>
      </c>
      <c r="B349" s="13"/>
      <c r="C349" t="e">
        <f t="shared" si="0"/>
        <v>#N/A</v>
      </c>
      <c r="D349" t="b">
        <f t="shared" si="1"/>
        <v>0</v>
      </c>
      <c r="E349">
        <f t="shared" si="2"/>
        <v>0</v>
      </c>
      <c r="F349" s="11"/>
    </row>
    <row r="350" spans="1:6" ht="16" x14ac:dyDescent="0.2">
      <c r="A350" s="12" t="s">
        <v>3933</v>
      </c>
      <c r="B350" s="13"/>
      <c r="C350" t="e">
        <f t="shared" si="0"/>
        <v>#N/A</v>
      </c>
      <c r="D350" t="b">
        <f t="shared" si="1"/>
        <v>0</v>
      </c>
      <c r="E350">
        <f t="shared" si="2"/>
        <v>0</v>
      </c>
      <c r="F350" s="11"/>
    </row>
    <row r="351" spans="1:6" ht="16" x14ac:dyDescent="0.2">
      <c r="A351" s="12" t="s">
        <v>3934</v>
      </c>
      <c r="B351" s="13"/>
      <c r="C351" t="e">
        <f t="shared" si="0"/>
        <v>#N/A</v>
      </c>
      <c r="D351" t="b">
        <f t="shared" si="1"/>
        <v>0</v>
      </c>
      <c r="E351">
        <f t="shared" si="2"/>
        <v>0</v>
      </c>
      <c r="F351" s="11"/>
    </row>
    <row r="352" spans="1:6" ht="16" x14ac:dyDescent="0.2">
      <c r="A352" s="12" t="s">
        <v>3934</v>
      </c>
      <c r="B352" s="13"/>
      <c r="C352" t="e">
        <f t="shared" si="0"/>
        <v>#N/A</v>
      </c>
      <c r="D352" t="b">
        <f t="shared" si="1"/>
        <v>0</v>
      </c>
      <c r="E352">
        <f t="shared" si="2"/>
        <v>0</v>
      </c>
      <c r="F352" s="11"/>
    </row>
    <row r="353" spans="1:6" ht="16" x14ac:dyDescent="0.2">
      <c r="A353" s="12" t="s">
        <v>3934</v>
      </c>
      <c r="B353" s="13"/>
      <c r="C353" t="e">
        <f t="shared" si="0"/>
        <v>#N/A</v>
      </c>
      <c r="D353" t="b">
        <f t="shared" si="1"/>
        <v>0</v>
      </c>
      <c r="E353">
        <f t="shared" si="2"/>
        <v>0</v>
      </c>
      <c r="F353" s="11"/>
    </row>
    <row r="354" spans="1:6" ht="16" x14ac:dyDescent="0.2">
      <c r="A354" s="12" t="s">
        <v>3935</v>
      </c>
      <c r="B354" s="13"/>
      <c r="C354" t="e">
        <f t="shared" si="0"/>
        <v>#N/A</v>
      </c>
      <c r="D354" t="b">
        <f t="shared" si="1"/>
        <v>0</v>
      </c>
      <c r="E354">
        <f t="shared" si="2"/>
        <v>0</v>
      </c>
      <c r="F354" s="11"/>
    </row>
    <row r="355" spans="1:6" ht="16" x14ac:dyDescent="0.2">
      <c r="A355" s="12" t="s">
        <v>3936</v>
      </c>
      <c r="B355" s="13"/>
      <c r="C355" t="e">
        <f t="shared" si="0"/>
        <v>#N/A</v>
      </c>
      <c r="D355" t="b">
        <f t="shared" si="1"/>
        <v>0</v>
      </c>
      <c r="E355">
        <f t="shared" si="2"/>
        <v>0</v>
      </c>
      <c r="F355" s="11"/>
    </row>
    <row r="356" spans="1:6" ht="16" x14ac:dyDescent="0.2">
      <c r="A356" s="12" t="s">
        <v>3937</v>
      </c>
      <c r="B356" s="13"/>
      <c r="C356" t="e">
        <f t="shared" si="0"/>
        <v>#N/A</v>
      </c>
      <c r="D356" t="b">
        <f t="shared" si="1"/>
        <v>0</v>
      </c>
      <c r="E356">
        <f t="shared" si="2"/>
        <v>0</v>
      </c>
      <c r="F356" s="11"/>
    </row>
    <row r="357" spans="1:6" ht="16" x14ac:dyDescent="0.2">
      <c r="A357" s="12" t="s">
        <v>3938</v>
      </c>
      <c r="B357" s="13"/>
      <c r="C357" t="e">
        <f t="shared" si="0"/>
        <v>#N/A</v>
      </c>
      <c r="D357" t="b">
        <f t="shared" si="1"/>
        <v>0</v>
      </c>
      <c r="E357">
        <f t="shared" si="2"/>
        <v>0</v>
      </c>
      <c r="F357" s="11"/>
    </row>
    <row r="358" spans="1:6" ht="16" x14ac:dyDescent="0.2">
      <c r="A358" s="12" t="s">
        <v>3939</v>
      </c>
      <c r="B358" s="13"/>
      <c r="C358" t="e">
        <f t="shared" si="0"/>
        <v>#N/A</v>
      </c>
      <c r="D358" t="b">
        <f t="shared" si="1"/>
        <v>0</v>
      </c>
      <c r="E358">
        <f t="shared" si="2"/>
        <v>0</v>
      </c>
      <c r="F358" s="11"/>
    </row>
    <row r="359" spans="1:6" ht="16" x14ac:dyDescent="0.2">
      <c r="A359" s="12" t="s">
        <v>3940</v>
      </c>
      <c r="B359" s="13"/>
      <c r="C359" t="e">
        <f t="shared" si="0"/>
        <v>#N/A</v>
      </c>
      <c r="D359" t="b">
        <f t="shared" si="1"/>
        <v>0</v>
      </c>
      <c r="E359">
        <f t="shared" si="2"/>
        <v>0</v>
      </c>
      <c r="F359" s="11"/>
    </row>
    <row r="360" spans="1:6" ht="16" x14ac:dyDescent="0.2">
      <c r="A360" s="12" t="s">
        <v>3941</v>
      </c>
      <c r="B360" s="13"/>
      <c r="C360" t="e">
        <f t="shared" si="0"/>
        <v>#N/A</v>
      </c>
      <c r="D360" t="b">
        <f t="shared" si="1"/>
        <v>0</v>
      </c>
      <c r="E360">
        <f t="shared" si="2"/>
        <v>0</v>
      </c>
      <c r="F360" s="11"/>
    </row>
    <row r="361" spans="1:6" ht="16" x14ac:dyDescent="0.2">
      <c r="A361" s="12" t="s">
        <v>3942</v>
      </c>
      <c r="B361" s="13"/>
      <c r="C361" t="e">
        <f t="shared" si="0"/>
        <v>#N/A</v>
      </c>
      <c r="D361" t="b">
        <f t="shared" si="1"/>
        <v>0</v>
      </c>
      <c r="E361">
        <f t="shared" si="2"/>
        <v>0</v>
      </c>
      <c r="F361" s="11"/>
    </row>
    <row r="362" spans="1:6" ht="16" x14ac:dyDescent="0.2">
      <c r="A362" s="12" t="s">
        <v>3943</v>
      </c>
      <c r="B362" s="13"/>
      <c r="C362" t="e">
        <f t="shared" si="0"/>
        <v>#N/A</v>
      </c>
      <c r="D362" t="b">
        <f t="shared" si="1"/>
        <v>0</v>
      </c>
      <c r="E362">
        <f t="shared" si="2"/>
        <v>0</v>
      </c>
      <c r="F362" s="11"/>
    </row>
    <row r="363" spans="1:6" ht="16" x14ac:dyDescent="0.2">
      <c r="A363" s="12" t="s">
        <v>3944</v>
      </c>
      <c r="B363" s="13"/>
      <c r="C363" t="e">
        <f t="shared" si="0"/>
        <v>#N/A</v>
      </c>
      <c r="D363" t="b">
        <f t="shared" si="1"/>
        <v>0</v>
      </c>
      <c r="E363">
        <f t="shared" si="2"/>
        <v>0</v>
      </c>
      <c r="F363" s="11"/>
    </row>
    <row r="364" spans="1:6" ht="16" x14ac:dyDescent="0.2">
      <c r="A364" s="12" t="s">
        <v>3945</v>
      </c>
      <c r="B364" s="13"/>
      <c r="C364" t="e">
        <f t="shared" si="0"/>
        <v>#N/A</v>
      </c>
      <c r="D364" t="b">
        <f t="shared" si="1"/>
        <v>0</v>
      </c>
      <c r="E364">
        <f t="shared" si="2"/>
        <v>0</v>
      </c>
      <c r="F364" s="11"/>
    </row>
    <row r="365" spans="1:6" ht="16" x14ac:dyDescent="0.2">
      <c r="A365" s="12" t="s">
        <v>3946</v>
      </c>
      <c r="B365" s="13"/>
      <c r="C365" t="e">
        <f t="shared" si="0"/>
        <v>#N/A</v>
      </c>
      <c r="D365" t="b">
        <f t="shared" si="1"/>
        <v>0</v>
      </c>
      <c r="E365">
        <f t="shared" si="2"/>
        <v>0</v>
      </c>
      <c r="F365" s="11"/>
    </row>
    <row r="366" spans="1:6" ht="16" x14ac:dyDescent="0.2">
      <c r="A366" s="12" t="s">
        <v>3947</v>
      </c>
      <c r="B366" s="13"/>
      <c r="C366" t="e">
        <f t="shared" si="0"/>
        <v>#N/A</v>
      </c>
      <c r="D366" t="b">
        <f t="shared" si="1"/>
        <v>0</v>
      </c>
      <c r="E366">
        <f t="shared" si="2"/>
        <v>0</v>
      </c>
      <c r="F366" s="11"/>
    </row>
    <row r="367" spans="1:6" ht="16" x14ac:dyDescent="0.2">
      <c r="A367" s="12" t="s">
        <v>3948</v>
      </c>
      <c r="B367" s="13"/>
      <c r="C367" t="e">
        <f t="shared" si="0"/>
        <v>#N/A</v>
      </c>
      <c r="D367" t="b">
        <f t="shared" si="1"/>
        <v>0</v>
      </c>
      <c r="E367">
        <f t="shared" si="2"/>
        <v>0</v>
      </c>
      <c r="F367" s="11"/>
    </row>
    <row r="368" spans="1:6" ht="16" x14ac:dyDescent="0.2">
      <c r="A368" s="12" t="s">
        <v>3949</v>
      </c>
      <c r="B368" s="13"/>
      <c r="C368" t="e">
        <f t="shared" si="0"/>
        <v>#N/A</v>
      </c>
      <c r="D368" t="b">
        <f t="shared" si="1"/>
        <v>0</v>
      </c>
      <c r="E368">
        <f t="shared" si="2"/>
        <v>0</v>
      </c>
      <c r="F368" s="11"/>
    </row>
    <row r="369" spans="1:6" ht="16" x14ac:dyDescent="0.2">
      <c r="A369" s="12" t="s">
        <v>3950</v>
      </c>
      <c r="B369" s="13"/>
      <c r="C369" t="e">
        <f t="shared" si="0"/>
        <v>#N/A</v>
      </c>
      <c r="D369" t="b">
        <f t="shared" si="1"/>
        <v>0</v>
      </c>
      <c r="E369">
        <f t="shared" si="2"/>
        <v>0</v>
      </c>
      <c r="F369" s="11"/>
    </row>
    <row r="370" spans="1:6" ht="16" x14ac:dyDescent="0.2">
      <c r="A370" s="12" t="s">
        <v>3951</v>
      </c>
      <c r="B370" s="13"/>
      <c r="C370" t="e">
        <f t="shared" si="0"/>
        <v>#N/A</v>
      </c>
      <c r="D370" t="b">
        <f t="shared" si="1"/>
        <v>0</v>
      </c>
      <c r="E370">
        <f t="shared" si="2"/>
        <v>0</v>
      </c>
      <c r="F370" s="11"/>
    </row>
    <row r="371" spans="1:6" ht="16" x14ac:dyDescent="0.2">
      <c r="A371" s="12" t="s">
        <v>3952</v>
      </c>
      <c r="B371" s="13"/>
      <c r="C371" t="e">
        <f t="shared" si="0"/>
        <v>#N/A</v>
      </c>
      <c r="D371" t="b">
        <f t="shared" si="1"/>
        <v>0</v>
      </c>
      <c r="E371">
        <f t="shared" si="2"/>
        <v>0</v>
      </c>
      <c r="F371" s="11"/>
    </row>
    <row r="372" spans="1:6" ht="16" x14ac:dyDescent="0.2">
      <c r="A372" s="12" t="s">
        <v>3953</v>
      </c>
      <c r="B372" s="13"/>
      <c r="C372" t="e">
        <f t="shared" si="0"/>
        <v>#N/A</v>
      </c>
      <c r="D372" t="b">
        <f t="shared" si="1"/>
        <v>0</v>
      </c>
      <c r="E372">
        <f t="shared" si="2"/>
        <v>0</v>
      </c>
      <c r="F372" s="11"/>
    </row>
    <row r="373" spans="1:6" ht="16" x14ac:dyDescent="0.2">
      <c r="A373" s="12" t="s">
        <v>3954</v>
      </c>
      <c r="B373" s="13"/>
      <c r="C373" t="e">
        <f t="shared" si="0"/>
        <v>#N/A</v>
      </c>
      <c r="D373" t="b">
        <f t="shared" si="1"/>
        <v>0</v>
      </c>
      <c r="E373">
        <f t="shared" si="2"/>
        <v>0</v>
      </c>
      <c r="F373" s="11"/>
    </row>
    <row r="374" spans="1:6" ht="16" x14ac:dyDescent="0.2">
      <c r="A374" s="12" t="s">
        <v>3955</v>
      </c>
      <c r="B374" s="13"/>
      <c r="C374" t="e">
        <f t="shared" si="0"/>
        <v>#N/A</v>
      </c>
      <c r="D374" t="b">
        <f t="shared" si="1"/>
        <v>0</v>
      </c>
      <c r="E374">
        <f t="shared" si="2"/>
        <v>0</v>
      </c>
      <c r="F374" s="11"/>
    </row>
    <row r="375" spans="1:6" ht="16" x14ac:dyDescent="0.2">
      <c r="A375" s="12" t="s">
        <v>3956</v>
      </c>
      <c r="B375" s="13"/>
      <c r="C375" t="e">
        <f t="shared" si="0"/>
        <v>#N/A</v>
      </c>
      <c r="D375" t="b">
        <f t="shared" si="1"/>
        <v>0</v>
      </c>
      <c r="E375">
        <f t="shared" si="2"/>
        <v>0</v>
      </c>
      <c r="F375" s="11"/>
    </row>
    <row r="376" spans="1:6" ht="16" x14ac:dyDescent="0.2">
      <c r="A376" s="12" t="s">
        <v>3957</v>
      </c>
      <c r="B376" s="13"/>
      <c r="C376" t="e">
        <f t="shared" si="0"/>
        <v>#N/A</v>
      </c>
      <c r="D376" t="b">
        <f t="shared" si="1"/>
        <v>0</v>
      </c>
      <c r="E376">
        <f t="shared" si="2"/>
        <v>0</v>
      </c>
      <c r="F376" s="11"/>
    </row>
    <row r="377" spans="1:6" ht="16" x14ac:dyDescent="0.2">
      <c r="A377" s="12" t="s">
        <v>3958</v>
      </c>
      <c r="B377" s="13"/>
      <c r="C377" t="e">
        <f t="shared" si="0"/>
        <v>#N/A</v>
      </c>
      <c r="D377" t="b">
        <f t="shared" si="1"/>
        <v>0</v>
      </c>
      <c r="E377">
        <f t="shared" si="2"/>
        <v>0</v>
      </c>
      <c r="F377" s="11"/>
    </row>
    <row r="378" spans="1:6" ht="16" x14ac:dyDescent="0.2">
      <c r="A378" s="12" t="s">
        <v>3959</v>
      </c>
      <c r="B378" s="13"/>
      <c r="C378" t="e">
        <f t="shared" si="0"/>
        <v>#N/A</v>
      </c>
      <c r="D378" t="b">
        <f t="shared" si="1"/>
        <v>0</v>
      </c>
      <c r="E378">
        <f t="shared" si="2"/>
        <v>0</v>
      </c>
      <c r="F378" s="11"/>
    </row>
    <row r="379" spans="1:6" ht="16" x14ac:dyDescent="0.2">
      <c r="A379" s="12" t="s">
        <v>3960</v>
      </c>
      <c r="B379" s="13"/>
      <c r="C379" t="e">
        <f t="shared" si="0"/>
        <v>#N/A</v>
      </c>
      <c r="D379" t="b">
        <f t="shared" si="1"/>
        <v>0</v>
      </c>
      <c r="E379">
        <f t="shared" si="2"/>
        <v>0</v>
      </c>
      <c r="F379" s="11"/>
    </row>
    <row r="380" spans="1:6" ht="16" x14ac:dyDescent="0.2">
      <c r="A380" s="12" t="s">
        <v>3961</v>
      </c>
      <c r="B380" s="13"/>
      <c r="C380" t="e">
        <f t="shared" si="0"/>
        <v>#N/A</v>
      </c>
      <c r="D380" t="b">
        <f t="shared" si="1"/>
        <v>0</v>
      </c>
      <c r="E380">
        <f t="shared" si="2"/>
        <v>0</v>
      </c>
      <c r="F380" s="11"/>
    </row>
    <row r="381" spans="1:6" ht="16" x14ac:dyDescent="0.2">
      <c r="A381" s="12" t="s">
        <v>3962</v>
      </c>
      <c r="B381" s="13"/>
      <c r="C381" t="e">
        <f t="shared" si="0"/>
        <v>#N/A</v>
      </c>
      <c r="D381" t="b">
        <f t="shared" si="1"/>
        <v>0</v>
      </c>
      <c r="E381">
        <f t="shared" si="2"/>
        <v>0</v>
      </c>
      <c r="F381" s="11"/>
    </row>
    <row r="382" spans="1:6" ht="16" x14ac:dyDescent="0.2">
      <c r="A382" s="12" t="s">
        <v>3963</v>
      </c>
      <c r="B382" s="13"/>
      <c r="C382" t="e">
        <f t="shared" si="0"/>
        <v>#N/A</v>
      </c>
      <c r="D382" t="b">
        <f t="shared" si="1"/>
        <v>0</v>
      </c>
      <c r="E382">
        <f t="shared" si="2"/>
        <v>0</v>
      </c>
      <c r="F382" s="11"/>
    </row>
    <row r="383" spans="1:6" ht="16" x14ac:dyDescent="0.2">
      <c r="A383" s="12" t="s">
        <v>3964</v>
      </c>
      <c r="B383" s="13"/>
      <c r="C383" t="e">
        <f t="shared" si="0"/>
        <v>#N/A</v>
      </c>
      <c r="D383" t="b">
        <f t="shared" si="1"/>
        <v>0</v>
      </c>
      <c r="E383">
        <f t="shared" si="2"/>
        <v>0</v>
      </c>
      <c r="F383" s="11"/>
    </row>
    <row r="384" spans="1:6" ht="16" x14ac:dyDescent="0.2">
      <c r="A384" s="12" t="s">
        <v>3965</v>
      </c>
      <c r="B384" s="13"/>
      <c r="C384" t="e">
        <f t="shared" si="0"/>
        <v>#N/A</v>
      </c>
      <c r="D384" t="b">
        <f t="shared" si="1"/>
        <v>0</v>
      </c>
      <c r="E384">
        <f t="shared" si="2"/>
        <v>0</v>
      </c>
      <c r="F384" s="11"/>
    </row>
    <row r="385" spans="1:6" ht="16" x14ac:dyDescent="0.2">
      <c r="A385" s="12" t="s">
        <v>3966</v>
      </c>
      <c r="B385" s="13"/>
      <c r="C385" t="e">
        <f t="shared" si="0"/>
        <v>#N/A</v>
      </c>
      <c r="D385" t="b">
        <f t="shared" si="1"/>
        <v>0</v>
      </c>
      <c r="E385">
        <f t="shared" si="2"/>
        <v>0</v>
      </c>
      <c r="F385" s="11"/>
    </row>
    <row r="386" spans="1:6" ht="16" x14ac:dyDescent="0.2">
      <c r="A386" s="12" t="s">
        <v>3967</v>
      </c>
      <c r="B386" s="13"/>
      <c r="C386" t="e">
        <f t="shared" si="0"/>
        <v>#N/A</v>
      </c>
      <c r="D386" t="b">
        <f t="shared" si="1"/>
        <v>0</v>
      </c>
      <c r="E386">
        <f t="shared" si="2"/>
        <v>0</v>
      </c>
      <c r="F386" s="11"/>
    </row>
    <row r="387" spans="1:6" ht="16" x14ac:dyDescent="0.2">
      <c r="A387" s="12" t="s">
        <v>3968</v>
      </c>
      <c r="B387" s="13"/>
      <c r="C387" t="e">
        <f t="shared" si="0"/>
        <v>#N/A</v>
      </c>
      <c r="D387" t="b">
        <f t="shared" si="1"/>
        <v>0</v>
      </c>
      <c r="E387">
        <f t="shared" si="2"/>
        <v>0</v>
      </c>
      <c r="F387" s="11"/>
    </row>
    <row r="388" spans="1:6" ht="16" x14ac:dyDescent="0.2">
      <c r="A388" s="12" t="s">
        <v>3969</v>
      </c>
      <c r="B388" s="13"/>
      <c r="C388" t="e">
        <f t="shared" si="0"/>
        <v>#N/A</v>
      </c>
      <c r="D388" t="b">
        <f t="shared" si="1"/>
        <v>0</v>
      </c>
      <c r="E388">
        <f t="shared" si="2"/>
        <v>0</v>
      </c>
      <c r="F388" s="11"/>
    </row>
    <row r="389" spans="1:6" ht="16" x14ac:dyDescent="0.2">
      <c r="A389" s="12" t="s">
        <v>3970</v>
      </c>
      <c r="B389" s="13"/>
      <c r="C389" t="e">
        <f t="shared" si="0"/>
        <v>#N/A</v>
      </c>
      <c r="D389" t="b">
        <f t="shared" si="1"/>
        <v>0</v>
      </c>
      <c r="E389">
        <f t="shared" si="2"/>
        <v>0</v>
      </c>
      <c r="F389" s="11"/>
    </row>
    <row r="390" spans="1:6" ht="16" x14ac:dyDescent="0.2">
      <c r="A390" s="12" t="s">
        <v>3971</v>
      </c>
      <c r="B390" s="13"/>
      <c r="C390" t="e">
        <f t="shared" si="0"/>
        <v>#N/A</v>
      </c>
      <c r="D390" t="b">
        <f t="shared" si="1"/>
        <v>0</v>
      </c>
      <c r="E390">
        <f t="shared" si="2"/>
        <v>0</v>
      </c>
      <c r="F390" s="11"/>
    </row>
    <row r="391" spans="1:6" ht="16" x14ac:dyDescent="0.2">
      <c r="A391" s="12" t="s">
        <v>3972</v>
      </c>
      <c r="B391" s="13"/>
      <c r="C391" t="e">
        <f t="shared" si="0"/>
        <v>#N/A</v>
      </c>
      <c r="D391" t="b">
        <f t="shared" si="1"/>
        <v>0</v>
      </c>
      <c r="E391">
        <f t="shared" si="2"/>
        <v>0</v>
      </c>
      <c r="F391" s="11"/>
    </row>
    <row r="392" spans="1:6" ht="16" x14ac:dyDescent="0.2">
      <c r="A392" s="12" t="s">
        <v>3973</v>
      </c>
      <c r="B392" s="13"/>
      <c r="C392" t="e">
        <f t="shared" si="0"/>
        <v>#N/A</v>
      </c>
      <c r="D392" t="b">
        <f t="shared" si="1"/>
        <v>0</v>
      </c>
      <c r="E392">
        <f t="shared" si="2"/>
        <v>0</v>
      </c>
      <c r="F392" s="11"/>
    </row>
    <row r="393" spans="1:6" ht="16" x14ac:dyDescent="0.2">
      <c r="A393" s="12" t="s">
        <v>3974</v>
      </c>
      <c r="B393" s="13"/>
      <c r="C393" t="e">
        <f t="shared" si="0"/>
        <v>#N/A</v>
      </c>
      <c r="D393" t="b">
        <f t="shared" si="1"/>
        <v>0</v>
      </c>
      <c r="E393">
        <f t="shared" si="2"/>
        <v>0</v>
      </c>
      <c r="F393" s="11"/>
    </row>
    <row r="394" spans="1:6" ht="16" x14ac:dyDescent="0.2">
      <c r="A394" s="12" t="s">
        <v>3975</v>
      </c>
      <c r="B394" s="13"/>
      <c r="C394" t="e">
        <f t="shared" si="0"/>
        <v>#N/A</v>
      </c>
      <c r="D394" t="b">
        <f t="shared" si="1"/>
        <v>0</v>
      </c>
      <c r="E394">
        <f t="shared" si="2"/>
        <v>0</v>
      </c>
      <c r="F394" s="11"/>
    </row>
    <row r="395" spans="1:6" ht="16" x14ac:dyDescent="0.2">
      <c r="A395" s="12" t="s">
        <v>3976</v>
      </c>
      <c r="B395" s="13"/>
      <c r="C395" t="e">
        <f t="shared" si="0"/>
        <v>#N/A</v>
      </c>
      <c r="D395" t="b">
        <f t="shared" si="1"/>
        <v>0</v>
      </c>
      <c r="E395">
        <f t="shared" si="2"/>
        <v>0</v>
      </c>
      <c r="F395" s="11"/>
    </row>
    <row r="396" spans="1:6" ht="16" x14ac:dyDescent="0.2">
      <c r="A396" s="12" t="s">
        <v>3977</v>
      </c>
      <c r="B396" s="13"/>
      <c r="C396" t="e">
        <f t="shared" si="0"/>
        <v>#N/A</v>
      </c>
      <c r="D396" t="b">
        <f t="shared" si="1"/>
        <v>0</v>
      </c>
      <c r="E396">
        <f t="shared" si="2"/>
        <v>0</v>
      </c>
      <c r="F396" s="11"/>
    </row>
    <row r="397" spans="1:6" ht="16" x14ac:dyDescent="0.2">
      <c r="A397" s="12" t="s">
        <v>3978</v>
      </c>
      <c r="B397" s="13"/>
      <c r="C397" t="e">
        <f t="shared" si="0"/>
        <v>#N/A</v>
      </c>
      <c r="D397" t="b">
        <f t="shared" si="1"/>
        <v>0</v>
      </c>
      <c r="E397">
        <f t="shared" si="2"/>
        <v>0</v>
      </c>
      <c r="F397" s="11"/>
    </row>
    <row r="398" spans="1:6" ht="16" x14ac:dyDescent="0.2">
      <c r="A398" s="12" t="s">
        <v>3979</v>
      </c>
      <c r="B398" s="13"/>
      <c r="C398" t="e">
        <f t="shared" si="0"/>
        <v>#N/A</v>
      </c>
      <c r="D398" t="b">
        <f t="shared" si="1"/>
        <v>0</v>
      </c>
      <c r="E398">
        <f t="shared" si="2"/>
        <v>0</v>
      </c>
      <c r="F398" s="11"/>
    </row>
    <row r="399" spans="1:6" ht="16" x14ac:dyDescent="0.2">
      <c r="A399" s="12" t="s">
        <v>3980</v>
      </c>
      <c r="B399" s="13"/>
      <c r="C399" t="e">
        <f t="shared" si="0"/>
        <v>#N/A</v>
      </c>
      <c r="D399" t="b">
        <f t="shared" si="1"/>
        <v>0</v>
      </c>
      <c r="E399">
        <f t="shared" si="2"/>
        <v>0</v>
      </c>
      <c r="F399" s="11"/>
    </row>
    <row r="400" spans="1:6" ht="16" x14ac:dyDescent="0.2">
      <c r="A400" s="12" t="s">
        <v>3981</v>
      </c>
      <c r="B400" s="13"/>
      <c r="C400" t="e">
        <f t="shared" si="0"/>
        <v>#N/A</v>
      </c>
      <c r="D400" t="b">
        <f t="shared" si="1"/>
        <v>0</v>
      </c>
      <c r="E400">
        <f t="shared" si="2"/>
        <v>0</v>
      </c>
      <c r="F400" s="11"/>
    </row>
    <row r="401" spans="1:6" ht="16" x14ac:dyDescent="0.2">
      <c r="A401" s="12" t="s">
        <v>3982</v>
      </c>
      <c r="B401" s="13"/>
      <c r="C401" t="e">
        <f t="shared" si="0"/>
        <v>#N/A</v>
      </c>
      <c r="D401" t="b">
        <f t="shared" si="1"/>
        <v>0</v>
      </c>
      <c r="E401">
        <f t="shared" si="2"/>
        <v>0</v>
      </c>
      <c r="F401" s="11"/>
    </row>
    <row r="402" spans="1:6" ht="16" x14ac:dyDescent="0.2">
      <c r="A402" s="12" t="s">
        <v>3983</v>
      </c>
      <c r="B402" s="13"/>
      <c r="C402" t="e">
        <f t="shared" si="0"/>
        <v>#N/A</v>
      </c>
      <c r="D402" t="b">
        <f t="shared" si="1"/>
        <v>0</v>
      </c>
      <c r="E402">
        <f t="shared" si="2"/>
        <v>0</v>
      </c>
      <c r="F402" s="11"/>
    </row>
    <row r="403" spans="1:6" ht="16" x14ac:dyDescent="0.2">
      <c r="A403" s="12" t="s">
        <v>3984</v>
      </c>
      <c r="B403" s="13"/>
      <c r="C403" t="e">
        <f t="shared" si="0"/>
        <v>#N/A</v>
      </c>
      <c r="D403" t="b">
        <f t="shared" si="1"/>
        <v>0</v>
      </c>
      <c r="E403">
        <f t="shared" si="2"/>
        <v>0</v>
      </c>
      <c r="F403" s="11"/>
    </row>
    <row r="404" spans="1:6" ht="16" x14ac:dyDescent="0.2">
      <c r="A404" s="12" t="s">
        <v>3985</v>
      </c>
      <c r="B404" s="13"/>
      <c r="C404" t="e">
        <f t="shared" si="0"/>
        <v>#N/A</v>
      </c>
      <c r="D404" t="b">
        <f t="shared" si="1"/>
        <v>0</v>
      </c>
      <c r="E404">
        <f t="shared" si="2"/>
        <v>0</v>
      </c>
      <c r="F404" s="11"/>
    </row>
    <row r="405" spans="1:6" ht="16" x14ac:dyDescent="0.2">
      <c r="A405" s="12" t="s">
        <v>3986</v>
      </c>
      <c r="B405" s="13"/>
      <c r="C405" t="e">
        <f t="shared" si="0"/>
        <v>#N/A</v>
      </c>
      <c r="D405" t="b">
        <f t="shared" si="1"/>
        <v>0</v>
      </c>
      <c r="E405">
        <f t="shared" si="2"/>
        <v>0</v>
      </c>
      <c r="F405" s="11"/>
    </row>
    <row r="406" spans="1:6" ht="16" x14ac:dyDescent="0.2">
      <c r="A406" s="12" t="s">
        <v>3987</v>
      </c>
      <c r="B406" s="13"/>
      <c r="C406" t="e">
        <f t="shared" si="0"/>
        <v>#N/A</v>
      </c>
      <c r="D406" t="b">
        <f t="shared" si="1"/>
        <v>0</v>
      </c>
      <c r="E406">
        <f t="shared" si="2"/>
        <v>0</v>
      </c>
      <c r="F406" s="11"/>
    </row>
    <row r="407" spans="1:6" ht="16" x14ac:dyDescent="0.2">
      <c r="A407" s="12" t="s">
        <v>3988</v>
      </c>
      <c r="B407" s="13"/>
      <c r="C407" t="e">
        <f t="shared" si="0"/>
        <v>#N/A</v>
      </c>
      <c r="D407" t="b">
        <f t="shared" si="1"/>
        <v>0</v>
      </c>
      <c r="E407">
        <f t="shared" si="2"/>
        <v>0</v>
      </c>
      <c r="F407" s="11"/>
    </row>
    <row r="408" spans="1:6" ht="16" x14ac:dyDescent="0.2">
      <c r="A408" s="12" t="s">
        <v>3989</v>
      </c>
      <c r="B408" s="13"/>
      <c r="C408" t="e">
        <f t="shared" si="0"/>
        <v>#N/A</v>
      </c>
      <c r="D408" t="b">
        <f t="shared" si="1"/>
        <v>0</v>
      </c>
      <c r="E408">
        <f t="shared" si="2"/>
        <v>0</v>
      </c>
      <c r="F408" s="11"/>
    </row>
    <row r="409" spans="1:6" ht="16" x14ac:dyDescent="0.2">
      <c r="A409" s="12" t="s">
        <v>3990</v>
      </c>
      <c r="B409" s="13"/>
      <c r="C409" t="e">
        <f t="shared" si="0"/>
        <v>#N/A</v>
      </c>
      <c r="D409" t="b">
        <f t="shared" si="1"/>
        <v>0</v>
      </c>
      <c r="E409">
        <f t="shared" si="2"/>
        <v>0</v>
      </c>
      <c r="F409" s="11"/>
    </row>
    <row r="410" spans="1:6" ht="16" x14ac:dyDescent="0.2">
      <c r="A410" s="12" t="s">
        <v>3991</v>
      </c>
      <c r="B410" s="13"/>
      <c r="C410" t="e">
        <f t="shared" si="0"/>
        <v>#N/A</v>
      </c>
      <c r="D410" t="b">
        <f t="shared" si="1"/>
        <v>0</v>
      </c>
      <c r="E410">
        <f t="shared" si="2"/>
        <v>0</v>
      </c>
      <c r="F410" s="11"/>
    </row>
    <row r="411" spans="1:6" ht="16" x14ac:dyDescent="0.2">
      <c r="A411" s="12" t="s">
        <v>3992</v>
      </c>
      <c r="B411" s="13"/>
      <c r="C411" t="e">
        <f t="shared" si="0"/>
        <v>#N/A</v>
      </c>
      <c r="D411" t="b">
        <f t="shared" si="1"/>
        <v>0</v>
      </c>
      <c r="E411">
        <f t="shared" si="2"/>
        <v>0</v>
      </c>
      <c r="F411" s="11"/>
    </row>
    <row r="412" spans="1:6" ht="16" x14ac:dyDescent="0.2">
      <c r="A412" s="12" t="s">
        <v>3993</v>
      </c>
      <c r="B412" s="13"/>
      <c r="C412" t="e">
        <f t="shared" si="0"/>
        <v>#N/A</v>
      </c>
      <c r="D412" t="b">
        <f t="shared" si="1"/>
        <v>0</v>
      </c>
      <c r="E412">
        <f t="shared" si="2"/>
        <v>0</v>
      </c>
      <c r="F412" s="11"/>
    </row>
    <row r="413" spans="1:6" ht="16" x14ac:dyDescent="0.2">
      <c r="A413" s="12" t="s">
        <v>3994</v>
      </c>
      <c r="B413" s="13"/>
      <c r="C413" t="e">
        <f t="shared" si="0"/>
        <v>#N/A</v>
      </c>
      <c r="D413" t="b">
        <f t="shared" si="1"/>
        <v>0</v>
      </c>
      <c r="E413">
        <f t="shared" si="2"/>
        <v>0</v>
      </c>
      <c r="F413" s="11"/>
    </row>
    <row r="414" spans="1:6" ht="16" x14ac:dyDescent="0.2">
      <c r="A414" s="12" t="s">
        <v>3995</v>
      </c>
      <c r="B414" s="13"/>
      <c r="C414" t="e">
        <f t="shared" si="0"/>
        <v>#N/A</v>
      </c>
      <c r="D414" t="b">
        <f t="shared" si="1"/>
        <v>0</v>
      </c>
      <c r="E414">
        <f t="shared" si="2"/>
        <v>0</v>
      </c>
      <c r="F414" s="11"/>
    </row>
    <row r="415" spans="1:6" ht="16" x14ac:dyDescent="0.2">
      <c r="A415" s="12" t="s">
        <v>3996</v>
      </c>
      <c r="B415" s="13"/>
      <c r="C415" t="e">
        <f t="shared" si="0"/>
        <v>#N/A</v>
      </c>
      <c r="D415" t="b">
        <f t="shared" si="1"/>
        <v>0</v>
      </c>
      <c r="E415">
        <f t="shared" si="2"/>
        <v>0</v>
      </c>
      <c r="F415" s="11"/>
    </row>
    <row r="416" spans="1:6" ht="16" x14ac:dyDescent="0.2">
      <c r="A416" s="12" t="s">
        <v>3997</v>
      </c>
      <c r="B416" s="13"/>
      <c r="C416" t="e">
        <f t="shared" si="0"/>
        <v>#N/A</v>
      </c>
      <c r="D416" t="b">
        <f t="shared" si="1"/>
        <v>0</v>
      </c>
      <c r="E416">
        <f t="shared" si="2"/>
        <v>0</v>
      </c>
      <c r="F416" s="11"/>
    </row>
    <row r="417" spans="1:6" ht="16" x14ac:dyDescent="0.2">
      <c r="A417" s="12" t="s">
        <v>3998</v>
      </c>
      <c r="B417" s="13"/>
      <c r="C417" t="e">
        <f t="shared" si="0"/>
        <v>#N/A</v>
      </c>
      <c r="D417" t="b">
        <f t="shared" si="1"/>
        <v>0</v>
      </c>
      <c r="E417">
        <f t="shared" si="2"/>
        <v>0</v>
      </c>
      <c r="F417" s="11"/>
    </row>
    <row r="418" spans="1:6" ht="16" x14ac:dyDescent="0.2">
      <c r="A418" s="12" t="s">
        <v>3999</v>
      </c>
      <c r="B418" s="13"/>
      <c r="C418" t="e">
        <f t="shared" si="0"/>
        <v>#N/A</v>
      </c>
      <c r="D418" t="b">
        <f t="shared" si="1"/>
        <v>0</v>
      </c>
      <c r="E418">
        <f t="shared" si="2"/>
        <v>0</v>
      </c>
      <c r="F418" s="11"/>
    </row>
    <row r="419" spans="1:6" ht="16" x14ac:dyDescent="0.2">
      <c r="A419" s="12" t="s">
        <v>4000</v>
      </c>
      <c r="B419" s="13"/>
      <c r="C419" t="e">
        <f t="shared" si="0"/>
        <v>#N/A</v>
      </c>
      <c r="D419" t="b">
        <f t="shared" si="1"/>
        <v>0</v>
      </c>
      <c r="E419">
        <f t="shared" si="2"/>
        <v>0</v>
      </c>
      <c r="F419" s="11"/>
    </row>
    <row r="420" spans="1:6" ht="16" x14ac:dyDescent="0.2">
      <c r="A420" s="12" t="s">
        <v>4001</v>
      </c>
      <c r="B420" s="13"/>
      <c r="C420" t="e">
        <f t="shared" si="0"/>
        <v>#N/A</v>
      </c>
      <c r="D420" t="b">
        <f t="shared" si="1"/>
        <v>0</v>
      </c>
      <c r="E420">
        <f t="shared" si="2"/>
        <v>0</v>
      </c>
      <c r="F420" s="11"/>
    </row>
    <row r="421" spans="1:6" ht="16" x14ac:dyDescent="0.2">
      <c r="A421" s="12" t="s">
        <v>4002</v>
      </c>
      <c r="B421" s="13"/>
      <c r="C421" t="e">
        <f t="shared" si="0"/>
        <v>#N/A</v>
      </c>
      <c r="D421" t="b">
        <f t="shared" si="1"/>
        <v>0</v>
      </c>
      <c r="E421">
        <f t="shared" si="2"/>
        <v>0</v>
      </c>
      <c r="F421" s="11"/>
    </row>
    <row r="422" spans="1:6" ht="16" x14ac:dyDescent="0.2">
      <c r="A422" s="12" t="s">
        <v>4003</v>
      </c>
      <c r="B422" s="13"/>
      <c r="C422" t="e">
        <f t="shared" si="0"/>
        <v>#N/A</v>
      </c>
      <c r="D422" t="b">
        <f t="shared" si="1"/>
        <v>0</v>
      </c>
      <c r="E422">
        <f t="shared" si="2"/>
        <v>0</v>
      </c>
      <c r="F422" s="11"/>
    </row>
    <row r="423" spans="1:6" ht="16" x14ac:dyDescent="0.2">
      <c r="A423" s="12" t="s">
        <v>4004</v>
      </c>
      <c r="B423" s="13"/>
      <c r="C423" t="e">
        <f t="shared" si="0"/>
        <v>#N/A</v>
      </c>
      <c r="D423" t="b">
        <f t="shared" si="1"/>
        <v>0</v>
      </c>
      <c r="E423">
        <f t="shared" si="2"/>
        <v>0</v>
      </c>
      <c r="F423" s="11"/>
    </row>
    <row r="424" spans="1:6" ht="16" x14ac:dyDescent="0.2">
      <c r="A424" s="12" t="s">
        <v>4005</v>
      </c>
      <c r="B424" s="13"/>
      <c r="C424" t="e">
        <f t="shared" si="0"/>
        <v>#N/A</v>
      </c>
      <c r="D424" t="b">
        <f t="shared" si="1"/>
        <v>0</v>
      </c>
      <c r="E424">
        <f t="shared" si="2"/>
        <v>0</v>
      </c>
      <c r="F424" s="11"/>
    </row>
    <row r="425" spans="1:6" ht="16" x14ac:dyDescent="0.2">
      <c r="A425" s="12" t="s">
        <v>4006</v>
      </c>
      <c r="B425" s="13"/>
      <c r="C425" t="e">
        <f t="shared" si="0"/>
        <v>#N/A</v>
      </c>
      <c r="D425" t="b">
        <f t="shared" si="1"/>
        <v>0</v>
      </c>
      <c r="E425">
        <f t="shared" si="2"/>
        <v>0</v>
      </c>
      <c r="F425" s="11"/>
    </row>
    <row r="426" spans="1:6" ht="16" x14ac:dyDescent="0.2">
      <c r="A426" s="12" t="s">
        <v>4007</v>
      </c>
      <c r="B426" s="13"/>
      <c r="C426" t="e">
        <f t="shared" si="0"/>
        <v>#N/A</v>
      </c>
      <c r="D426" t="b">
        <f t="shared" si="1"/>
        <v>0</v>
      </c>
      <c r="E426">
        <f t="shared" si="2"/>
        <v>0</v>
      </c>
      <c r="F426" s="11"/>
    </row>
    <row r="427" spans="1:6" ht="16" x14ac:dyDescent="0.2">
      <c r="A427" s="12" t="s">
        <v>4008</v>
      </c>
      <c r="B427" s="13"/>
      <c r="C427" t="e">
        <f t="shared" si="0"/>
        <v>#N/A</v>
      </c>
      <c r="D427" t="b">
        <f t="shared" si="1"/>
        <v>0</v>
      </c>
      <c r="E427">
        <f t="shared" si="2"/>
        <v>0</v>
      </c>
      <c r="F427" s="11"/>
    </row>
    <row r="428" spans="1:6" ht="16" x14ac:dyDescent="0.2">
      <c r="A428" s="12" t="s">
        <v>4009</v>
      </c>
      <c r="B428" s="13"/>
      <c r="C428" t="e">
        <f t="shared" si="0"/>
        <v>#N/A</v>
      </c>
      <c r="D428" t="b">
        <f t="shared" si="1"/>
        <v>0</v>
      </c>
      <c r="E428">
        <f t="shared" si="2"/>
        <v>0</v>
      </c>
      <c r="F428" s="11"/>
    </row>
    <row r="429" spans="1:6" ht="16" x14ac:dyDescent="0.2">
      <c r="A429" s="12" t="s">
        <v>4010</v>
      </c>
      <c r="B429" s="13"/>
      <c r="C429" t="e">
        <f t="shared" si="0"/>
        <v>#N/A</v>
      </c>
      <c r="D429" t="b">
        <f t="shared" si="1"/>
        <v>0</v>
      </c>
      <c r="E429">
        <f t="shared" si="2"/>
        <v>0</v>
      </c>
      <c r="F429" s="11"/>
    </row>
    <row r="430" spans="1:6" ht="16" x14ac:dyDescent="0.2">
      <c r="A430" s="12" t="s">
        <v>4011</v>
      </c>
      <c r="B430" s="13"/>
      <c r="C430" t="e">
        <f t="shared" si="0"/>
        <v>#N/A</v>
      </c>
      <c r="D430" t="b">
        <f t="shared" si="1"/>
        <v>0</v>
      </c>
      <c r="E430">
        <f t="shared" si="2"/>
        <v>0</v>
      </c>
      <c r="F430" s="11"/>
    </row>
    <row r="431" spans="1:6" ht="16" x14ac:dyDescent="0.2">
      <c r="A431" s="12" t="s">
        <v>4012</v>
      </c>
      <c r="B431" s="13"/>
      <c r="C431" t="e">
        <f t="shared" si="0"/>
        <v>#N/A</v>
      </c>
      <c r="D431" t="b">
        <f t="shared" si="1"/>
        <v>0</v>
      </c>
      <c r="E431">
        <f t="shared" si="2"/>
        <v>0</v>
      </c>
      <c r="F431" s="11"/>
    </row>
    <row r="432" spans="1:6" ht="16" x14ac:dyDescent="0.2">
      <c r="A432" s="12" t="s">
        <v>4013</v>
      </c>
      <c r="B432" s="13"/>
      <c r="C432" t="e">
        <f t="shared" si="0"/>
        <v>#N/A</v>
      </c>
      <c r="D432" t="b">
        <f t="shared" si="1"/>
        <v>0</v>
      </c>
      <c r="E432">
        <f t="shared" si="2"/>
        <v>0</v>
      </c>
      <c r="F432" s="11"/>
    </row>
    <row r="433" spans="1:6" ht="16" x14ac:dyDescent="0.2">
      <c r="A433" s="12" t="s">
        <v>4014</v>
      </c>
      <c r="B433" s="13"/>
      <c r="C433" t="e">
        <f t="shared" si="0"/>
        <v>#N/A</v>
      </c>
      <c r="D433" t="b">
        <f t="shared" si="1"/>
        <v>0</v>
      </c>
      <c r="E433">
        <f t="shared" si="2"/>
        <v>0</v>
      </c>
      <c r="F433" s="11"/>
    </row>
    <row r="434" spans="1:6" ht="16" x14ac:dyDescent="0.2">
      <c r="A434" s="12" t="s">
        <v>4015</v>
      </c>
      <c r="B434" s="13"/>
      <c r="C434" t="e">
        <f t="shared" si="0"/>
        <v>#N/A</v>
      </c>
      <c r="D434" t="b">
        <f t="shared" si="1"/>
        <v>0</v>
      </c>
      <c r="E434">
        <f t="shared" si="2"/>
        <v>0</v>
      </c>
      <c r="F434" s="11"/>
    </row>
    <row r="435" spans="1:6" ht="16" x14ac:dyDescent="0.2">
      <c r="A435" s="12" t="s">
        <v>4016</v>
      </c>
      <c r="B435" s="13"/>
      <c r="C435" t="e">
        <f t="shared" si="0"/>
        <v>#N/A</v>
      </c>
      <c r="D435" t="b">
        <f t="shared" si="1"/>
        <v>0</v>
      </c>
      <c r="E435">
        <f t="shared" si="2"/>
        <v>0</v>
      </c>
      <c r="F435" s="11"/>
    </row>
    <row r="436" spans="1:6" ht="16" x14ac:dyDescent="0.2">
      <c r="A436" s="12" t="s">
        <v>4017</v>
      </c>
      <c r="B436" s="13"/>
      <c r="C436" t="e">
        <f t="shared" si="0"/>
        <v>#N/A</v>
      </c>
      <c r="D436" t="b">
        <f t="shared" si="1"/>
        <v>0</v>
      </c>
      <c r="E436">
        <f t="shared" si="2"/>
        <v>0</v>
      </c>
      <c r="F436" s="11"/>
    </row>
    <row r="437" spans="1:6" ht="16" x14ac:dyDescent="0.2">
      <c r="A437" s="12" t="s">
        <v>4017</v>
      </c>
      <c r="B437" s="13"/>
      <c r="C437" t="e">
        <f t="shared" si="0"/>
        <v>#N/A</v>
      </c>
      <c r="D437" t="b">
        <f t="shared" si="1"/>
        <v>0</v>
      </c>
      <c r="E437">
        <f t="shared" si="2"/>
        <v>0</v>
      </c>
      <c r="F437" s="11"/>
    </row>
    <row r="438" spans="1:6" ht="16" x14ac:dyDescent="0.2">
      <c r="A438" s="12" t="s">
        <v>4018</v>
      </c>
      <c r="B438" s="13"/>
      <c r="C438" t="e">
        <f t="shared" si="0"/>
        <v>#N/A</v>
      </c>
      <c r="D438" t="b">
        <f t="shared" si="1"/>
        <v>0</v>
      </c>
      <c r="E438">
        <f t="shared" si="2"/>
        <v>0</v>
      </c>
      <c r="F438" s="11"/>
    </row>
    <row r="439" spans="1:6" ht="16" x14ac:dyDescent="0.2">
      <c r="A439" s="12" t="s">
        <v>4019</v>
      </c>
      <c r="B439" s="13"/>
      <c r="C439" t="e">
        <f t="shared" si="0"/>
        <v>#N/A</v>
      </c>
      <c r="D439" t="b">
        <f t="shared" si="1"/>
        <v>0</v>
      </c>
      <c r="E439">
        <f t="shared" si="2"/>
        <v>0</v>
      </c>
      <c r="F439" s="11"/>
    </row>
    <row r="440" spans="1:6" ht="16" x14ac:dyDescent="0.2">
      <c r="A440" s="12" t="s">
        <v>4020</v>
      </c>
      <c r="B440" s="13"/>
      <c r="C440" t="e">
        <f t="shared" si="0"/>
        <v>#N/A</v>
      </c>
      <c r="D440" t="b">
        <f t="shared" si="1"/>
        <v>0</v>
      </c>
      <c r="E440">
        <f t="shared" si="2"/>
        <v>0</v>
      </c>
      <c r="F440" s="11"/>
    </row>
    <row r="441" spans="1:6" ht="16" x14ac:dyDescent="0.2">
      <c r="A441" s="12" t="s">
        <v>4021</v>
      </c>
      <c r="B441" s="13"/>
      <c r="C441" t="e">
        <f t="shared" si="0"/>
        <v>#N/A</v>
      </c>
      <c r="D441" t="b">
        <f t="shared" si="1"/>
        <v>0</v>
      </c>
      <c r="E441">
        <f t="shared" si="2"/>
        <v>0</v>
      </c>
      <c r="F441" s="11"/>
    </row>
    <row r="442" spans="1:6" ht="16" x14ac:dyDescent="0.2">
      <c r="A442" s="12" t="s">
        <v>4022</v>
      </c>
      <c r="B442" s="13"/>
      <c r="C442" t="e">
        <f t="shared" si="0"/>
        <v>#N/A</v>
      </c>
      <c r="D442" t="b">
        <f t="shared" si="1"/>
        <v>0</v>
      </c>
      <c r="E442">
        <f t="shared" si="2"/>
        <v>0</v>
      </c>
      <c r="F442" s="11"/>
    </row>
    <row r="443" spans="1:6" ht="16" x14ac:dyDescent="0.2">
      <c r="A443" s="12" t="s">
        <v>4023</v>
      </c>
      <c r="B443" s="13"/>
      <c r="C443" t="e">
        <f t="shared" si="0"/>
        <v>#N/A</v>
      </c>
      <c r="D443" t="b">
        <f t="shared" si="1"/>
        <v>0</v>
      </c>
      <c r="E443">
        <f t="shared" si="2"/>
        <v>0</v>
      </c>
      <c r="F443" s="11"/>
    </row>
    <row r="444" spans="1:6" ht="16" x14ac:dyDescent="0.2">
      <c r="A444" s="12" t="s">
        <v>4024</v>
      </c>
      <c r="B444" s="13"/>
      <c r="C444" t="e">
        <f t="shared" si="0"/>
        <v>#N/A</v>
      </c>
      <c r="D444" t="b">
        <f t="shared" si="1"/>
        <v>0</v>
      </c>
      <c r="E444">
        <f t="shared" si="2"/>
        <v>0</v>
      </c>
      <c r="F444" s="11"/>
    </row>
    <row r="445" spans="1:6" ht="16" x14ac:dyDescent="0.2">
      <c r="A445" s="12" t="s">
        <v>4025</v>
      </c>
      <c r="B445" s="13"/>
      <c r="C445" t="e">
        <f t="shared" si="0"/>
        <v>#N/A</v>
      </c>
      <c r="D445" t="b">
        <f t="shared" si="1"/>
        <v>0</v>
      </c>
      <c r="E445">
        <f t="shared" si="2"/>
        <v>0</v>
      </c>
      <c r="F445" s="11"/>
    </row>
    <row r="446" spans="1:6" ht="16" x14ac:dyDescent="0.2">
      <c r="A446" s="12" t="s">
        <v>4026</v>
      </c>
      <c r="B446" s="13"/>
      <c r="C446" t="e">
        <f t="shared" si="0"/>
        <v>#N/A</v>
      </c>
      <c r="D446" t="b">
        <f t="shared" si="1"/>
        <v>0</v>
      </c>
      <c r="E446">
        <f t="shared" si="2"/>
        <v>0</v>
      </c>
      <c r="F446" s="11"/>
    </row>
    <row r="447" spans="1:6" ht="16" x14ac:dyDescent="0.2">
      <c r="A447" s="12" t="s">
        <v>4027</v>
      </c>
      <c r="B447" s="13"/>
      <c r="C447" t="e">
        <f t="shared" si="0"/>
        <v>#N/A</v>
      </c>
      <c r="D447" t="b">
        <f t="shared" si="1"/>
        <v>0</v>
      </c>
      <c r="E447">
        <f t="shared" si="2"/>
        <v>0</v>
      </c>
      <c r="F447" s="11"/>
    </row>
    <row r="448" spans="1:6" ht="16" x14ac:dyDescent="0.2">
      <c r="A448" s="12" t="s">
        <v>4028</v>
      </c>
      <c r="B448" s="13"/>
      <c r="C448" t="e">
        <f t="shared" si="0"/>
        <v>#N/A</v>
      </c>
      <c r="D448" t="b">
        <f t="shared" si="1"/>
        <v>0</v>
      </c>
      <c r="E448">
        <f t="shared" si="2"/>
        <v>0</v>
      </c>
      <c r="F448" s="11"/>
    </row>
    <row r="449" spans="1:6" ht="16" x14ac:dyDescent="0.2">
      <c r="A449" s="12" t="s">
        <v>4029</v>
      </c>
      <c r="B449" s="13"/>
      <c r="C449" t="e">
        <f t="shared" si="0"/>
        <v>#N/A</v>
      </c>
      <c r="D449" t="b">
        <f t="shared" si="1"/>
        <v>0</v>
      </c>
      <c r="E449">
        <f t="shared" si="2"/>
        <v>0</v>
      </c>
      <c r="F449" s="11"/>
    </row>
    <row r="450" spans="1:6" ht="16" x14ac:dyDescent="0.2">
      <c r="A450" s="12" t="s">
        <v>4030</v>
      </c>
      <c r="B450" s="13"/>
      <c r="C450" t="e">
        <f t="shared" si="0"/>
        <v>#N/A</v>
      </c>
      <c r="D450" t="b">
        <f t="shared" si="1"/>
        <v>0</v>
      </c>
      <c r="E450">
        <f t="shared" si="2"/>
        <v>0</v>
      </c>
      <c r="F450" s="11"/>
    </row>
    <row r="451" spans="1:6" ht="16" x14ac:dyDescent="0.2">
      <c r="A451" s="12" t="s">
        <v>4031</v>
      </c>
      <c r="B451" s="13"/>
      <c r="C451" t="e">
        <f t="shared" si="0"/>
        <v>#N/A</v>
      </c>
      <c r="D451" t="b">
        <f t="shared" si="1"/>
        <v>0</v>
      </c>
      <c r="E451">
        <f t="shared" si="2"/>
        <v>0</v>
      </c>
      <c r="F451" s="11"/>
    </row>
    <row r="452" spans="1:6" ht="16" x14ac:dyDescent="0.2">
      <c r="A452" s="12" t="s">
        <v>4032</v>
      </c>
      <c r="B452" s="13"/>
      <c r="C452" t="e">
        <f t="shared" si="0"/>
        <v>#N/A</v>
      </c>
      <c r="D452" t="b">
        <f t="shared" si="1"/>
        <v>0</v>
      </c>
      <c r="E452">
        <f t="shared" si="2"/>
        <v>0</v>
      </c>
      <c r="F452" s="11"/>
    </row>
    <row r="453" spans="1:6" ht="16" x14ac:dyDescent="0.2">
      <c r="A453" s="12" t="s">
        <v>4033</v>
      </c>
      <c r="B453" s="13"/>
      <c r="C453" t="e">
        <f t="shared" si="0"/>
        <v>#N/A</v>
      </c>
      <c r="D453" t="b">
        <f t="shared" si="1"/>
        <v>0</v>
      </c>
      <c r="E453">
        <f t="shared" si="2"/>
        <v>0</v>
      </c>
      <c r="F453" s="11"/>
    </row>
    <row r="454" spans="1:6" ht="16" x14ac:dyDescent="0.2">
      <c r="A454" s="12" t="s">
        <v>4034</v>
      </c>
      <c r="B454" s="13"/>
      <c r="C454" t="e">
        <f t="shared" si="0"/>
        <v>#N/A</v>
      </c>
      <c r="D454" t="b">
        <f t="shared" si="1"/>
        <v>0</v>
      </c>
      <c r="E454">
        <f t="shared" si="2"/>
        <v>0</v>
      </c>
      <c r="F454" s="11"/>
    </row>
    <row r="455" spans="1:6" ht="16" x14ac:dyDescent="0.2">
      <c r="A455" s="12" t="s">
        <v>4035</v>
      </c>
      <c r="B455" s="13"/>
      <c r="C455" t="e">
        <f t="shared" si="0"/>
        <v>#N/A</v>
      </c>
      <c r="D455" t="b">
        <f t="shared" si="1"/>
        <v>0</v>
      </c>
      <c r="E455">
        <f t="shared" si="2"/>
        <v>0</v>
      </c>
      <c r="F455" s="11"/>
    </row>
    <row r="456" spans="1:6" ht="16" x14ac:dyDescent="0.2">
      <c r="A456" s="12" t="s">
        <v>4036</v>
      </c>
      <c r="B456" s="13"/>
      <c r="C456" t="e">
        <f t="shared" si="0"/>
        <v>#N/A</v>
      </c>
      <c r="D456" t="b">
        <f t="shared" si="1"/>
        <v>0</v>
      </c>
      <c r="E456">
        <f t="shared" si="2"/>
        <v>0</v>
      </c>
      <c r="F456" s="11"/>
    </row>
    <row r="457" spans="1:6" ht="16" x14ac:dyDescent="0.2">
      <c r="A457" s="12" t="s">
        <v>4037</v>
      </c>
      <c r="B457" s="13"/>
      <c r="C457" t="e">
        <f t="shared" si="0"/>
        <v>#N/A</v>
      </c>
      <c r="D457" t="b">
        <f t="shared" si="1"/>
        <v>0</v>
      </c>
      <c r="E457">
        <f t="shared" si="2"/>
        <v>0</v>
      </c>
      <c r="F457" s="11"/>
    </row>
    <row r="458" spans="1:6" ht="16" x14ac:dyDescent="0.2">
      <c r="A458" s="12" t="s">
        <v>4038</v>
      </c>
      <c r="B458" s="13"/>
      <c r="C458" t="e">
        <f t="shared" si="0"/>
        <v>#N/A</v>
      </c>
      <c r="D458" t="b">
        <f t="shared" si="1"/>
        <v>0</v>
      </c>
      <c r="E458">
        <f t="shared" si="2"/>
        <v>0</v>
      </c>
      <c r="F458" s="11"/>
    </row>
    <row r="459" spans="1:6" ht="16" x14ac:dyDescent="0.2">
      <c r="A459" s="12" t="s">
        <v>4039</v>
      </c>
      <c r="B459" s="13"/>
      <c r="C459" t="e">
        <f t="shared" si="0"/>
        <v>#N/A</v>
      </c>
      <c r="D459" t="b">
        <f t="shared" si="1"/>
        <v>0</v>
      </c>
      <c r="E459">
        <f t="shared" si="2"/>
        <v>0</v>
      </c>
      <c r="F459" s="11"/>
    </row>
    <row r="460" spans="1:6" ht="16" x14ac:dyDescent="0.2">
      <c r="A460" s="12" t="s">
        <v>4040</v>
      </c>
      <c r="B460" s="13"/>
      <c r="C460" t="e">
        <f t="shared" si="0"/>
        <v>#N/A</v>
      </c>
      <c r="D460" t="b">
        <f t="shared" si="1"/>
        <v>0</v>
      </c>
      <c r="E460">
        <f t="shared" si="2"/>
        <v>0</v>
      </c>
      <c r="F460" s="11"/>
    </row>
    <row r="461" spans="1:6" ht="16" x14ac:dyDescent="0.2">
      <c r="A461" s="12" t="s">
        <v>4041</v>
      </c>
      <c r="B461" s="13"/>
      <c r="C461" t="e">
        <f t="shared" si="0"/>
        <v>#N/A</v>
      </c>
      <c r="D461" t="b">
        <f t="shared" si="1"/>
        <v>0</v>
      </c>
      <c r="E461">
        <f t="shared" si="2"/>
        <v>0</v>
      </c>
      <c r="F461" s="11"/>
    </row>
    <row r="462" spans="1:6" ht="16" x14ac:dyDescent="0.2">
      <c r="A462" s="12" t="s">
        <v>4042</v>
      </c>
      <c r="B462" s="13"/>
      <c r="C462" t="e">
        <f t="shared" si="0"/>
        <v>#N/A</v>
      </c>
      <c r="D462" t="b">
        <f t="shared" si="1"/>
        <v>0</v>
      </c>
      <c r="E462">
        <f t="shared" si="2"/>
        <v>0</v>
      </c>
      <c r="F462" s="11"/>
    </row>
    <row r="463" spans="1:6" ht="16" x14ac:dyDescent="0.2">
      <c r="A463" s="12" t="s">
        <v>4043</v>
      </c>
      <c r="B463" s="13"/>
      <c r="C463" t="e">
        <f t="shared" si="0"/>
        <v>#N/A</v>
      </c>
      <c r="D463" t="b">
        <f t="shared" si="1"/>
        <v>0</v>
      </c>
      <c r="E463">
        <f t="shared" si="2"/>
        <v>0</v>
      </c>
      <c r="F463" s="11"/>
    </row>
    <row r="464" spans="1:6" ht="16" x14ac:dyDescent="0.2">
      <c r="A464" s="12" t="s">
        <v>4044</v>
      </c>
      <c r="B464" s="13"/>
      <c r="C464" t="e">
        <f t="shared" si="0"/>
        <v>#N/A</v>
      </c>
      <c r="D464" t="b">
        <f t="shared" si="1"/>
        <v>0</v>
      </c>
      <c r="E464">
        <f t="shared" si="2"/>
        <v>0</v>
      </c>
      <c r="F464" s="11"/>
    </row>
    <row r="465" spans="1:6" ht="16" x14ac:dyDescent="0.2">
      <c r="A465" s="12" t="s">
        <v>4045</v>
      </c>
      <c r="B465" s="13"/>
      <c r="C465" t="e">
        <f t="shared" si="0"/>
        <v>#N/A</v>
      </c>
      <c r="D465" t="b">
        <f t="shared" si="1"/>
        <v>0</v>
      </c>
      <c r="E465">
        <f t="shared" si="2"/>
        <v>0</v>
      </c>
      <c r="F465" s="11"/>
    </row>
    <row r="466" spans="1:6" ht="16" x14ac:dyDescent="0.2">
      <c r="A466" s="12" t="s">
        <v>4046</v>
      </c>
      <c r="B466" s="13"/>
      <c r="C466" t="e">
        <f t="shared" si="0"/>
        <v>#N/A</v>
      </c>
      <c r="D466" t="b">
        <f t="shared" si="1"/>
        <v>0</v>
      </c>
      <c r="E466">
        <f t="shared" si="2"/>
        <v>0</v>
      </c>
      <c r="F466" s="11"/>
    </row>
    <row r="467" spans="1:6" ht="16" x14ac:dyDescent="0.2">
      <c r="A467" s="12" t="s">
        <v>4047</v>
      </c>
      <c r="B467" s="13"/>
      <c r="C467" t="e">
        <f t="shared" si="0"/>
        <v>#N/A</v>
      </c>
      <c r="D467" t="b">
        <f t="shared" si="1"/>
        <v>0</v>
      </c>
      <c r="E467">
        <f t="shared" si="2"/>
        <v>0</v>
      </c>
      <c r="F467" s="11"/>
    </row>
    <row r="468" spans="1:6" ht="16" x14ac:dyDescent="0.2">
      <c r="A468" s="12" t="s">
        <v>4048</v>
      </c>
      <c r="B468" s="13"/>
      <c r="C468" t="e">
        <f t="shared" si="0"/>
        <v>#N/A</v>
      </c>
      <c r="D468" t="b">
        <f t="shared" si="1"/>
        <v>0</v>
      </c>
      <c r="E468">
        <f t="shared" si="2"/>
        <v>0</v>
      </c>
      <c r="F468" s="11"/>
    </row>
    <row r="469" spans="1:6" ht="16" x14ac:dyDescent="0.2">
      <c r="A469" s="12" t="s">
        <v>4049</v>
      </c>
      <c r="B469" s="13"/>
      <c r="C469" t="e">
        <f t="shared" si="0"/>
        <v>#N/A</v>
      </c>
      <c r="D469" t="b">
        <f t="shared" si="1"/>
        <v>0</v>
      </c>
      <c r="E469">
        <f t="shared" si="2"/>
        <v>0</v>
      </c>
      <c r="F469" s="11"/>
    </row>
    <row r="470" spans="1:6" ht="16" x14ac:dyDescent="0.2">
      <c r="A470" s="12" t="s">
        <v>4050</v>
      </c>
      <c r="B470" s="13"/>
      <c r="C470" t="e">
        <f t="shared" si="0"/>
        <v>#N/A</v>
      </c>
      <c r="D470" t="b">
        <f t="shared" si="1"/>
        <v>0</v>
      </c>
      <c r="E470">
        <f t="shared" si="2"/>
        <v>0</v>
      </c>
      <c r="F470" s="11"/>
    </row>
    <row r="471" spans="1:6" ht="16" x14ac:dyDescent="0.2">
      <c r="A471" s="12" t="s">
        <v>4051</v>
      </c>
      <c r="B471" s="13"/>
      <c r="C471" t="e">
        <f t="shared" si="0"/>
        <v>#N/A</v>
      </c>
      <c r="D471" t="b">
        <f t="shared" si="1"/>
        <v>0</v>
      </c>
      <c r="E471">
        <f t="shared" si="2"/>
        <v>0</v>
      </c>
      <c r="F471" s="11"/>
    </row>
    <row r="472" spans="1:6" ht="16" x14ac:dyDescent="0.2">
      <c r="A472" s="12" t="s">
        <v>4052</v>
      </c>
      <c r="B472" s="13"/>
      <c r="C472" t="e">
        <f t="shared" si="0"/>
        <v>#N/A</v>
      </c>
      <c r="D472" t="b">
        <f t="shared" si="1"/>
        <v>0</v>
      </c>
      <c r="E472">
        <f t="shared" si="2"/>
        <v>0</v>
      </c>
      <c r="F472" s="11"/>
    </row>
    <row r="473" spans="1:6" ht="16" x14ac:dyDescent="0.2">
      <c r="A473" s="12" t="s">
        <v>4053</v>
      </c>
      <c r="B473" s="13"/>
      <c r="C473" t="e">
        <f t="shared" si="0"/>
        <v>#N/A</v>
      </c>
      <c r="D473" t="b">
        <f t="shared" si="1"/>
        <v>0</v>
      </c>
      <c r="E473">
        <f t="shared" si="2"/>
        <v>0</v>
      </c>
      <c r="F473" s="11"/>
    </row>
    <row r="474" spans="1:6" ht="16" x14ac:dyDescent="0.2">
      <c r="A474" s="12" t="s">
        <v>4054</v>
      </c>
      <c r="B474" s="13"/>
      <c r="C474" t="e">
        <f t="shared" si="0"/>
        <v>#N/A</v>
      </c>
      <c r="D474" t="b">
        <f t="shared" si="1"/>
        <v>0</v>
      </c>
      <c r="E474">
        <f t="shared" si="2"/>
        <v>0</v>
      </c>
      <c r="F474" s="11"/>
    </row>
    <row r="475" spans="1:6" ht="16" x14ac:dyDescent="0.2">
      <c r="A475" s="12" t="s">
        <v>4055</v>
      </c>
      <c r="B475" s="13"/>
      <c r="C475" t="e">
        <f t="shared" si="0"/>
        <v>#N/A</v>
      </c>
      <c r="D475" t="b">
        <f t="shared" si="1"/>
        <v>0</v>
      </c>
      <c r="E475">
        <f t="shared" si="2"/>
        <v>0</v>
      </c>
      <c r="F475" s="11"/>
    </row>
    <row r="476" spans="1:6" ht="16" x14ac:dyDescent="0.2">
      <c r="A476" s="12" t="s">
        <v>4056</v>
      </c>
      <c r="B476" s="13"/>
      <c r="C476" t="e">
        <f t="shared" si="0"/>
        <v>#N/A</v>
      </c>
      <c r="D476" t="b">
        <f t="shared" si="1"/>
        <v>0</v>
      </c>
      <c r="E476">
        <f t="shared" si="2"/>
        <v>0</v>
      </c>
      <c r="F476" s="11"/>
    </row>
    <row r="477" spans="1:6" ht="16" x14ac:dyDescent="0.2">
      <c r="A477" s="12" t="s">
        <v>4057</v>
      </c>
      <c r="B477" s="13"/>
      <c r="C477" t="e">
        <f t="shared" si="0"/>
        <v>#N/A</v>
      </c>
      <c r="D477" t="b">
        <f t="shared" si="1"/>
        <v>0</v>
      </c>
      <c r="E477">
        <f t="shared" si="2"/>
        <v>0</v>
      </c>
      <c r="F477" s="11"/>
    </row>
    <row r="478" spans="1:6" ht="16" x14ac:dyDescent="0.2">
      <c r="A478" s="12" t="s">
        <v>4058</v>
      </c>
      <c r="B478" s="13"/>
      <c r="C478" t="e">
        <f t="shared" si="0"/>
        <v>#N/A</v>
      </c>
      <c r="D478" t="b">
        <f t="shared" si="1"/>
        <v>0</v>
      </c>
      <c r="E478">
        <f t="shared" si="2"/>
        <v>0</v>
      </c>
      <c r="F478" s="11"/>
    </row>
    <row r="479" spans="1:6" ht="16" x14ac:dyDescent="0.2">
      <c r="A479" s="12" t="s">
        <v>4059</v>
      </c>
      <c r="B479" s="13"/>
      <c r="C479" t="e">
        <f t="shared" si="0"/>
        <v>#N/A</v>
      </c>
      <c r="D479" t="b">
        <f t="shared" si="1"/>
        <v>0</v>
      </c>
      <c r="E479">
        <f t="shared" si="2"/>
        <v>0</v>
      </c>
      <c r="F479" s="11"/>
    </row>
    <row r="480" spans="1:6" ht="16" x14ac:dyDescent="0.2">
      <c r="A480" s="12" t="s">
        <v>4060</v>
      </c>
      <c r="B480" s="13"/>
      <c r="C480" t="e">
        <f t="shared" si="0"/>
        <v>#N/A</v>
      </c>
      <c r="D480" t="b">
        <f t="shared" si="1"/>
        <v>0</v>
      </c>
      <c r="E480">
        <f t="shared" si="2"/>
        <v>0</v>
      </c>
      <c r="F480" s="11"/>
    </row>
    <row r="481" spans="1:6" ht="16" x14ac:dyDescent="0.2">
      <c r="A481" s="12" t="s">
        <v>4061</v>
      </c>
      <c r="B481" s="13"/>
      <c r="C481" t="e">
        <f t="shared" si="0"/>
        <v>#N/A</v>
      </c>
      <c r="D481" t="b">
        <f t="shared" si="1"/>
        <v>0</v>
      </c>
      <c r="E481">
        <f t="shared" si="2"/>
        <v>0</v>
      </c>
      <c r="F481" s="11"/>
    </row>
    <row r="482" spans="1:6" ht="16" x14ac:dyDescent="0.2">
      <c r="A482" s="12" t="s">
        <v>4062</v>
      </c>
      <c r="B482" s="13"/>
      <c r="C482" t="e">
        <f t="shared" si="0"/>
        <v>#N/A</v>
      </c>
      <c r="D482" t="b">
        <f t="shared" si="1"/>
        <v>0</v>
      </c>
      <c r="E482">
        <f t="shared" si="2"/>
        <v>0</v>
      </c>
      <c r="F482" s="11"/>
    </row>
    <row r="483" spans="1:6" ht="16" x14ac:dyDescent="0.2">
      <c r="A483" s="12" t="s">
        <v>4063</v>
      </c>
      <c r="B483" s="13"/>
      <c r="C483" t="e">
        <f t="shared" si="0"/>
        <v>#N/A</v>
      </c>
      <c r="D483" t="b">
        <f t="shared" si="1"/>
        <v>0</v>
      </c>
      <c r="E483">
        <f t="shared" si="2"/>
        <v>0</v>
      </c>
      <c r="F483" s="11"/>
    </row>
    <row r="484" spans="1:6" ht="16" x14ac:dyDescent="0.2">
      <c r="A484" s="12" t="s">
        <v>4064</v>
      </c>
      <c r="B484" s="13"/>
      <c r="C484" t="e">
        <f t="shared" si="0"/>
        <v>#N/A</v>
      </c>
      <c r="D484" t="b">
        <f t="shared" si="1"/>
        <v>0</v>
      </c>
      <c r="E484">
        <f t="shared" si="2"/>
        <v>0</v>
      </c>
      <c r="F484" s="11"/>
    </row>
    <row r="485" spans="1:6" ht="16" x14ac:dyDescent="0.2">
      <c r="A485" s="12" t="s">
        <v>4065</v>
      </c>
      <c r="B485" s="13"/>
      <c r="C485" t="e">
        <f t="shared" si="0"/>
        <v>#N/A</v>
      </c>
      <c r="D485" t="b">
        <f t="shared" si="1"/>
        <v>0</v>
      </c>
      <c r="E485">
        <f t="shared" si="2"/>
        <v>0</v>
      </c>
      <c r="F485" s="11"/>
    </row>
    <row r="486" spans="1:6" ht="16" x14ac:dyDescent="0.2">
      <c r="A486" s="12" t="s">
        <v>4066</v>
      </c>
      <c r="B486" s="13"/>
      <c r="C486" t="e">
        <f t="shared" si="0"/>
        <v>#N/A</v>
      </c>
      <c r="D486" t="b">
        <f t="shared" si="1"/>
        <v>0</v>
      </c>
      <c r="E486">
        <f t="shared" si="2"/>
        <v>0</v>
      </c>
      <c r="F486" s="11"/>
    </row>
    <row r="487" spans="1:6" ht="16" x14ac:dyDescent="0.2">
      <c r="A487" s="12" t="s">
        <v>4067</v>
      </c>
      <c r="B487" s="13"/>
      <c r="C487" t="e">
        <f t="shared" si="0"/>
        <v>#N/A</v>
      </c>
      <c r="D487" t="b">
        <f t="shared" si="1"/>
        <v>0</v>
      </c>
      <c r="E487">
        <f t="shared" si="2"/>
        <v>0</v>
      </c>
      <c r="F487" s="11"/>
    </row>
    <row r="488" spans="1:6" ht="16" x14ac:dyDescent="0.2">
      <c r="A488" s="12" t="s">
        <v>4068</v>
      </c>
      <c r="B488" s="13"/>
      <c r="C488" t="e">
        <f t="shared" si="0"/>
        <v>#N/A</v>
      </c>
      <c r="D488" t="b">
        <f t="shared" si="1"/>
        <v>0</v>
      </c>
      <c r="E488">
        <f t="shared" si="2"/>
        <v>0</v>
      </c>
      <c r="F488" s="11"/>
    </row>
    <row r="489" spans="1:6" ht="16" x14ac:dyDescent="0.2">
      <c r="A489" s="12" t="s">
        <v>4069</v>
      </c>
      <c r="B489" s="13"/>
      <c r="C489" t="e">
        <f t="shared" si="0"/>
        <v>#N/A</v>
      </c>
      <c r="D489" t="b">
        <f t="shared" si="1"/>
        <v>0</v>
      </c>
      <c r="E489">
        <f t="shared" si="2"/>
        <v>0</v>
      </c>
      <c r="F489" s="11"/>
    </row>
    <row r="490" spans="1:6" ht="16" x14ac:dyDescent="0.2">
      <c r="A490" s="12" t="s">
        <v>4070</v>
      </c>
      <c r="B490" s="13"/>
      <c r="C490" t="e">
        <f t="shared" si="0"/>
        <v>#N/A</v>
      </c>
      <c r="D490" t="b">
        <f t="shared" si="1"/>
        <v>0</v>
      </c>
      <c r="E490">
        <f t="shared" si="2"/>
        <v>0</v>
      </c>
      <c r="F490" s="11"/>
    </row>
    <row r="491" spans="1:6" ht="16" x14ac:dyDescent="0.2">
      <c r="A491" s="12" t="s">
        <v>4071</v>
      </c>
      <c r="B491" s="13"/>
      <c r="C491" t="e">
        <f t="shared" si="0"/>
        <v>#N/A</v>
      </c>
      <c r="D491" t="b">
        <f t="shared" si="1"/>
        <v>0</v>
      </c>
      <c r="E491">
        <f t="shared" si="2"/>
        <v>0</v>
      </c>
      <c r="F491" s="15"/>
    </row>
    <row r="492" spans="1:6" ht="16" x14ac:dyDescent="0.2">
      <c r="A492" s="12" t="s">
        <v>4072</v>
      </c>
      <c r="B492" s="13"/>
      <c r="C492" t="e">
        <f t="shared" si="0"/>
        <v>#N/A</v>
      </c>
      <c r="D492" t="b">
        <f t="shared" si="1"/>
        <v>0</v>
      </c>
      <c r="E492">
        <f t="shared" si="2"/>
        <v>0</v>
      </c>
      <c r="F492" s="11"/>
    </row>
    <row r="493" spans="1:6" ht="16" x14ac:dyDescent="0.2">
      <c r="A493" s="12" t="s">
        <v>4073</v>
      </c>
      <c r="B493" s="13"/>
      <c r="C493" t="e">
        <f t="shared" si="0"/>
        <v>#N/A</v>
      </c>
      <c r="D493" t="b">
        <f t="shared" si="1"/>
        <v>0</v>
      </c>
      <c r="E493">
        <f t="shared" si="2"/>
        <v>0</v>
      </c>
      <c r="F493" s="11"/>
    </row>
    <row r="494" spans="1:6" ht="16" x14ac:dyDescent="0.2">
      <c r="A494" s="12" t="s">
        <v>4074</v>
      </c>
      <c r="B494" s="13"/>
      <c r="C494" t="e">
        <f t="shared" si="0"/>
        <v>#N/A</v>
      </c>
      <c r="D494" t="b">
        <f t="shared" si="1"/>
        <v>0</v>
      </c>
      <c r="E494">
        <f t="shared" si="2"/>
        <v>0</v>
      </c>
      <c r="F494" s="11"/>
    </row>
    <row r="495" spans="1:6" ht="16" x14ac:dyDescent="0.2">
      <c r="A495" s="12" t="s">
        <v>4075</v>
      </c>
      <c r="B495" s="13"/>
      <c r="C495" t="e">
        <f t="shared" si="0"/>
        <v>#N/A</v>
      </c>
      <c r="D495" t="b">
        <f t="shared" si="1"/>
        <v>0</v>
      </c>
      <c r="E495">
        <f t="shared" si="2"/>
        <v>0</v>
      </c>
      <c r="F495" s="11"/>
    </row>
    <row r="496" spans="1:6" ht="16" x14ac:dyDescent="0.2">
      <c r="A496" s="12" t="s">
        <v>4076</v>
      </c>
      <c r="B496" s="13"/>
      <c r="C496" t="e">
        <f t="shared" si="0"/>
        <v>#N/A</v>
      </c>
      <c r="D496" t="b">
        <f t="shared" si="1"/>
        <v>0</v>
      </c>
      <c r="E496">
        <f t="shared" si="2"/>
        <v>0</v>
      </c>
      <c r="F496" s="11"/>
    </row>
    <row r="497" spans="1:6" ht="16" x14ac:dyDescent="0.2">
      <c r="A497" s="12" t="s">
        <v>4077</v>
      </c>
      <c r="B497" s="13"/>
      <c r="C497" t="e">
        <f t="shared" si="0"/>
        <v>#N/A</v>
      </c>
      <c r="D497" t="b">
        <f t="shared" si="1"/>
        <v>0</v>
      </c>
      <c r="E497">
        <f t="shared" si="2"/>
        <v>0</v>
      </c>
      <c r="F497" s="11"/>
    </row>
    <row r="498" spans="1:6" ht="16" x14ac:dyDescent="0.2">
      <c r="A498" s="12" t="s">
        <v>4078</v>
      </c>
      <c r="B498" s="13"/>
      <c r="C498" t="e">
        <f t="shared" si="0"/>
        <v>#N/A</v>
      </c>
      <c r="D498" t="b">
        <f t="shared" si="1"/>
        <v>0</v>
      </c>
      <c r="E498">
        <f t="shared" si="2"/>
        <v>0</v>
      </c>
      <c r="F498" s="11"/>
    </row>
    <row r="499" spans="1:6" ht="16" x14ac:dyDescent="0.2">
      <c r="A499" s="12" t="s">
        <v>4079</v>
      </c>
      <c r="B499" s="13"/>
      <c r="C499" t="e">
        <f t="shared" si="0"/>
        <v>#N/A</v>
      </c>
      <c r="D499" t="b">
        <f t="shared" si="1"/>
        <v>0</v>
      </c>
      <c r="E499">
        <f t="shared" si="2"/>
        <v>0</v>
      </c>
      <c r="F499" s="11"/>
    </row>
    <row r="500" spans="1:6" ht="16" x14ac:dyDescent="0.2">
      <c r="A500" s="12" t="s">
        <v>4080</v>
      </c>
      <c r="B500" s="13"/>
      <c r="C500" t="e">
        <f t="shared" si="0"/>
        <v>#N/A</v>
      </c>
      <c r="D500" t="b">
        <f t="shared" si="1"/>
        <v>0</v>
      </c>
      <c r="E500">
        <f t="shared" si="2"/>
        <v>0</v>
      </c>
      <c r="F500" s="11"/>
    </row>
    <row r="501" spans="1:6" ht="16" x14ac:dyDescent="0.2">
      <c r="A501" s="12" t="s">
        <v>4081</v>
      </c>
      <c r="B501" s="13"/>
      <c r="C501" t="e">
        <f t="shared" si="0"/>
        <v>#N/A</v>
      </c>
      <c r="D501" t="b">
        <f t="shared" si="1"/>
        <v>0</v>
      </c>
      <c r="E501">
        <f t="shared" si="2"/>
        <v>0</v>
      </c>
      <c r="F501" s="11"/>
    </row>
    <row r="502" spans="1:6" ht="16" x14ac:dyDescent="0.2">
      <c r="A502" s="12" t="s">
        <v>4082</v>
      </c>
      <c r="B502" s="13"/>
      <c r="C502" t="e">
        <f t="shared" si="0"/>
        <v>#N/A</v>
      </c>
      <c r="D502" t="b">
        <f t="shared" si="1"/>
        <v>0</v>
      </c>
      <c r="E502">
        <f t="shared" si="2"/>
        <v>0</v>
      </c>
      <c r="F502" s="11"/>
    </row>
    <row r="503" spans="1:6" ht="16" x14ac:dyDescent="0.2">
      <c r="A503" s="12" t="s">
        <v>4083</v>
      </c>
      <c r="B503" s="13"/>
      <c r="C503" t="e">
        <f t="shared" si="0"/>
        <v>#N/A</v>
      </c>
      <c r="D503" t="b">
        <f t="shared" si="1"/>
        <v>0</v>
      </c>
      <c r="E503">
        <f t="shared" si="2"/>
        <v>0</v>
      </c>
      <c r="F503" s="11"/>
    </row>
    <row r="504" spans="1:6" ht="16" x14ac:dyDescent="0.2">
      <c r="A504" s="12" t="s">
        <v>4084</v>
      </c>
      <c r="B504" s="13"/>
      <c r="C504" t="e">
        <f t="shared" si="0"/>
        <v>#N/A</v>
      </c>
      <c r="D504" t="b">
        <f t="shared" si="1"/>
        <v>0</v>
      </c>
      <c r="E504">
        <f t="shared" si="2"/>
        <v>0</v>
      </c>
      <c r="F504" s="11"/>
    </row>
    <row r="505" spans="1:6" ht="16" x14ac:dyDescent="0.2">
      <c r="A505" s="12" t="s">
        <v>4085</v>
      </c>
      <c r="B505" s="13"/>
      <c r="C505" t="e">
        <f t="shared" si="0"/>
        <v>#N/A</v>
      </c>
      <c r="D505" t="b">
        <f t="shared" si="1"/>
        <v>0</v>
      </c>
      <c r="E505">
        <f t="shared" si="2"/>
        <v>0</v>
      </c>
      <c r="F505" s="11"/>
    </row>
    <row r="506" spans="1:6" ht="16" x14ac:dyDescent="0.2">
      <c r="A506" s="12" t="s">
        <v>4086</v>
      </c>
      <c r="B506" s="13"/>
      <c r="C506" t="e">
        <f t="shared" si="0"/>
        <v>#N/A</v>
      </c>
      <c r="D506" t="b">
        <f t="shared" si="1"/>
        <v>0</v>
      </c>
      <c r="E506">
        <f t="shared" si="2"/>
        <v>0</v>
      </c>
      <c r="F506" s="11"/>
    </row>
    <row r="507" spans="1:6" ht="16" x14ac:dyDescent="0.2">
      <c r="A507" s="12" t="s">
        <v>4087</v>
      </c>
      <c r="B507" s="13"/>
      <c r="C507" t="e">
        <f t="shared" si="0"/>
        <v>#N/A</v>
      </c>
      <c r="D507" t="b">
        <f t="shared" si="1"/>
        <v>0</v>
      </c>
      <c r="E507">
        <f t="shared" si="2"/>
        <v>0</v>
      </c>
      <c r="F507" s="11"/>
    </row>
    <row r="508" spans="1:6" ht="16" x14ac:dyDescent="0.2">
      <c r="A508" s="12" t="s">
        <v>4088</v>
      </c>
      <c r="B508" s="13"/>
      <c r="C508" t="e">
        <f t="shared" si="0"/>
        <v>#N/A</v>
      </c>
      <c r="D508" t="b">
        <f t="shared" si="1"/>
        <v>0</v>
      </c>
      <c r="E508">
        <f t="shared" si="2"/>
        <v>0</v>
      </c>
      <c r="F508" s="11"/>
    </row>
    <row r="509" spans="1:6" ht="16" x14ac:dyDescent="0.2">
      <c r="A509" s="12" t="s">
        <v>4089</v>
      </c>
      <c r="B509" s="13"/>
      <c r="C509" t="e">
        <f t="shared" si="0"/>
        <v>#N/A</v>
      </c>
      <c r="D509" t="b">
        <f t="shared" si="1"/>
        <v>0</v>
      </c>
      <c r="E509">
        <f t="shared" si="2"/>
        <v>0</v>
      </c>
      <c r="F509" s="11"/>
    </row>
    <row r="510" spans="1:6" ht="16" x14ac:dyDescent="0.2">
      <c r="A510" s="12" t="s">
        <v>4090</v>
      </c>
      <c r="B510" s="13"/>
      <c r="C510" t="e">
        <f t="shared" si="0"/>
        <v>#N/A</v>
      </c>
      <c r="D510" t="b">
        <f t="shared" si="1"/>
        <v>0</v>
      </c>
      <c r="E510">
        <f t="shared" si="2"/>
        <v>0</v>
      </c>
      <c r="F510" s="11"/>
    </row>
    <row r="511" spans="1:6" ht="16" x14ac:dyDescent="0.2">
      <c r="A511" s="12" t="s">
        <v>4091</v>
      </c>
      <c r="B511" s="13"/>
      <c r="C511" t="e">
        <f t="shared" si="0"/>
        <v>#N/A</v>
      </c>
      <c r="D511" t="b">
        <f t="shared" si="1"/>
        <v>0</v>
      </c>
      <c r="E511">
        <f t="shared" si="2"/>
        <v>0</v>
      </c>
      <c r="F511" s="11"/>
    </row>
    <row r="512" spans="1:6" ht="16" x14ac:dyDescent="0.2">
      <c r="A512" s="12" t="s">
        <v>4092</v>
      </c>
      <c r="B512" s="13"/>
      <c r="C512" t="e">
        <f t="shared" si="0"/>
        <v>#N/A</v>
      </c>
      <c r="D512" t="b">
        <f t="shared" si="1"/>
        <v>0</v>
      </c>
      <c r="E512">
        <f t="shared" si="2"/>
        <v>0</v>
      </c>
      <c r="F512" s="11"/>
    </row>
    <row r="513" spans="1:6" ht="16" x14ac:dyDescent="0.2">
      <c r="A513" s="12" t="s">
        <v>4093</v>
      </c>
      <c r="B513" s="13"/>
      <c r="C513" t="e">
        <f t="shared" si="0"/>
        <v>#N/A</v>
      </c>
      <c r="D513" t="b">
        <f t="shared" si="1"/>
        <v>0</v>
      </c>
      <c r="E513">
        <f t="shared" si="2"/>
        <v>0</v>
      </c>
      <c r="F513" s="11"/>
    </row>
    <row r="514" spans="1:6" ht="16" x14ac:dyDescent="0.2">
      <c r="A514" s="12" t="s">
        <v>4094</v>
      </c>
      <c r="B514" s="13"/>
      <c r="C514" t="e">
        <f t="shared" si="0"/>
        <v>#N/A</v>
      </c>
      <c r="D514" t="b">
        <f t="shared" si="1"/>
        <v>0</v>
      </c>
      <c r="E514">
        <f t="shared" si="2"/>
        <v>0</v>
      </c>
      <c r="F514" s="11"/>
    </row>
    <row r="515" spans="1:6" ht="16" x14ac:dyDescent="0.2">
      <c r="A515" s="12" t="s">
        <v>4095</v>
      </c>
      <c r="B515" s="13"/>
      <c r="C515" t="e">
        <f t="shared" si="0"/>
        <v>#N/A</v>
      </c>
      <c r="D515" t="b">
        <f t="shared" si="1"/>
        <v>0</v>
      </c>
      <c r="E515">
        <f t="shared" si="2"/>
        <v>0</v>
      </c>
      <c r="F515" s="11"/>
    </row>
    <row r="516" spans="1:6" ht="16" x14ac:dyDescent="0.2">
      <c r="A516" s="12" t="s">
        <v>4096</v>
      </c>
      <c r="B516" s="13"/>
      <c r="C516" t="e">
        <f t="shared" si="0"/>
        <v>#N/A</v>
      </c>
      <c r="D516" t="b">
        <f t="shared" si="1"/>
        <v>0</v>
      </c>
      <c r="E516">
        <f t="shared" si="2"/>
        <v>0</v>
      </c>
      <c r="F516" s="11"/>
    </row>
    <row r="517" spans="1:6" ht="16" x14ac:dyDescent="0.2">
      <c r="A517" s="12" t="s">
        <v>4097</v>
      </c>
      <c r="B517" s="13"/>
      <c r="C517" t="e">
        <f t="shared" si="0"/>
        <v>#N/A</v>
      </c>
      <c r="D517" t="b">
        <f t="shared" si="1"/>
        <v>0</v>
      </c>
      <c r="E517">
        <f t="shared" si="2"/>
        <v>0</v>
      </c>
      <c r="F517" s="11"/>
    </row>
    <row r="518" spans="1:6" ht="16" x14ac:dyDescent="0.2">
      <c r="A518" s="12" t="s">
        <v>4098</v>
      </c>
      <c r="B518" s="13"/>
      <c r="C518" t="e">
        <f t="shared" si="0"/>
        <v>#N/A</v>
      </c>
      <c r="D518" t="b">
        <f t="shared" si="1"/>
        <v>0</v>
      </c>
      <c r="E518">
        <f t="shared" si="2"/>
        <v>0</v>
      </c>
      <c r="F518" s="11"/>
    </row>
    <row r="519" spans="1:6" ht="16" x14ac:dyDescent="0.2">
      <c r="A519" s="12" t="s">
        <v>4099</v>
      </c>
      <c r="B519" s="13"/>
      <c r="C519" t="e">
        <f t="shared" si="0"/>
        <v>#N/A</v>
      </c>
      <c r="D519" t="b">
        <f t="shared" si="1"/>
        <v>0</v>
      </c>
      <c r="E519">
        <f t="shared" si="2"/>
        <v>0</v>
      </c>
      <c r="F519" s="11"/>
    </row>
    <row r="520" spans="1:6" ht="16" x14ac:dyDescent="0.2">
      <c r="A520" s="12" t="s">
        <v>4100</v>
      </c>
      <c r="B520" s="13"/>
      <c r="C520" t="e">
        <f t="shared" si="0"/>
        <v>#N/A</v>
      </c>
      <c r="D520" t="b">
        <f t="shared" si="1"/>
        <v>0</v>
      </c>
      <c r="E520">
        <f t="shared" si="2"/>
        <v>0</v>
      </c>
      <c r="F520" s="11"/>
    </row>
    <row r="521" spans="1:6" ht="16" x14ac:dyDescent="0.2">
      <c r="A521" s="12" t="s">
        <v>4101</v>
      </c>
      <c r="B521" s="13"/>
      <c r="C521" t="e">
        <f t="shared" si="0"/>
        <v>#N/A</v>
      </c>
      <c r="D521" t="b">
        <f t="shared" si="1"/>
        <v>0</v>
      </c>
      <c r="E521">
        <f t="shared" si="2"/>
        <v>0</v>
      </c>
      <c r="F521" s="11"/>
    </row>
    <row r="522" spans="1:6" ht="16" x14ac:dyDescent="0.2">
      <c r="A522" s="12" t="s">
        <v>4102</v>
      </c>
      <c r="B522" s="13"/>
      <c r="C522" t="e">
        <f t="shared" si="0"/>
        <v>#N/A</v>
      </c>
      <c r="D522" t="b">
        <f t="shared" si="1"/>
        <v>0</v>
      </c>
      <c r="E522">
        <f t="shared" si="2"/>
        <v>0</v>
      </c>
      <c r="F522" s="11"/>
    </row>
    <row r="523" spans="1:6" ht="16" x14ac:dyDescent="0.2">
      <c r="A523" s="12" t="s">
        <v>4103</v>
      </c>
      <c r="B523" s="13"/>
      <c r="C523" t="e">
        <f t="shared" si="0"/>
        <v>#N/A</v>
      </c>
      <c r="D523" t="b">
        <f t="shared" si="1"/>
        <v>0</v>
      </c>
      <c r="E523">
        <f t="shared" si="2"/>
        <v>0</v>
      </c>
      <c r="F523" s="11"/>
    </row>
    <row r="524" spans="1:6" ht="16" x14ac:dyDescent="0.2">
      <c r="A524" s="12" t="s">
        <v>4104</v>
      </c>
      <c r="B524" s="13"/>
      <c r="C524" t="e">
        <f t="shared" si="0"/>
        <v>#N/A</v>
      </c>
      <c r="D524" t="b">
        <f t="shared" si="1"/>
        <v>0</v>
      </c>
      <c r="E524">
        <f t="shared" si="2"/>
        <v>0</v>
      </c>
      <c r="F524" s="11"/>
    </row>
    <row r="525" spans="1:6" ht="16" x14ac:dyDescent="0.2">
      <c r="A525" s="12" t="s">
        <v>4105</v>
      </c>
      <c r="B525" s="13"/>
      <c r="C525" t="e">
        <f t="shared" si="0"/>
        <v>#N/A</v>
      </c>
      <c r="D525" t="b">
        <f t="shared" si="1"/>
        <v>0</v>
      </c>
      <c r="E525">
        <f t="shared" si="2"/>
        <v>0</v>
      </c>
      <c r="F525" s="11"/>
    </row>
    <row r="526" spans="1:6" ht="16" x14ac:dyDescent="0.2">
      <c r="A526" s="12" t="s">
        <v>4106</v>
      </c>
      <c r="B526" s="13"/>
      <c r="C526" t="e">
        <f t="shared" si="0"/>
        <v>#N/A</v>
      </c>
      <c r="D526" t="b">
        <f t="shared" si="1"/>
        <v>0</v>
      </c>
      <c r="E526">
        <f t="shared" si="2"/>
        <v>0</v>
      </c>
      <c r="F526" s="11"/>
    </row>
    <row r="527" spans="1:6" ht="16" x14ac:dyDescent="0.2">
      <c r="A527" s="12" t="s">
        <v>4107</v>
      </c>
      <c r="B527" s="13"/>
      <c r="C527" t="e">
        <f t="shared" si="0"/>
        <v>#N/A</v>
      </c>
      <c r="D527" t="b">
        <f t="shared" si="1"/>
        <v>0</v>
      </c>
      <c r="E527">
        <f t="shared" si="2"/>
        <v>0</v>
      </c>
      <c r="F527" s="11"/>
    </row>
    <row r="528" spans="1:6" ht="16" x14ac:dyDescent="0.2">
      <c r="A528" s="12" t="s">
        <v>4108</v>
      </c>
      <c r="B528" s="13"/>
      <c r="C528" t="e">
        <f t="shared" si="0"/>
        <v>#N/A</v>
      </c>
      <c r="D528" t="b">
        <f t="shared" si="1"/>
        <v>0</v>
      </c>
      <c r="E528">
        <f t="shared" si="2"/>
        <v>0</v>
      </c>
      <c r="F528" s="11"/>
    </row>
    <row r="529" spans="1:6" ht="16" x14ac:dyDescent="0.2">
      <c r="A529" s="12" t="s">
        <v>4109</v>
      </c>
      <c r="B529" s="13"/>
      <c r="C529" t="e">
        <f t="shared" si="0"/>
        <v>#N/A</v>
      </c>
      <c r="D529" t="b">
        <f t="shared" si="1"/>
        <v>0</v>
      </c>
      <c r="E529">
        <f t="shared" si="2"/>
        <v>0</v>
      </c>
      <c r="F529" s="11"/>
    </row>
    <row r="530" spans="1:6" ht="16" x14ac:dyDescent="0.2">
      <c r="A530" s="12" t="s">
        <v>4110</v>
      </c>
      <c r="B530" s="13"/>
      <c r="C530" t="e">
        <f t="shared" si="0"/>
        <v>#N/A</v>
      </c>
      <c r="D530" t="b">
        <f t="shared" si="1"/>
        <v>0</v>
      </c>
      <c r="E530">
        <f t="shared" si="2"/>
        <v>0</v>
      </c>
      <c r="F530" s="11"/>
    </row>
    <row r="531" spans="1:6" ht="16" x14ac:dyDescent="0.2">
      <c r="A531" s="12" t="s">
        <v>4111</v>
      </c>
      <c r="B531" s="13"/>
      <c r="C531" t="e">
        <f t="shared" si="0"/>
        <v>#N/A</v>
      </c>
      <c r="D531" t="b">
        <f t="shared" si="1"/>
        <v>0</v>
      </c>
      <c r="E531">
        <f t="shared" si="2"/>
        <v>0</v>
      </c>
      <c r="F531" s="11"/>
    </row>
    <row r="532" spans="1:6" ht="16" x14ac:dyDescent="0.2">
      <c r="A532" s="12" t="s">
        <v>4112</v>
      </c>
      <c r="B532" s="13"/>
      <c r="C532" t="e">
        <f t="shared" si="0"/>
        <v>#N/A</v>
      </c>
      <c r="D532" t="b">
        <f t="shared" si="1"/>
        <v>0</v>
      </c>
      <c r="E532">
        <f t="shared" si="2"/>
        <v>0</v>
      </c>
      <c r="F532" s="11"/>
    </row>
    <row r="533" spans="1:6" ht="16" x14ac:dyDescent="0.2">
      <c r="A533" s="12" t="s">
        <v>4113</v>
      </c>
      <c r="B533" s="13"/>
      <c r="C533" t="e">
        <f t="shared" si="0"/>
        <v>#N/A</v>
      </c>
      <c r="D533" t="b">
        <f t="shared" si="1"/>
        <v>0</v>
      </c>
      <c r="E533">
        <f t="shared" si="2"/>
        <v>0</v>
      </c>
      <c r="F533" s="11"/>
    </row>
    <row r="534" spans="1:6" ht="16" x14ac:dyDescent="0.2">
      <c r="A534" s="12" t="s">
        <v>4114</v>
      </c>
      <c r="B534" s="13"/>
      <c r="C534" t="e">
        <f t="shared" si="0"/>
        <v>#N/A</v>
      </c>
      <c r="D534" t="b">
        <f t="shared" si="1"/>
        <v>0</v>
      </c>
      <c r="E534">
        <f t="shared" si="2"/>
        <v>0</v>
      </c>
      <c r="F534" s="11"/>
    </row>
    <row r="535" spans="1:6" ht="16" x14ac:dyDescent="0.2">
      <c r="A535" s="12" t="s">
        <v>4115</v>
      </c>
      <c r="B535" s="13"/>
      <c r="C535" t="e">
        <f t="shared" si="0"/>
        <v>#N/A</v>
      </c>
      <c r="D535" t="b">
        <f t="shared" si="1"/>
        <v>0</v>
      </c>
      <c r="E535">
        <f t="shared" si="2"/>
        <v>0</v>
      </c>
      <c r="F535" s="11"/>
    </row>
    <row r="536" spans="1:6" ht="16" x14ac:dyDescent="0.2">
      <c r="A536" s="12" t="s">
        <v>4116</v>
      </c>
      <c r="B536" s="13"/>
      <c r="C536" t="e">
        <f t="shared" si="0"/>
        <v>#N/A</v>
      </c>
      <c r="D536" t="b">
        <f t="shared" si="1"/>
        <v>0</v>
      </c>
      <c r="E536">
        <f t="shared" si="2"/>
        <v>0</v>
      </c>
      <c r="F536" s="11"/>
    </row>
    <row r="537" spans="1:6" ht="16" x14ac:dyDescent="0.2">
      <c r="A537" s="12" t="s">
        <v>4117</v>
      </c>
      <c r="B537" s="13"/>
      <c r="C537" t="e">
        <f t="shared" si="0"/>
        <v>#N/A</v>
      </c>
      <c r="D537" t="b">
        <f t="shared" si="1"/>
        <v>0</v>
      </c>
      <c r="E537">
        <f t="shared" si="2"/>
        <v>0</v>
      </c>
      <c r="F537" s="11"/>
    </row>
    <row r="538" spans="1:6" ht="16" x14ac:dyDescent="0.2">
      <c r="A538" s="12" t="s">
        <v>4118</v>
      </c>
      <c r="B538" s="13"/>
      <c r="C538" t="e">
        <f t="shared" si="0"/>
        <v>#N/A</v>
      </c>
      <c r="D538" t="b">
        <f t="shared" si="1"/>
        <v>0</v>
      </c>
      <c r="E538">
        <f t="shared" si="2"/>
        <v>0</v>
      </c>
      <c r="F538" s="11"/>
    </row>
    <row r="539" spans="1:6" ht="16" x14ac:dyDescent="0.2">
      <c r="A539" s="12" t="s">
        <v>4119</v>
      </c>
      <c r="B539" s="13"/>
      <c r="C539" t="e">
        <f t="shared" si="0"/>
        <v>#N/A</v>
      </c>
      <c r="D539" t="b">
        <f t="shared" si="1"/>
        <v>0</v>
      </c>
      <c r="E539">
        <f t="shared" si="2"/>
        <v>0</v>
      </c>
      <c r="F539" s="11"/>
    </row>
    <row r="540" spans="1:6" ht="16" x14ac:dyDescent="0.2">
      <c r="A540" s="12" t="s">
        <v>4120</v>
      </c>
      <c r="B540" s="13"/>
      <c r="C540" t="e">
        <f t="shared" si="0"/>
        <v>#N/A</v>
      </c>
      <c r="D540" t="b">
        <f t="shared" si="1"/>
        <v>0</v>
      </c>
      <c r="E540">
        <f t="shared" si="2"/>
        <v>0</v>
      </c>
      <c r="F540" s="11"/>
    </row>
    <row r="541" spans="1:6" ht="16" x14ac:dyDescent="0.2">
      <c r="A541" s="12" t="s">
        <v>4121</v>
      </c>
      <c r="B541" s="13"/>
      <c r="C541" t="e">
        <f t="shared" si="0"/>
        <v>#N/A</v>
      </c>
      <c r="D541" t="b">
        <f t="shared" si="1"/>
        <v>0</v>
      </c>
      <c r="E541">
        <f t="shared" si="2"/>
        <v>0</v>
      </c>
      <c r="F541" s="11"/>
    </row>
    <row r="542" spans="1:6" ht="16" x14ac:dyDescent="0.2">
      <c r="A542" s="12" t="s">
        <v>4122</v>
      </c>
      <c r="B542" s="13"/>
      <c r="C542" t="e">
        <f t="shared" si="0"/>
        <v>#N/A</v>
      </c>
      <c r="D542" t="b">
        <f t="shared" si="1"/>
        <v>0</v>
      </c>
      <c r="E542">
        <f t="shared" si="2"/>
        <v>0</v>
      </c>
      <c r="F542" s="11"/>
    </row>
    <row r="543" spans="1:6" ht="16" x14ac:dyDescent="0.2">
      <c r="A543" s="12" t="s">
        <v>4123</v>
      </c>
      <c r="B543" s="13"/>
      <c r="C543" t="e">
        <f t="shared" si="0"/>
        <v>#N/A</v>
      </c>
      <c r="D543" t="b">
        <f t="shared" si="1"/>
        <v>0</v>
      </c>
      <c r="E543">
        <f t="shared" si="2"/>
        <v>0</v>
      </c>
      <c r="F543" s="11"/>
    </row>
    <row r="544" spans="1:6" ht="16" x14ac:dyDescent="0.2">
      <c r="A544" s="12" t="s">
        <v>4124</v>
      </c>
      <c r="B544" s="13"/>
      <c r="C544" t="e">
        <f t="shared" si="0"/>
        <v>#N/A</v>
      </c>
      <c r="D544" t="b">
        <f t="shared" si="1"/>
        <v>0</v>
      </c>
      <c r="E544">
        <f t="shared" si="2"/>
        <v>0</v>
      </c>
      <c r="F544" s="11"/>
    </row>
    <row r="545" spans="1:6" ht="16" x14ac:dyDescent="0.2">
      <c r="A545" s="12" t="s">
        <v>4125</v>
      </c>
      <c r="B545" s="13"/>
      <c r="C545" t="e">
        <f t="shared" si="0"/>
        <v>#N/A</v>
      </c>
      <c r="D545" t="b">
        <f t="shared" si="1"/>
        <v>0</v>
      </c>
      <c r="E545">
        <f t="shared" si="2"/>
        <v>0</v>
      </c>
      <c r="F545" s="11"/>
    </row>
    <row r="546" spans="1:6" ht="16" x14ac:dyDescent="0.2">
      <c r="A546" s="12" t="s">
        <v>4126</v>
      </c>
      <c r="B546" s="13"/>
      <c r="C546" t="e">
        <f t="shared" si="0"/>
        <v>#N/A</v>
      </c>
      <c r="D546" t="b">
        <f t="shared" si="1"/>
        <v>0</v>
      </c>
      <c r="E546">
        <f t="shared" si="2"/>
        <v>0</v>
      </c>
      <c r="F546" s="11"/>
    </row>
    <row r="547" spans="1:6" ht="16" x14ac:dyDescent="0.2">
      <c r="A547" s="12" t="s">
        <v>4127</v>
      </c>
      <c r="B547" s="13"/>
      <c r="C547" t="e">
        <f t="shared" si="0"/>
        <v>#N/A</v>
      </c>
      <c r="D547" t="b">
        <f t="shared" si="1"/>
        <v>0</v>
      </c>
      <c r="E547">
        <f t="shared" si="2"/>
        <v>0</v>
      </c>
      <c r="F547" s="11"/>
    </row>
    <row r="548" spans="1:6" ht="16" x14ac:dyDescent="0.2">
      <c r="A548" s="12" t="s">
        <v>4128</v>
      </c>
      <c r="B548" s="13"/>
      <c r="C548" t="e">
        <f t="shared" si="0"/>
        <v>#N/A</v>
      </c>
      <c r="D548" t="b">
        <f t="shared" si="1"/>
        <v>0</v>
      </c>
      <c r="E548">
        <f t="shared" si="2"/>
        <v>0</v>
      </c>
      <c r="F548" s="11"/>
    </row>
    <row r="549" spans="1:6" ht="16" x14ac:dyDescent="0.2">
      <c r="A549" s="12" t="s">
        <v>4129</v>
      </c>
      <c r="B549" s="13"/>
      <c r="C549" t="e">
        <f t="shared" si="0"/>
        <v>#N/A</v>
      </c>
      <c r="D549" t="b">
        <f t="shared" si="1"/>
        <v>0</v>
      </c>
      <c r="E549">
        <f t="shared" si="2"/>
        <v>0</v>
      </c>
      <c r="F549" s="11"/>
    </row>
    <row r="550" spans="1:6" ht="16" x14ac:dyDescent="0.2">
      <c r="A550" s="12" t="s">
        <v>4130</v>
      </c>
      <c r="B550" s="13"/>
      <c r="C550" t="e">
        <f t="shared" si="0"/>
        <v>#N/A</v>
      </c>
      <c r="D550" t="b">
        <f t="shared" si="1"/>
        <v>0</v>
      </c>
      <c r="E550">
        <f t="shared" si="2"/>
        <v>0</v>
      </c>
      <c r="F550" s="11"/>
    </row>
    <row r="551" spans="1:6" ht="16" x14ac:dyDescent="0.2">
      <c r="A551" s="12" t="s">
        <v>4131</v>
      </c>
      <c r="B551" s="13"/>
      <c r="C551" t="e">
        <f t="shared" si="0"/>
        <v>#N/A</v>
      </c>
      <c r="D551" t="b">
        <f t="shared" si="1"/>
        <v>0</v>
      </c>
      <c r="E551">
        <f t="shared" si="2"/>
        <v>0</v>
      </c>
      <c r="F551" s="11"/>
    </row>
    <row r="552" spans="1:6" ht="16" x14ac:dyDescent="0.2">
      <c r="A552" s="12" t="s">
        <v>4132</v>
      </c>
      <c r="B552" s="13"/>
      <c r="C552" t="e">
        <f t="shared" si="0"/>
        <v>#N/A</v>
      </c>
      <c r="D552" t="b">
        <f t="shared" si="1"/>
        <v>0</v>
      </c>
      <c r="E552">
        <f t="shared" si="2"/>
        <v>0</v>
      </c>
      <c r="F552" s="11"/>
    </row>
    <row r="553" spans="1:6" ht="16" x14ac:dyDescent="0.2">
      <c r="A553" s="12" t="s">
        <v>4133</v>
      </c>
      <c r="B553" s="13"/>
      <c r="C553" t="e">
        <f t="shared" si="0"/>
        <v>#N/A</v>
      </c>
      <c r="D553" t="b">
        <f t="shared" si="1"/>
        <v>0</v>
      </c>
      <c r="E553">
        <f t="shared" si="2"/>
        <v>0</v>
      </c>
      <c r="F553" s="11"/>
    </row>
    <row r="554" spans="1:6" ht="16" x14ac:dyDescent="0.2">
      <c r="A554" s="12" t="s">
        <v>4134</v>
      </c>
      <c r="B554" s="13"/>
      <c r="C554" t="e">
        <f t="shared" si="0"/>
        <v>#N/A</v>
      </c>
      <c r="D554" t="b">
        <f t="shared" si="1"/>
        <v>0</v>
      </c>
      <c r="E554">
        <f t="shared" si="2"/>
        <v>0</v>
      </c>
      <c r="F554" s="11"/>
    </row>
    <row r="555" spans="1:6" ht="16" x14ac:dyDescent="0.2">
      <c r="A555" s="12" t="s">
        <v>4135</v>
      </c>
      <c r="B555" s="13"/>
      <c r="C555" t="e">
        <f t="shared" si="0"/>
        <v>#N/A</v>
      </c>
      <c r="D555" t="b">
        <f t="shared" si="1"/>
        <v>0</v>
      </c>
      <c r="E555">
        <f t="shared" si="2"/>
        <v>0</v>
      </c>
      <c r="F555" s="11"/>
    </row>
    <row r="556" spans="1:6" ht="16" x14ac:dyDescent="0.2">
      <c r="A556" s="12" t="s">
        <v>4136</v>
      </c>
      <c r="B556" s="13"/>
      <c r="C556" t="e">
        <f t="shared" si="0"/>
        <v>#N/A</v>
      </c>
      <c r="D556" t="b">
        <f t="shared" si="1"/>
        <v>0</v>
      </c>
      <c r="E556">
        <f t="shared" si="2"/>
        <v>0</v>
      </c>
      <c r="F556" s="11"/>
    </row>
    <row r="557" spans="1:6" ht="16" x14ac:dyDescent="0.2">
      <c r="A557" s="12" t="s">
        <v>4137</v>
      </c>
      <c r="B557" s="13"/>
      <c r="C557" t="e">
        <f t="shared" si="0"/>
        <v>#N/A</v>
      </c>
      <c r="D557" t="b">
        <f t="shared" si="1"/>
        <v>0</v>
      </c>
      <c r="E557">
        <f t="shared" si="2"/>
        <v>0</v>
      </c>
      <c r="F557" s="11"/>
    </row>
    <row r="558" spans="1:6" ht="16" x14ac:dyDescent="0.2">
      <c r="A558" s="12" t="s">
        <v>4138</v>
      </c>
      <c r="B558" s="13"/>
      <c r="C558" t="e">
        <f t="shared" si="0"/>
        <v>#N/A</v>
      </c>
      <c r="D558" t="b">
        <f t="shared" si="1"/>
        <v>0</v>
      </c>
      <c r="E558">
        <f t="shared" si="2"/>
        <v>0</v>
      </c>
      <c r="F558" s="11"/>
    </row>
    <row r="559" spans="1:6" ht="16" x14ac:dyDescent="0.2">
      <c r="A559" s="12" t="s">
        <v>4139</v>
      </c>
      <c r="B559" s="13"/>
      <c r="C559" t="e">
        <f t="shared" si="0"/>
        <v>#N/A</v>
      </c>
      <c r="D559" t="b">
        <f t="shared" si="1"/>
        <v>0</v>
      </c>
      <c r="E559">
        <f t="shared" si="2"/>
        <v>0</v>
      </c>
      <c r="F559" s="11"/>
    </row>
    <row r="560" spans="1:6" ht="16" x14ac:dyDescent="0.2">
      <c r="A560" s="12" t="s">
        <v>4140</v>
      </c>
      <c r="B560" s="13"/>
      <c r="C560" t="e">
        <f t="shared" si="0"/>
        <v>#N/A</v>
      </c>
      <c r="D560" t="b">
        <f t="shared" si="1"/>
        <v>0</v>
      </c>
      <c r="E560">
        <f t="shared" si="2"/>
        <v>0</v>
      </c>
      <c r="F560" s="11"/>
    </row>
    <row r="561" spans="1:6" ht="16" x14ac:dyDescent="0.2">
      <c r="A561" s="12" t="s">
        <v>4141</v>
      </c>
      <c r="B561" s="13"/>
      <c r="C561" t="e">
        <f t="shared" si="0"/>
        <v>#N/A</v>
      </c>
      <c r="D561" t="b">
        <f t="shared" si="1"/>
        <v>0</v>
      </c>
      <c r="E561">
        <f t="shared" si="2"/>
        <v>0</v>
      </c>
      <c r="F561" s="11"/>
    </row>
    <row r="562" spans="1:6" ht="16" x14ac:dyDescent="0.2">
      <c r="A562" s="12" t="s">
        <v>4142</v>
      </c>
      <c r="B562" s="13"/>
      <c r="C562" t="e">
        <f t="shared" si="0"/>
        <v>#N/A</v>
      </c>
      <c r="D562" t="b">
        <f t="shared" si="1"/>
        <v>0</v>
      </c>
      <c r="E562">
        <f t="shared" si="2"/>
        <v>0</v>
      </c>
      <c r="F562" s="11"/>
    </row>
    <row r="563" spans="1:6" ht="16" x14ac:dyDescent="0.2">
      <c r="A563" s="12" t="s">
        <v>4143</v>
      </c>
      <c r="B563" s="13"/>
      <c r="C563" t="e">
        <f t="shared" si="0"/>
        <v>#N/A</v>
      </c>
      <c r="D563" t="b">
        <f t="shared" si="1"/>
        <v>0</v>
      </c>
      <c r="E563">
        <f t="shared" si="2"/>
        <v>0</v>
      </c>
      <c r="F563" s="11"/>
    </row>
    <row r="564" spans="1:6" ht="16" x14ac:dyDescent="0.2">
      <c r="A564" s="12" t="s">
        <v>4144</v>
      </c>
      <c r="B564" s="13"/>
      <c r="C564" t="e">
        <f t="shared" si="0"/>
        <v>#N/A</v>
      </c>
      <c r="D564" t="b">
        <f t="shared" si="1"/>
        <v>0</v>
      </c>
      <c r="E564">
        <f t="shared" si="2"/>
        <v>0</v>
      </c>
      <c r="F564" s="11"/>
    </row>
    <row r="565" spans="1:6" ht="16" x14ac:dyDescent="0.2">
      <c r="A565" s="12" t="s">
        <v>4145</v>
      </c>
      <c r="B565" s="13"/>
      <c r="C565" t="e">
        <f t="shared" si="0"/>
        <v>#N/A</v>
      </c>
      <c r="D565" t="b">
        <f t="shared" si="1"/>
        <v>0</v>
      </c>
      <c r="E565">
        <f t="shared" si="2"/>
        <v>0</v>
      </c>
      <c r="F565" s="11"/>
    </row>
    <row r="566" spans="1:6" ht="16" x14ac:dyDescent="0.2">
      <c r="A566" s="12" t="s">
        <v>4146</v>
      </c>
      <c r="B566" s="13"/>
      <c r="C566" t="e">
        <f t="shared" si="0"/>
        <v>#N/A</v>
      </c>
      <c r="D566" t="b">
        <f t="shared" si="1"/>
        <v>0</v>
      </c>
      <c r="E566">
        <f t="shared" si="2"/>
        <v>0</v>
      </c>
      <c r="F566" s="11"/>
    </row>
    <row r="567" spans="1:6" ht="16" x14ac:dyDescent="0.2">
      <c r="A567" s="12" t="s">
        <v>4147</v>
      </c>
      <c r="B567" s="13"/>
      <c r="C567" t="e">
        <f t="shared" si="0"/>
        <v>#N/A</v>
      </c>
      <c r="D567" t="b">
        <f t="shared" si="1"/>
        <v>0</v>
      </c>
      <c r="E567">
        <f t="shared" si="2"/>
        <v>0</v>
      </c>
      <c r="F567" s="11"/>
    </row>
    <row r="568" spans="1:6" ht="16" x14ac:dyDescent="0.2">
      <c r="A568" s="12" t="s">
        <v>4148</v>
      </c>
      <c r="B568" s="13"/>
      <c r="C568" t="e">
        <f t="shared" si="0"/>
        <v>#N/A</v>
      </c>
      <c r="D568" t="b">
        <f t="shared" si="1"/>
        <v>0</v>
      </c>
      <c r="E568">
        <f t="shared" si="2"/>
        <v>0</v>
      </c>
      <c r="F568" s="11"/>
    </row>
    <row r="569" spans="1:6" ht="16" x14ac:dyDescent="0.2">
      <c r="A569" s="12" t="s">
        <v>4149</v>
      </c>
      <c r="B569" s="13"/>
      <c r="C569" t="e">
        <f t="shared" si="0"/>
        <v>#N/A</v>
      </c>
      <c r="D569" t="b">
        <f t="shared" si="1"/>
        <v>0</v>
      </c>
      <c r="E569">
        <f t="shared" si="2"/>
        <v>0</v>
      </c>
      <c r="F569" s="11"/>
    </row>
    <row r="570" spans="1:6" ht="16" x14ac:dyDescent="0.2">
      <c r="A570" s="12" t="s">
        <v>4150</v>
      </c>
      <c r="B570" s="13"/>
      <c r="C570" t="e">
        <f t="shared" si="0"/>
        <v>#N/A</v>
      </c>
      <c r="D570" t="b">
        <f t="shared" si="1"/>
        <v>0</v>
      </c>
      <c r="E570">
        <f t="shared" si="2"/>
        <v>0</v>
      </c>
      <c r="F570" s="11"/>
    </row>
    <row r="571" spans="1:6" ht="16" x14ac:dyDescent="0.2">
      <c r="A571" s="12" t="s">
        <v>4151</v>
      </c>
      <c r="B571" s="13"/>
      <c r="C571" t="e">
        <f t="shared" si="0"/>
        <v>#N/A</v>
      </c>
      <c r="D571" t="b">
        <f t="shared" si="1"/>
        <v>0</v>
      </c>
      <c r="E571">
        <f t="shared" si="2"/>
        <v>0</v>
      </c>
      <c r="F571" s="11"/>
    </row>
    <row r="572" spans="1:6" ht="16" x14ac:dyDescent="0.2">
      <c r="A572" s="12" t="s">
        <v>4152</v>
      </c>
      <c r="B572" s="13"/>
      <c r="C572" t="e">
        <f t="shared" si="0"/>
        <v>#N/A</v>
      </c>
      <c r="D572" t="b">
        <f t="shared" si="1"/>
        <v>0</v>
      </c>
      <c r="E572">
        <f t="shared" si="2"/>
        <v>0</v>
      </c>
      <c r="F572" s="11"/>
    </row>
    <row r="573" spans="1:6" ht="16" x14ac:dyDescent="0.2">
      <c r="A573" s="12" t="s">
        <v>4153</v>
      </c>
      <c r="B573" s="13"/>
      <c r="C573" t="e">
        <f t="shared" si="0"/>
        <v>#N/A</v>
      </c>
      <c r="D573" t="b">
        <f t="shared" si="1"/>
        <v>0</v>
      </c>
      <c r="E573">
        <f t="shared" si="2"/>
        <v>0</v>
      </c>
      <c r="F573" s="11"/>
    </row>
    <row r="574" spans="1:6" ht="16" x14ac:dyDescent="0.2">
      <c r="A574" s="12" t="s">
        <v>4154</v>
      </c>
      <c r="B574" s="13"/>
      <c r="C574" t="e">
        <f t="shared" si="0"/>
        <v>#N/A</v>
      </c>
      <c r="D574" t="b">
        <f t="shared" si="1"/>
        <v>0</v>
      </c>
      <c r="E574">
        <f t="shared" si="2"/>
        <v>0</v>
      </c>
      <c r="F574" s="11"/>
    </row>
    <row r="575" spans="1:6" ht="16" x14ac:dyDescent="0.2">
      <c r="A575" s="12" t="s">
        <v>4155</v>
      </c>
      <c r="B575" s="13"/>
      <c r="C575" t="e">
        <f t="shared" si="0"/>
        <v>#N/A</v>
      </c>
      <c r="D575" t="b">
        <f t="shared" si="1"/>
        <v>0</v>
      </c>
      <c r="E575">
        <f t="shared" si="2"/>
        <v>0</v>
      </c>
      <c r="F575" s="11"/>
    </row>
    <row r="576" spans="1:6" ht="16" x14ac:dyDescent="0.2">
      <c r="A576" s="12" t="s">
        <v>4156</v>
      </c>
      <c r="B576" s="13"/>
      <c r="C576" t="e">
        <f t="shared" si="0"/>
        <v>#N/A</v>
      </c>
      <c r="D576" t="b">
        <f t="shared" si="1"/>
        <v>0</v>
      </c>
      <c r="E576">
        <f t="shared" si="2"/>
        <v>0</v>
      </c>
      <c r="F576" s="11"/>
    </row>
    <row r="577" spans="1:6" ht="16" x14ac:dyDescent="0.2">
      <c r="A577" s="12" t="s">
        <v>4157</v>
      </c>
      <c r="B577" s="13"/>
      <c r="C577" t="e">
        <f t="shared" si="0"/>
        <v>#N/A</v>
      </c>
      <c r="D577" t="b">
        <f t="shared" si="1"/>
        <v>0</v>
      </c>
      <c r="E577">
        <f t="shared" si="2"/>
        <v>0</v>
      </c>
      <c r="F577" s="11"/>
    </row>
    <row r="578" spans="1:6" ht="16" x14ac:dyDescent="0.2">
      <c r="A578" s="12" t="s">
        <v>4158</v>
      </c>
      <c r="B578" s="13"/>
      <c r="C578" t="e">
        <f t="shared" si="0"/>
        <v>#N/A</v>
      </c>
      <c r="D578" t="b">
        <f t="shared" si="1"/>
        <v>0</v>
      </c>
      <c r="E578">
        <f t="shared" si="2"/>
        <v>0</v>
      </c>
      <c r="F578" s="11"/>
    </row>
    <row r="579" spans="1:6" ht="16" x14ac:dyDescent="0.2">
      <c r="A579" s="12" t="s">
        <v>4159</v>
      </c>
      <c r="B579" s="13"/>
      <c r="C579" t="e">
        <f t="shared" si="0"/>
        <v>#N/A</v>
      </c>
      <c r="D579" t="b">
        <f t="shared" si="1"/>
        <v>0</v>
      </c>
      <c r="E579">
        <f t="shared" si="2"/>
        <v>0</v>
      </c>
      <c r="F579" s="11"/>
    </row>
    <row r="580" spans="1:6" ht="16" x14ac:dyDescent="0.2">
      <c r="A580" s="12" t="s">
        <v>4160</v>
      </c>
      <c r="B580" s="13"/>
      <c r="C580" t="e">
        <f t="shared" si="0"/>
        <v>#N/A</v>
      </c>
      <c r="D580" t="b">
        <f t="shared" si="1"/>
        <v>0</v>
      </c>
      <c r="E580">
        <f t="shared" si="2"/>
        <v>0</v>
      </c>
      <c r="F580" s="11"/>
    </row>
    <row r="581" spans="1:6" ht="16" x14ac:dyDescent="0.2">
      <c r="A581" s="12" t="s">
        <v>4161</v>
      </c>
      <c r="B581" s="13"/>
      <c r="C581" t="e">
        <f t="shared" si="0"/>
        <v>#N/A</v>
      </c>
      <c r="D581" t="b">
        <f t="shared" si="1"/>
        <v>0</v>
      </c>
      <c r="E581">
        <f t="shared" si="2"/>
        <v>0</v>
      </c>
      <c r="F581" s="11"/>
    </row>
    <row r="582" spans="1:6" ht="16" x14ac:dyDescent="0.2">
      <c r="A582" s="12" t="s">
        <v>4162</v>
      </c>
      <c r="B582" s="13"/>
      <c r="C582" t="e">
        <f t="shared" si="0"/>
        <v>#N/A</v>
      </c>
      <c r="D582" t="b">
        <f t="shared" si="1"/>
        <v>0</v>
      </c>
      <c r="E582">
        <f t="shared" si="2"/>
        <v>0</v>
      </c>
      <c r="F582" s="11"/>
    </row>
    <row r="583" spans="1:6" ht="16" x14ac:dyDescent="0.2">
      <c r="A583" s="12" t="s">
        <v>4163</v>
      </c>
      <c r="B583" s="13"/>
      <c r="C583" t="e">
        <f t="shared" si="0"/>
        <v>#N/A</v>
      </c>
      <c r="D583" t="b">
        <f t="shared" si="1"/>
        <v>0</v>
      </c>
      <c r="E583">
        <f t="shared" si="2"/>
        <v>0</v>
      </c>
      <c r="F583" s="11"/>
    </row>
    <row r="584" spans="1:6" ht="16" x14ac:dyDescent="0.2">
      <c r="A584" s="12" t="s">
        <v>4164</v>
      </c>
      <c r="B584" s="13"/>
      <c r="C584" t="e">
        <f t="shared" si="0"/>
        <v>#N/A</v>
      </c>
      <c r="D584" t="b">
        <f t="shared" si="1"/>
        <v>0</v>
      </c>
      <c r="E584">
        <f t="shared" si="2"/>
        <v>0</v>
      </c>
      <c r="F584" s="11"/>
    </row>
    <row r="585" spans="1:6" ht="16" x14ac:dyDescent="0.2">
      <c r="A585" s="12" t="s">
        <v>4165</v>
      </c>
      <c r="B585" s="13"/>
      <c r="C585" t="e">
        <f t="shared" si="0"/>
        <v>#N/A</v>
      </c>
      <c r="D585" t="b">
        <f t="shared" si="1"/>
        <v>0</v>
      </c>
      <c r="E585">
        <f t="shared" si="2"/>
        <v>0</v>
      </c>
      <c r="F585" s="11"/>
    </row>
    <row r="586" spans="1:6" ht="16" x14ac:dyDescent="0.2">
      <c r="A586" s="12" t="s">
        <v>4166</v>
      </c>
      <c r="B586" s="13"/>
      <c r="C586" t="e">
        <f t="shared" si="0"/>
        <v>#N/A</v>
      </c>
      <c r="D586" t="b">
        <f t="shared" si="1"/>
        <v>0</v>
      </c>
      <c r="E586">
        <f t="shared" si="2"/>
        <v>0</v>
      </c>
      <c r="F586" s="11"/>
    </row>
    <row r="587" spans="1:6" ht="16" x14ac:dyDescent="0.2">
      <c r="A587" s="12" t="s">
        <v>4167</v>
      </c>
      <c r="B587" s="13"/>
      <c r="C587" t="e">
        <f t="shared" si="0"/>
        <v>#N/A</v>
      </c>
      <c r="D587" t="b">
        <f t="shared" si="1"/>
        <v>0</v>
      </c>
      <c r="E587">
        <f t="shared" si="2"/>
        <v>0</v>
      </c>
      <c r="F587" s="11"/>
    </row>
    <row r="588" spans="1:6" ht="16" x14ac:dyDescent="0.2">
      <c r="A588" s="12" t="s">
        <v>4168</v>
      </c>
      <c r="B588" s="13"/>
      <c r="C588" t="e">
        <f t="shared" si="0"/>
        <v>#N/A</v>
      </c>
      <c r="D588" t="b">
        <f t="shared" si="1"/>
        <v>0</v>
      </c>
      <c r="E588">
        <f t="shared" si="2"/>
        <v>0</v>
      </c>
      <c r="F588" s="11"/>
    </row>
    <row r="589" spans="1:6" ht="16" x14ac:dyDescent="0.2">
      <c r="A589" s="12" t="s">
        <v>4169</v>
      </c>
      <c r="B589" s="13"/>
      <c r="C589" t="e">
        <f t="shared" si="0"/>
        <v>#N/A</v>
      </c>
      <c r="D589" t="b">
        <f t="shared" si="1"/>
        <v>0</v>
      </c>
      <c r="E589">
        <f t="shared" si="2"/>
        <v>0</v>
      </c>
      <c r="F589" s="11"/>
    </row>
    <row r="590" spans="1:6" ht="16" x14ac:dyDescent="0.2">
      <c r="A590" s="12" t="s">
        <v>4170</v>
      </c>
      <c r="B590" s="13"/>
      <c r="C590" t="e">
        <f t="shared" si="0"/>
        <v>#N/A</v>
      </c>
      <c r="D590" t="b">
        <f t="shared" si="1"/>
        <v>0</v>
      </c>
      <c r="E590">
        <f t="shared" si="2"/>
        <v>0</v>
      </c>
      <c r="F590" s="11"/>
    </row>
    <row r="591" spans="1:6" ht="16" x14ac:dyDescent="0.2">
      <c r="A591" s="12" t="s">
        <v>4171</v>
      </c>
      <c r="B591" s="13"/>
      <c r="C591" t="e">
        <f t="shared" si="0"/>
        <v>#N/A</v>
      </c>
      <c r="D591" t="b">
        <f t="shared" si="1"/>
        <v>0</v>
      </c>
      <c r="E591">
        <f t="shared" si="2"/>
        <v>0</v>
      </c>
      <c r="F591" s="11"/>
    </row>
    <row r="592" spans="1:6" ht="16" x14ac:dyDescent="0.2">
      <c r="A592" s="12" t="s">
        <v>4172</v>
      </c>
      <c r="B592" s="13"/>
      <c r="C592" t="e">
        <f t="shared" si="0"/>
        <v>#N/A</v>
      </c>
      <c r="D592" t="b">
        <f t="shared" si="1"/>
        <v>0</v>
      </c>
      <c r="E592">
        <f t="shared" si="2"/>
        <v>0</v>
      </c>
      <c r="F592" s="11"/>
    </row>
    <row r="593" spans="1:6" ht="16" x14ac:dyDescent="0.2">
      <c r="A593" s="12" t="s">
        <v>4173</v>
      </c>
      <c r="B593" s="13"/>
      <c r="C593" t="e">
        <f t="shared" si="0"/>
        <v>#N/A</v>
      </c>
      <c r="D593" t="b">
        <f t="shared" si="1"/>
        <v>0</v>
      </c>
      <c r="E593">
        <f t="shared" si="2"/>
        <v>0</v>
      </c>
      <c r="F593" s="11"/>
    </row>
    <row r="594" spans="1:6" ht="16" x14ac:dyDescent="0.2">
      <c r="A594" s="12" t="s">
        <v>4173</v>
      </c>
      <c r="B594" s="13"/>
      <c r="C594" t="e">
        <f t="shared" si="0"/>
        <v>#N/A</v>
      </c>
      <c r="D594" t="b">
        <f t="shared" si="1"/>
        <v>0</v>
      </c>
      <c r="E594">
        <f t="shared" si="2"/>
        <v>0</v>
      </c>
      <c r="F594" s="11"/>
    </row>
    <row r="595" spans="1:6" ht="16" x14ac:dyDescent="0.2">
      <c r="A595" s="12" t="s">
        <v>4174</v>
      </c>
      <c r="B595" s="13"/>
      <c r="C595" t="e">
        <f t="shared" si="0"/>
        <v>#N/A</v>
      </c>
      <c r="D595" t="b">
        <f t="shared" si="1"/>
        <v>0</v>
      </c>
      <c r="E595">
        <f t="shared" si="2"/>
        <v>0</v>
      </c>
      <c r="F595" s="11"/>
    </row>
    <row r="596" spans="1:6" ht="16" x14ac:dyDescent="0.2">
      <c r="A596" s="12" t="s">
        <v>4175</v>
      </c>
      <c r="B596" s="13"/>
      <c r="C596" t="e">
        <f t="shared" si="0"/>
        <v>#N/A</v>
      </c>
      <c r="D596" t="b">
        <f t="shared" si="1"/>
        <v>0</v>
      </c>
      <c r="E596">
        <f t="shared" si="2"/>
        <v>0</v>
      </c>
      <c r="F596" s="11"/>
    </row>
    <row r="597" spans="1:6" ht="16" x14ac:dyDescent="0.2">
      <c r="A597" s="12" t="s">
        <v>4176</v>
      </c>
      <c r="B597" s="13"/>
      <c r="C597" t="e">
        <f t="shared" si="0"/>
        <v>#N/A</v>
      </c>
      <c r="D597" t="b">
        <f t="shared" si="1"/>
        <v>0</v>
      </c>
      <c r="E597">
        <f t="shared" si="2"/>
        <v>0</v>
      </c>
      <c r="F597" s="11"/>
    </row>
    <row r="598" spans="1:6" ht="16" x14ac:dyDescent="0.2">
      <c r="A598" s="12" t="s">
        <v>4177</v>
      </c>
      <c r="B598" s="13"/>
      <c r="C598" t="e">
        <f t="shared" si="0"/>
        <v>#N/A</v>
      </c>
      <c r="D598" t="b">
        <f t="shared" si="1"/>
        <v>0</v>
      </c>
      <c r="E598">
        <f t="shared" si="2"/>
        <v>0</v>
      </c>
      <c r="F598" s="11"/>
    </row>
    <row r="599" spans="1:6" ht="16" x14ac:dyDescent="0.2">
      <c r="A599" s="12" t="s">
        <v>4178</v>
      </c>
      <c r="B599" s="13"/>
      <c r="C599" t="e">
        <f t="shared" si="0"/>
        <v>#N/A</v>
      </c>
      <c r="D599" t="b">
        <f t="shared" si="1"/>
        <v>0</v>
      </c>
      <c r="E599">
        <f t="shared" si="2"/>
        <v>0</v>
      </c>
      <c r="F599" s="11"/>
    </row>
    <row r="600" spans="1:6" ht="16" x14ac:dyDescent="0.2">
      <c r="A600" s="12" t="s">
        <v>4179</v>
      </c>
      <c r="B600" s="13"/>
      <c r="C600" t="e">
        <f t="shared" si="0"/>
        <v>#N/A</v>
      </c>
      <c r="D600" t="b">
        <f t="shared" si="1"/>
        <v>0</v>
      </c>
      <c r="E600">
        <f t="shared" si="2"/>
        <v>0</v>
      </c>
      <c r="F600" s="11"/>
    </row>
    <row r="601" spans="1:6" ht="16" x14ac:dyDescent="0.2">
      <c r="A601" s="12" t="s">
        <v>4180</v>
      </c>
      <c r="B601" s="13"/>
      <c r="C601" t="e">
        <f t="shared" si="0"/>
        <v>#N/A</v>
      </c>
      <c r="D601" t="b">
        <f t="shared" si="1"/>
        <v>0</v>
      </c>
      <c r="E601">
        <f t="shared" si="2"/>
        <v>0</v>
      </c>
      <c r="F601" s="11"/>
    </row>
    <row r="602" spans="1:6" ht="16" x14ac:dyDescent="0.2">
      <c r="A602" s="12" t="s">
        <v>4181</v>
      </c>
      <c r="B602" s="13"/>
      <c r="C602" t="e">
        <f t="shared" si="0"/>
        <v>#N/A</v>
      </c>
      <c r="D602" t="b">
        <f t="shared" si="1"/>
        <v>0</v>
      </c>
      <c r="E602">
        <f t="shared" si="2"/>
        <v>0</v>
      </c>
      <c r="F602" s="11"/>
    </row>
    <row r="603" spans="1:6" ht="16" x14ac:dyDescent="0.2">
      <c r="A603" s="12" t="s">
        <v>4182</v>
      </c>
      <c r="B603" s="13"/>
      <c r="C603" t="e">
        <f t="shared" si="0"/>
        <v>#N/A</v>
      </c>
      <c r="D603" t="b">
        <f t="shared" si="1"/>
        <v>0</v>
      </c>
      <c r="E603">
        <f t="shared" si="2"/>
        <v>0</v>
      </c>
      <c r="F603" s="11"/>
    </row>
    <row r="604" spans="1:6" ht="16" x14ac:dyDescent="0.2">
      <c r="A604" s="12" t="s">
        <v>4183</v>
      </c>
      <c r="B604" s="13"/>
      <c r="C604" t="e">
        <f t="shared" si="0"/>
        <v>#N/A</v>
      </c>
      <c r="D604" t="b">
        <f t="shared" si="1"/>
        <v>0</v>
      </c>
      <c r="E604">
        <f t="shared" si="2"/>
        <v>0</v>
      </c>
      <c r="F604" s="11"/>
    </row>
    <row r="605" spans="1:6" ht="16" x14ac:dyDescent="0.2">
      <c r="A605" s="12" t="s">
        <v>4184</v>
      </c>
      <c r="B605" s="13"/>
      <c r="C605" t="e">
        <f t="shared" si="0"/>
        <v>#N/A</v>
      </c>
      <c r="D605" t="b">
        <f t="shared" si="1"/>
        <v>0</v>
      </c>
      <c r="E605">
        <f t="shared" si="2"/>
        <v>0</v>
      </c>
      <c r="F605" s="11"/>
    </row>
    <row r="606" spans="1:6" ht="16" x14ac:dyDescent="0.2">
      <c r="A606" s="12" t="s">
        <v>4185</v>
      </c>
      <c r="B606" s="13"/>
      <c r="C606" t="e">
        <f t="shared" si="0"/>
        <v>#N/A</v>
      </c>
      <c r="D606" t="b">
        <f t="shared" si="1"/>
        <v>0</v>
      </c>
      <c r="E606">
        <f t="shared" si="2"/>
        <v>0</v>
      </c>
      <c r="F606" s="11"/>
    </row>
    <row r="607" spans="1:6" ht="16" x14ac:dyDescent="0.2">
      <c r="A607" s="12" t="s">
        <v>4186</v>
      </c>
      <c r="B607" s="13"/>
      <c r="C607" t="e">
        <f t="shared" si="0"/>
        <v>#N/A</v>
      </c>
      <c r="D607" t="b">
        <f t="shared" si="1"/>
        <v>0</v>
      </c>
      <c r="E607">
        <f t="shared" si="2"/>
        <v>0</v>
      </c>
      <c r="F607" s="11"/>
    </row>
    <row r="608" spans="1:6" ht="16" x14ac:dyDescent="0.2">
      <c r="A608" s="12" t="s">
        <v>4187</v>
      </c>
      <c r="B608" s="13"/>
      <c r="C608" t="e">
        <f t="shared" si="0"/>
        <v>#N/A</v>
      </c>
      <c r="D608" t="b">
        <f t="shared" si="1"/>
        <v>0</v>
      </c>
      <c r="E608">
        <f t="shared" si="2"/>
        <v>0</v>
      </c>
      <c r="F608" s="11"/>
    </row>
    <row r="609" spans="1:6" ht="16" x14ac:dyDescent="0.2">
      <c r="A609" s="12" t="s">
        <v>4188</v>
      </c>
      <c r="B609" s="13"/>
      <c r="C609" t="e">
        <f t="shared" si="0"/>
        <v>#N/A</v>
      </c>
      <c r="D609" t="b">
        <f t="shared" si="1"/>
        <v>0</v>
      </c>
      <c r="E609">
        <f t="shared" si="2"/>
        <v>0</v>
      </c>
      <c r="F609" s="11"/>
    </row>
    <row r="610" spans="1:6" ht="16" x14ac:dyDescent="0.2">
      <c r="A610" s="12" t="s">
        <v>4188</v>
      </c>
      <c r="B610" s="13"/>
      <c r="C610" t="e">
        <f t="shared" si="0"/>
        <v>#N/A</v>
      </c>
      <c r="D610" t="b">
        <f t="shared" si="1"/>
        <v>0</v>
      </c>
      <c r="E610">
        <f t="shared" si="2"/>
        <v>0</v>
      </c>
      <c r="F610" s="11"/>
    </row>
    <row r="611" spans="1:6" ht="16" x14ac:dyDescent="0.2">
      <c r="A611" s="12" t="s">
        <v>4189</v>
      </c>
      <c r="B611" s="13"/>
      <c r="C611" t="e">
        <f t="shared" si="0"/>
        <v>#N/A</v>
      </c>
      <c r="D611" t="b">
        <f t="shared" si="1"/>
        <v>0</v>
      </c>
      <c r="E611">
        <f t="shared" si="2"/>
        <v>0</v>
      </c>
      <c r="F611" s="11"/>
    </row>
    <row r="612" spans="1:6" ht="16" x14ac:dyDescent="0.2">
      <c r="A612" s="12" t="s">
        <v>4190</v>
      </c>
      <c r="B612" s="13"/>
      <c r="C612" t="e">
        <f t="shared" si="0"/>
        <v>#N/A</v>
      </c>
      <c r="D612" t="b">
        <f t="shared" si="1"/>
        <v>0</v>
      </c>
      <c r="E612">
        <f t="shared" si="2"/>
        <v>0</v>
      </c>
      <c r="F612" s="11"/>
    </row>
    <row r="613" spans="1:6" ht="16" x14ac:dyDescent="0.2">
      <c r="A613" s="12" t="s">
        <v>4191</v>
      </c>
      <c r="B613" s="13"/>
      <c r="C613" t="e">
        <f t="shared" si="0"/>
        <v>#N/A</v>
      </c>
      <c r="D613" t="b">
        <f t="shared" si="1"/>
        <v>0</v>
      </c>
      <c r="E613">
        <f t="shared" si="2"/>
        <v>0</v>
      </c>
      <c r="F613" s="11"/>
    </row>
    <row r="614" spans="1:6" ht="16" x14ac:dyDescent="0.2">
      <c r="A614" s="12" t="s">
        <v>4192</v>
      </c>
      <c r="B614" s="13"/>
      <c r="C614" t="e">
        <f t="shared" si="0"/>
        <v>#N/A</v>
      </c>
      <c r="D614" t="b">
        <f t="shared" si="1"/>
        <v>0</v>
      </c>
      <c r="E614">
        <f t="shared" si="2"/>
        <v>0</v>
      </c>
      <c r="F614" s="11"/>
    </row>
    <row r="615" spans="1:6" ht="16" x14ac:dyDescent="0.2">
      <c r="A615" s="12" t="s">
        <v>4193</v>
      </c>
      <c r="B615" s="13"/>
      <c r="C615" t="e">
        <f t="shared" si="0"/>
        <v>#N/A</v>
      </c>
      <c r="D615" t="b">
        <f t="shared" si="1"/>
        <v>0</v>
      </c>
      <c r="E615">
        <f t="shared" si="2"/>
        <v>0</v>
      </c>
      <c r="F615" s="11"/>
    </row>
    <row r="616" spans="1:6" ht="16" x14ac:dyDescent="0.2">
      <c r="A616" s="12" t="s">
        <v>4194</v>
      </c>
      <c r="B616" s="13"/>
      <c r="C616" t="e">
        <f t="shared" si="0"/>
        <v>#N/A</v>
      </c>
      <c r="D616" t="b">
        <f t="shared" si="1"/>
        <v>0</v>
      </c>
      <c r="E616">
        <f t="shared" si="2"/>
        <v>0</v>
      </c>
      <c r="F616" s="11"/>
    </row>
    <row r="617" spans="1:6" ht="16" x14ac:dyDescent="0.2">
      <c r="A617" s="12" t="s">
        <v>4195</v>
      </c>
      <c r="B617" s="13"/>
      <c r="C617" t="e">
        <f t="shared" si="0"/>
        <v>#N/A</v>
      </c>
      <c r="D617" t="b">
        <f t="shared" si="1"/>
        <v>0</v>
      </c>
      <c r="E617">
        <f t="shared" si="2"/>
        <v>0</v>
      </c>
      <c r="F617" s="11"/>
    </row>
    <row r="618" spans="1:6" ht="16" x14ac:dyDescent="0.2">
      <c r="A618" s="12" t="s">
        <v>4196</v>
      </c>
      <c r="B618" s="13"/>
      <c r="C618" t="e">
        <f t="shared" si="0"/>
        <v>#N/A</v>
      </c>
      <c r="D618" t="b">
        <f t="shared" si="1"/>
        <v>0</v>
      </c>
      <c r="E618">
        <f t="shared" si="2"/>
        <v>0</v>
      </c>
      <c r="F618" s="11"/>
    </row>
    <row r="619" spans="1:6" ht="16" x14ac:dyDescent="0.2">
      <c r="A619" s="12" t="s">
        <v>4197</v>
      </c>
      <c r="B619" s="13"/>
      <c r="C619" t="e">
        <f t="shared" si="0"/>
        <v>#N/A</v>
      </c>
      <c r="D619" t="b">
        <f t="shared" si="1"/>
        <v>0</v>
      </c>
      <c r="E619">
        <f t="shared" si="2"/>
        <v>0</v>
      </c>
      <c r="F619" s="11"/>
    </row>
    <row r="620" spans="1:6" ht="16" x14ac:dyDescent="0.2">
      <c r="A620" s="12" t="s">
        <v>4198</v>
      </c>
      <c r="B620" s="13"/>
      <c r="C620" t="e">
        <f t="shared" si="0"/>
        <v>#N/A</v>
      </c>
      <c r="D620" t="b">
        <f t="shared" si="1"/>
        <v>0</v>
      </c>
      <c r="E620">
        <f t="shared" si="2"/>
        <v>0</v>
      </c>
      <c r="F620" s="11"/>
    </row>
    <row r="621" spans="1:6" ht="16" x14ac:dyDescent="0.2">
      <c r="A621" s="12" t="s">
        <v>4199</v>
      </c>
      <c r="B621" s="13"/>
      <c r="C621" t="e">
        <f t="shared" si="0"/>
        <v>#N/A</v>
      </c>
      <c r="D621" t="b">
        <f t="shared" si="1"/>
        <v>0</v>
      </c>
      <c r="E621">
        <f t="shared" si="2"/>
        <v>0</v>
      </c>
      <c r="F621" s="11"/>
    </row>
    <row r="622" spans="1:6" ht="16" x14ac:dyDescent="0.2">
      <c r="A622" s="12" t="s">
        <v>4200</v>
      </c>
      <c r="B622" s="13"/>
      <c r="C622" t="e">
        <f t="shared" si="0"/>
        <v>#N/A</v>
      </c>
      <c r="D622" t="b">
        <f t="shared" si="1"/>
        <v>0</v>
      </c>
      <c r="E622">
        <f t="shared" si="2"/>
        <v>0</v>
      </c>
      <c r="F622" s="11"/>
    </row>
    <row r="623" spans="1:6" ht="16" x14ac:dyDescent="0.2">
      <c r="A623" s="12" t="s">
        <v>4201</v>
      </c>
      <c r="B623" s="13"/>
      <c r="C623" t="e">
        <f t="shared" si="0"/>
        <v>#N/A</v>
      </c>
      <c r="D623" t="b">
        <f t="shared" si="1"/>
        <v>0</v>
      </c>
      <c r="E623">
        <f t="shared" si="2"/>
        <v>0</v>
      </c>
      <c r="F623" s="11"/>
    </row>
    <row r="624" spans="1:6" ht="16" x14ac:dyDescent="0.2">
      <c r="A624" s="14" t="s">
        <v>4202</v>
      </c>
      <c r="B624" s="13"/>
      <c r="C624" t="e">
        <f t="shared" si="0"/>
        <v>#N/A</v>
      </c>
      <c r="D624" t="b">
        <f t="shared" si="1"/>
        <v>0</v>
      </c>
      <c r="E624">
        <f t="shared" si="2"/>
        <v>0</v>
      </c>
      <c r="F624" s="11"/>
    </row>
    <row r="625" spans="1:6" ht="16" x14ac:dyDescent="0.2">
      <c r="A625" s="12" t="s">
        <v>4203</v>
      </c>
      <c r="B625" s="13"/>
      <c r="C625" t="e">
        <f t="shared" si="0"/>
        <v>#N/A</v>
      </c>
      <c r="D625" t="b">
        <f t="shared" si="1"/>
        <v>0</v>
      </c>
      <c r="E625">
        <f t="shared" si="2"/>
        <v>0</v>
      </c>
      <c r="F625" s="11"/>
    </row>
    <row r="626" spans="1:6" ht="16" x14ac:dyDescent="0.2">
      <c r="A626" s="12" t="s">
        <v>4204</v>
      </c>
      <c r="B626" s="13"/>
      <c r="C626" t="e">
        <f t="shared" si="0"/>
        <v>#N/A</v>
      </c>
      <c r="D626" t="b">
        <f t="shared" si="1"/>
        <v>0</v>
      </c>
      <c r="E626">
        <f t="shared" si="2"/>
        <v>0</v>
      </c>
      <c r="F626" s="11"/>
    </row>
    <row r="627" spans="1:6" ht="16" x14ac:dyDescent="0.2">
      <c r="A627" s="12" t="s">
        <v>4205</v>
      </c>
      <c r="B627" s="13"/>
      <c r="C627" t="e">
        <f t="shared" si="0"/>
        <v>#N/A</v>
      </c>
      <c r="D627" t="b">
        <f t="shared" si="1"/>
        <v>0</v>
      </c>
      <c r="E627">
        <f t="shared" si="2"/>
        <v>0</v>
      </c>
      <c r="F627" s="11"/>
    </row>
    <row r="628" spans="1:6" ht="16" x14ac:dyDescent="0.2">
      <c r="A628" s="12" t="s">
        <v>4206</v>
      </c>
      <c r="B628" s="13"/>
      <c r="C628" t="e">
        <f t="shared" si="0"/>
        <v>#N/A</v>
      </c>
      <c r="D628" t="b">
        <f t="shared" si="1"/>
        <v>0</v>
      </c>
      <c r="E628">
        <f t="shared" si="2"/>
        <v>0</v>
      </c>
      <c r="F628" s="11"/>
    </row>
    <row r="629" spans="1:6" ht="16" x14ac:dyDescent="0.2">
      <c r="A629" s="12" t="s">
        <v>4207</v>
      </c>
      <c r="B629" s="13"/>
      <c r="C629" t="e">
        <f t="shared" si="0"/>
        <v>#N/A</v>
      </c>
      <c r="D629" t="b">
        <f t="shared" si="1"/>
        <v>0</v>
      </c>
      <c r="E629">
        <f t="shared" si="2"/>
        <v>0</v>
      </c>
      <c r="F629" s="11"/>
    </row>
    <row r="630" spans="1:6" ht="16" x14ac:dyDescent="0.2">
      <c r="A630" s="12" t="s">
        <v>4208</v>
      </c>
      <c r="B630" s="13"/>
      <c r="C630" t="e">
        <f t="shared" si="0"/>
        <v>#N/A</v>
      </c>
      <c r="D630" t="b">
        <f t="shared" si="1"/>
        <v>0</v>
      </c>
      <c r="E630">
        <f t="shared" si="2"/>
        <v>0</v>
      </c>
      <c r="F630" s="11"/>
    </row>
    <row r="631" spans="1:6" ht="16" x14ac:dyDescent="0.2">
      <c r="A631" s="12" t="s">
        <v>4209</v>
      </c>
      <c r="B631" s="13"/>
      <c r="C631" t="e">
        <f t="shared" si="0"/>
        <v>#N/A</v>
      </c>
      <c r="D631" t="b">
        <f t="shared" si="1"/>
        <v>0</v>
      </c>
      <c r="E631">
        <f t="shared" si="2"/>
        <v>0</v>
      </c>
      <c r="F631" s="11"/>
    </row>
    <row r="632" spans="1:6" ht="16" x14ac:dyDescent="0.2">
      <c r="A632" s="12" t="s">
        <v>4210</v>
      </c>
      <c r="B632" s="13"/>
      <c r="C632" t="e">
        <f t="shared" si="0"/>
        <v>#N/A</v>
      </c>
      <c r="D632" t="b">
        <f t="shared" si="1"/>
        <v>0</v>
      </c>
      <c r="E632">
        <f t="shared" si="2"/>
        <v>0</v>
      </c>
      <c r="F632" s="11"/>
    </row>
    <row r="633" spans="1:6" ht="16" x14ac:dyDescent="0.2">
      <c r="A633" s="12" t="s">
        <v>4211</v>
      </c>
      <c r="B633" s="13"/>
      <c r="C633" t="e">
        <f t="shared" si="0"/>
        <v>#N/A</v>
      </c>
      <c r="D633" t="b">
        <f t="shared" si="1"/>
        <v>0</v>
      </c>
      <c r="E633">
        <f t="shared" si="2"/>
        <v>0</v>
      </c>
      <c r="F633" s="11"/>
    </row>
    <row r="634" spans="1:6" ht="16" x14ac:dyDescent="0.2">
      <c r="A634" s="12" t="s">
        <v>4212</v>
      </c>
      <c r="B634" s="13"/>
      <c r="C634" t="e">
        <f t="shared" si="0"/>
        <v>#N/A</v>
      </c>
      <c r="D634" t="b">
        <f t="shared" si="1"/>
        <v>0</v>
      </c>
      <c r="E634">
        <f t="shared" si="2"/>
        <v>0</v>
      </c>
      <c r="F634" s="11"/>
    </row>
    <row r="635" spans="1:6" ht="16" x14ac:dyDescent="0.2">
      <c r="A635" s="12" t="s">
        <v>4213</v>
      </c>
      <c r="B635" s="13"/>
      <c r="C635" t="e">
        <f t="shared" si="0"/>
        <v>#N/A</v>
      </c>
      <c r="D635" t="b">
        <f t="shared" si="1"/>
        <v>0</v>
      </c>
      <c r="E635">
        <f t="shared" si="2"/>
        <v>0</v>
      </c>
      <c r="F635" s="11"/>
    </row>
    <row r="636" spans="1:6" ht="16" x14ac:dyDescent="0.2">
      <c r="A636" s="12" t="s">
        <v>4214</v>
      </c>
      <c r="B636" s="13"/>
      <c r="C636" t="e">
        <f t="shared" si="0"/>
        <v>#N/A</v>
      </c>
      <c r="D636" t="b">
        <f t="shared" si="1"/>
        <v>0</v>
      </c>
      <c r="E636">
        <f t="shared" si="2"/>
        <v>0</v>
      </c>
      <c r="F636" s="11"/>
    </row>
    <row r="637" spans="1:6" ht="16" x14ac:dyDescent="0.2">
      <c r="A637" s="12" t="s">
        <v>4215</v>
      </c>
      <c r="B637" s="13"/>
      <c r="C637" t="e">
        <f t="shared" si="0"/>
        <v>#N/A</v>
      </c>
      <c r="D637" t="b">
        <f t="shared" si="1"/>
        <v>0</v>
      </c>
      <c r="E637">
        <f t="shared" si="2"/>
        <v>0</v>
      </c>
      <c r="F637" s="11"/>
    </row>
    <row r="638" spans="1:6" ht="16" x14ac:dyDescent="0.2">
      <c r="A638" s="12" t="s">
        <v>4216</v>
      </c>
      <c r="B638" s="13"/>
      <c r="C638" t="e">
        <f t="shared" si="0"/>
        <v>#N/A</v>
      </c>
      <c r="D638" t="b">
        <f t="shared" si="1"/>
        <v>0</v>
      </c>
      <c r="E638">
        <f t="shared" si="2"/>
        <v>0</v>
      </c>
      <c r="F638" s="11"/>
    </row>
    <row r="639" spans="1:6" ht="16" x14ac:dyDescent="0.2">
      <c r="A639" s="12" t="s">
        <v>4217</v>
      </c>
      <c r="B639" s="13"/>
      <c r="C639" t="e">
        <f t="shared" si="0"/>
        <v>#N/A</v>
      </c>
      <c r="D639" t="b">
        <f t="shared" si="1"/>
        <v>0</v>
      </c>
      <c r="E639">
        <f t="shared" si="2"/>
        <v>0</v>
      </c>
      <c r="F639" s="11"/>
    </row>
    <row r="640" spans="1:6" ht="16" x14ac:dyDescent="0.2">
      <c r="A640" s="12" t="s">
        <v>4218</v>
      </c>
      <c r="B640" s="13"/>
      <c r="C640" t="e">
        <f t="shared" si="0"/>
        <v>#N/A</v>
      </c>
      <c r="D640" t="b">
        <f t="shared" si="1"/>
        <v>0</v>
      </c>
      <c r="E640">
        <f t="shared" si="2"/>
        <v>0</v>
      </c>
      <c r="F640" s="11"/>
    </row>
    <row r="641" spans="1:6" ht="16" x14ac:dyDescent="0.2">
      <c r="A641" s="12" t="s">
        <v>4219</v>
      </c>
      <c r="B641" s="13"/>
      <c r="C641" t="e">
        <f t="shared" si="0"/>
        <v>#N/A</v>
      </c>
      <c r="D641" t="b">
        <f t="shared" si="1"/>
        <v>0</v>
      </c>
      <c r="E641">
        <f t="shared" si="2"/>
        <v>0</v>
      </c>
      <c r="F641" s="11"/>
    </row>
    <row r="642" spans="1:6" ht="16" x14ac:dyDescent="0.2">
      <c r="A642" s="12" t="s">
        <v>4220</v>
      </c>
      <c r="B642" s="13"/>
      <c r="C642" t="e">
        <f t="shared" si="0"/>
        <v>#N/A</v>
      </c>
      <c r="D642" t="b">
        <f t="shared" si="1"/>
        <v>0</v>
      </c>
      <c r="E642">
        <f t="shared" si="2"/>
        <v>0</v>
      </c>
      <c r="F642" s="11"/>
    </row>
    <row r="643" spans="1:6" ht="16" x14ac:dyDescent="0.2">
      <c r="A643" s="12" t="s">
        <v>4221</v>
      </c>
      <c r="B643" s="13"/>
      <c r="C643" t="e">
        <f t="shared" si="0"/>
        <v>#N/A</v>
      </c>
      <c r="D643" t="b">
        <f t="shared" si="1"/>
        <v>0</v>
      </c>
      <c r="E643">
        <f t="shared" si="2"/>
        <v>0</v>
      </c>
      <c r="F643" s="11"/>
    </row>
    <row r="644" spans="1:6" ht="16" x14ac:dyDescent="0.2">
      <c r="A644" s="12" t="s">
        <v>4222</v>
      </c>
      <c r="B644" s="13"/>
      <c r="C644" t="e">
        <f t="shared" si="0"/>
        <v>#N/A</v>
      </c>
      <c r="D644" t="b">
        <f t="shared" si="1"/>
        <v>0</v>
      </c>
      <c r="E644">
        <f t="shared" si="2"/>
        <v>0</v>
      </c>
      <c r="F644" s="11"/>
    </row>
    <row r="645" spans="1:6" ht="16" x14ac:dyDescent="0.2">
      <c r="A645" s="12" t="s">
        <v>4223</v>
      </c>
      <c r="B645" s="13"/>
      <c r="C645" t="e">
        <f t="shared" si="0"/>
        <v>#N/A</v>
      </c>
      <c r="D645" t="b">
        <f t="shared" si="1"/>
        <v>0</v>
      </c>
      <c r="E645">
        <f t="shared" si="2"/>
        <v>0</v>
      </c>
      <c r="F645" s="11"/>
    </row>
    <row r="646" spans="1:6" ht="16" x14ac:dyDescent="0.2">
      <c r="A646" s="12" t="s">
        <v>4224</v>
      </c>
      <c r="B646" s="13"/>
      <c r="C646" t="e">
        <f t="shared" si="0"/>
        <v>#N/A</v>
      </c>
      <c r="D646" t="b">
        <f t="shared" si="1"/>
        <v>0</v>
      </c>
      <c r="E646">
        <f t="shared" si="2"/>
        <v>0</v>
      </c>
      <c r="F646" s="11"/>
    </row>
    <row r="647" spans="1:6" ht="16" x14ac:dyDescent="0.2">
      <c r="A647" s="12" t="s">
        <v>4225</v>
      </c>
      <c r="B647" s="13"/>
      <c r="C647" t="e">
        <f t="shared" si="0"/>
        <v>#N/A</v>
      </c>
      <c r="D647" t="b">
        <f t="shared" si="1"/>
        <v>0</v>
      </c>
      <c r="E647">
        <f t="shared" si="2"/>
        <v>0</v>
      </c>
      <c r="F647" s="11"/>
    </row>
    <row r="648" spans="1:6" ht="16" x14ac:dyDescent="0.2">
      <c r="A648" s="12" t="s">
        <v>4226</v>
      </c>
      <c r="B648" s="13"/>
      <c r="C648" t="e">
        <f t="shared" si="0"/>
        <v>#N/A</v>
      </c>
      <c r="D648" t="b">
        <f t="shared" si="1"/>
        <v>0</v>
      </c>
      <c r="E648">
        <f t="shared" si="2"/>
        <v>0</v>
      </c>
      <c r="F648" s="11"/>
    </row>
    <row r="649" spans="1:6" ht="16" x14ac:dyDescent="0.2">
      <c r="A649" s="12" t="s">
        <v>4227</v>
      </c>
      <c r="B649" s="13"/>
      <c r="C649" t="e">
        <f t="shared" si="0"/>
        <v>#N/A</v>
      </c>
      <c r="D649" t="b">
        <f t="shared" si="1"/>
        <v>0</v>
      </c>
      <c r="E649">
        <f t="shared" si="2"/>
        <v>0</v>
      </c>
      <c r="F649" s="11"/>
    </row>
    <row r="650" spans="1:6" ht="16" x14ac:dyDescent="0.2">
      <c r="A650" s="12" t="s">
        <v>4228</v>
      </c>
      <c r="B650" s="13"/>
      <c r="C650" t="e">
        <f t="shared" si="0"/>
        <v>#N/A</v>
      </c>
      <c r="D650" t="b">
        <f t="shared" si="1"/>
        <v>0</v>
      </c>
      <c r="E650">
        <f t="shared" si="2"/>
        <v>0</v>
      </c>
      <c r="F650" s="11"/>
    </row>
    <row r="651" spans="1:6" ht="16" x14ac:dyDescent="0.2">
      <c r="A651" s="12" t="s">
        <v>4229</v>
      </c>
      <c r="B651" s="13"/>
      <c r="C651" t="e">
        <f t="shared" si="0"/>
        <v>#N/A</v>
      </c>
      <c r="D651" t="b">
        <f t="shared" si="1"/>
        <v>0</v>
      </c>
      <c r="E651">
        <f t="shared" si="2"/>
        <v>0</v>
      </c>
      <c r="F651" s="11"/>
    </row>
    <row r="652" spans="1:6" ht="16" x14ac:dyDescent="0.2">
      <c r="A652" s="12" t="s">
        <v>4230</v>
      </c>
      <c r="B652" s="13"/>
      <c r="C652" t="e">
        <f t="shared" si="0"/>
        <v>#N/A</v>
      </c>
      <c r="D652" t="b">
        <f t="shared" si="1"/>
        <v>0</v>
      </c>
      <c r="E652">
        <f t="shared" si="2"/>
        <v>0</v>
      </c>
      <c r="F652" s="11"/>
    </row>
    <row r="653" spans="1:6" ht="16" x14ac:dyDescent="0.2">
      <c r="A653" s="12" t="s">
        <v>4231</v>
      </c>
      <c r="B653" s="13"/>
      <c r="C653" t="e">
        <f t="shared" si="0"/>
        <v>#N/A</v>
      </c>
      <c r="D653" t="b">
        <f t="shared" si="1"/>
        <v>0</v>
      </c>
      <c r="E653">
        <f t="shared" si="2"/>
        <v>0</v>
      </c>
      <c r="F653" s="11"/>
    </row>
    <row r="654" spans="1:6" ht="16" x14ac:dyDescent="0.2">
      <c r="A654" s="12" t="s">
        <v>4232</v>
      </c>
      <c r="B654" s="13"/>
      <c r="C654" t="e">
        <f t="shared" si="0"/>
        <v>#N/A</v>
      </c>
      <c r="D654" t="b">
        <f t="shared" si="1"/>
        <v>0</v>
      </c>
      <c r="E654">
        <f t="shared" si="2"/>
        <v>0</v>
      </c>
      <c r="F654" s="11"/>
    </row>
    <row r="655" spans="1:6" ht="16" x14ac:dyDescent="0.2">
      <c r="A655" s="12" t="s">
        <v>4233</v>
      </c>
      <c r="B655" s="13"/>
      <c r="C655" t="e">
        <f t="shared" si="0"/>
        <v>#N/A</v>
      </c>
      <c r="D655" t="b">
        <f t="shared" si="1"/>
        <v>0</v>
      </c>
      <c r="E655">
        <f t="shared" si="2"/>
        <v>0</v>
      </c>
      <c r="F655" s="11"/>
    </row>
    <row r="656" spans="1:6" ht="16" x14ac:dyDescent="0.2">
      <c r="A656" s="12" t="s">
        <v>4234</v>
      </c>
      <c r="B656" s="13"/>
      <c r="C656" t="e">
        <f t="shared" si="0"/>
        <v>#N/A</v>
      </c>
      <c r="D656" t="b">
        <f t="shared" si="1"/>
        <v>0</v>
      </c>
      <c r="E656">
        <f t="shared" si="2"/>
        <v>0</v>
      </c>
      <c r="F656" s="11"/>
    </row>
    <row r="657" spans="1:6" ht="16" x14ac:dyDescent="0.2">
      <c r="A657" s="12" t="s">
        <v>4235</v>
      </c>
      <c r="B657" s="13"/>
      <c r="C657" t="e">
        <f t="shared" si="0"/>
        <v>#N/A</v>
      </c>
      <c r="D657" t="b">
        <f t="shared" si="1"/>
        <v>0</v>
      </c>
      <c r="E657">
        <f t="shared" si="2"/>
        <v>0</v>
      </c>
      <c r="F657" s="11"/>
    </row>
    <row r="658" spans="1:6" ht="16" x14ac:dyDescent="0.2">
      <c r="A658" s="12" t="s">
        <v>4236</v>
      </c>
      <c r="B658" s="13"/>
      <c r="C658" t="e">
        <f t="shared" si="0"/>
        <v>#N/A</v>
      </c>
      <c r="D658" t="b">
        <f t="shared" si="1"/>
        <v>0</v>
      </c>
      <c r="E658">
        <f t="shared" si="2"/>
        <v>0</v>
      </c>
      <c r="F658" s="11"/>
    </row>
    <row r="659" spans="1:6" ht="16" x14ac:dyDescent="0.2">
      <c r="A659" s="12" t="s">
        <v>4237</v>
      </c>
      <c r="B659" s="13"/>
      <c r="C659" t="e">
        <f t="shared" si="0"/>
        <v>#N/A</v>
      </c>
      <c r="D659" t="b">
        <f t="shared" si="1"/>
        <v>0</v>
      </c>
      <c r="E659">
        <f t="shared" si="2"/>
        <v>0</v>
      </c>
      <c r="F659" s="11"/>
    </row>
    <row r="660" spans="1:6" ht="16" x14ac:dyDescent="0.2">
      <c r="A660" s="12" t="s">
        <v>4238</v>
      </c>
      <c r="B660" s="13"/>
      <c r="C660" t="e">
        <f t="shared" si="0"/>
        <v>#N/A</v>
      </c>
      <c r="D660" t="b">
        <f t="shared" si="1"/>
        <v>0</v>
      </c>
      <c r="E660">
        <f t="shared" si="2"/>
        <v>0</v>
      </c>
      <c r="F660" s="11"/>
    </row>
    <row r="661" spans="1:6" ht="16" x14ac:dyDescent="0.2">
      <c r="A661" s="12" t="s">
        <v>4239</v>
      </c>
      <c r="B661" s="13"/>
      <c r="C661" t="e">
        <f t="shared" si="0"/>
        <v>#N/A</v>
      </c>
      <c r="D661" t="b">
        <f t="shared" si="1"/>
        <v>0</v>
      </c>
      <c r="E661">
        <f t="shared" si="2"/>
        <v>0</v>
      </c>
      <c r="F661" s="11"/>
    </row>
    <row r="662" spans="1:6" ht="16" x14ac:dyDescent="0.2">
      <c r="A662" s="12" t="s">
        <v>4240</v>
      </c>
      <c r="B662" s="13"/>
      <c r="C662" t="e">
        <f t="shared" si="0"/>
        <v>#N/A</v>
      </c>
      <c r="D662" t="b">
        <f t="shared" si="1"/>
        <v>0</v>
      </c>
      <c r="E662">
        <f t="shared" si="2"/>
        <v>0</v>
      </c>
      <c r="F662" s="11"/>
    </row>
    <row r="663" spans="1:6" ht="16" x14ac:dyDescent="0.2">
      <c r="A663" s="12" t="s">
        <v>4241</v>
      </c>
      <c r="B663" s="13"/>
      <c r="C663" t="e">
        <f t="shared" si="0"/>
        <v>#N/A</v>
      </c>
      <c r="D663" t="b">
        <f t="shared" si="1"/>
        <v>0</v>
      </c>
      <c r="E663">
        <f t="shared" si="2"/>
        <v>0</v>
      </c>
      <c r="F663" s="11"/>
    </row>
    <row r="664" spans="1:6" ht="16" x14ac:dyDescent="0.2">
      <c r="A664" s="12" t="s">
        <v>4242</v>
      </c>
      <c r="B664" s="13"/>
      <c r="C664" t="e">
        <f t="shared" si="0"/>
        <v>#N/A</v>
      </c>
      <c r="D664" t="b">
        <f t="shared" si="1"/>
        <v>0</v>
      </c>
      <c r="E664">
        <f t="shared" si="2"/>
        <v>0</v>
      </c>
      <c r="F664" s="11"/>
    </row>
    <row r="665" spans="1:6" ht="16" x14ac:dyDescent="0.2">
      <c r="A665" s="12" t="s">
        <v>4243</v>
      </c>
      <c r="B665" s="13"/>
      <c r="C665" t="e">
        <f t="shared" si="0"/>
        <v>#N/A</v>
      </c>
      <c r="D665" t="b">
        <f t="shared" si="1"/>
        <v>0</v>
      </c>
      <c r="E665">
        <f t="shared" si="2"/>
        <v>0</v>
      </c>
      <c r="F665" s="11"/>
    </row>
    <row r="666" spans="1:6" ht="16" x14ac:dyDescent="0.2">
      <c r="A666" s="12" t="s">
        <v>4244</v>
      </c>
      <c r="B666" s="13"/>
      <c r="C666" t="e">
        <f t="shared" si="0"/>
        <v>#N/A</v>
      </c>
      <c r="D666" t="b">
        <f t="shared" si="1"/>
        <v>0</v>
      </c>
      <c r="E666">
        <f t="shared" si="2"/>
        <v>0</v>
      </c>
      <c r="F666" s="11"/>
    </row>
    <row r="667" spans="1:6" ht="16" x14ac:dyDescent="0.2">
      <c r="A667" s="12" t="s">
        <v>4245</v>
      </c>
      <c r="B667" s="13"/>
      <c r="C667" t="e">
        <f t="shared" si="0"/>
        <v>#N/A</v>
      </c>
      <c r="D667" t="b">
        <f t="shared" si="1"/>
        <v>0</v>
      </c>
      <c r="E667">
        <f t="shared" si="2"/>
        <v>0</v>
      </c>
      <c r="F667" s="11"/>
    </row>
    <row r="668" spans="1:6" ht="16" x14ac:dyDescent="0.2">
      <c r="A668" s="12" t="s">
        <v>4246</v>
      </c>
      <c r="B668" s="13"/>
      <c r="C668" t="e">
        <f t="shared" si="0"/>
        <v>#N/A</v>
      </c>
      <c r="D668" t="b">
        <f t="shared" si="1"/>
        <v>0</v>
      </c>
      <c r="E668">
        <f t="shared" si="2"/>
        <v>0</v>
      </c>
      <c r="F668" s="11"/>
    </row>
    <row r="669" spans="1:6" ht="16" x14ac:dyDescent="0.2">
      <c r="A669" s="12" t="s">
        <v>4247</v>
      </c>
      <c r="B669" s="13"/>
      <c r="C669" t="e">
        <f t="shared" si="0"/>
        <v>#N/A</v>
      </c>
      <c r="D669" t="b">
        <f t="shared" si="1"/>
        <v>0</v>
      </c>
      <c r="E669">
        <f t="shared" si="2"/>
        <v>0</v>
      </c>
      <c r="F669" s="11"/>
    </row>
    <row r="670" spans="1:6" ht="16" x14ac:dyDescent="0.2">
      <c r="A670" s="12" t="s">
        <v>4248</v>
      </c>
      <c r="B670" s="13"/>
      <c r="C670" t="e">
        <f t="shared" si="0"/>
        <v>#N/A</v>
      </c>
      <c r="D670" t="b">
        <f t="shared" si="1"/>
        <v>0</v>
      </c>
      <c r="E670">
        <f t="shared" si="2"/>
        <v>0</v>
      </c>
      <c r="F670" s="11"/>
    </row>
    <row r="671" spans="1:6" ht="16" x14ac:dyDescent="0.2">
      <c r="A671" s="12" t="s">
        <v>4249</v>
      </c>
      <c r="B671" s="13"/>
      <c r="C671" t="e">
        <f t="shared" si="0"/>
        <v>#N/A</v>
      </c>
      <c r="D671" t="b">
        <f t="shared" si="1"/>
        <v>0</v>
      </c>
      <c r="E671">
        <f t="shared" si="2"/>
        <v>0</v>
      </c>
      <c r="F671" s="11"/>
    </row>
    <row r="672" spans="1:6" ht="16" x14ac:dyDescent="0.2">
      <c r="A672" s="12" t="s">
        <v>4250</v>
      </c>
      <c r="B672" s="13"/>
      <c r="C672" t="e">
        <f t="shared" si="0"/>
        <v>#N/A</v>
      </c>
      <c r="D672" t="b">
        <f t="shared" si="1"/>
        <v>0</v>
      </c>
      <c r="E672">
        <f t="shared" si="2"/>
        <v>0</v>
      </c>
      <c r="F672" s="11"/>
    </row>
    <row r="673" spans="1:6" ht="16" x14ac:dyDescent="0.2">
      <c r="A673" s="12" t="s">
        <v>4251</v>
      </c>
      <c r="B673" s="13"/>
      <c r="C673" t="e">
        <f t="shared" si="0"/>
        <v>#N/A</v>
      </c>
      <c r="D673" t="b">
        <f t="shared" si="1"/>
        <v>0</v>
      </c>
      <c r="E673">
        <f t="shared" si="2"/>
        <v>0</v>
      </c>
      <c r="F673" s="11"/>
    </row>
    <row r="674" spans="1:6" ht="16" x14ac:dyDescent="0.2">
      <c r="A674" s="12" t="s">
        <v>4252</v>
      </c>
      <c r="B674" s="13"/>
      <c r="C674" t="e">
        <f t="shared" si="0"/>
        <v>#N/A</v>
      </c>
      <c r="D674" t="b">
        <f t="shared" si="1"/>
        <v>0</v>
      </c>
      <c r="E674">
        <f t="shared" si="2"/>
        <v>0</v>
      </c>
      <c r="F674" s="11"/>
    </row>
    <row r="675" spans="1:6" ht="16" x14ac:dyDescent="0.2">
      <c r="A675" s="12" t="s">
        <v>4253</v>
      </c>
      <c r="B675" s="13"/>
      <c r="C675" t="e">
        <f t="shared" si="0"/>
        <v>#N/A</v>
      </c>
      <c r="D675" t="b">
        <f t="shared" si="1"/>
        <v>0</v>
      </c>
      <c r="E675">
        <f t="shared" si="2"/>
        <v>0</v>
      </c>
      <c r="F675" s="11"/>
    </row>
    <row r="676" spans="1:6" ht="16" x14ac:dyDescent="0.2">
      <c r="A676" s="12" t="s">
        <v>4254</v>
      </c>
      <c r="B676" s="13"/>
      <c r="C676" t="e">
        <f t="shared" si="0"/>
        <v>#N/A</v>
      </c>
      <c r="D676" t="b">
        <f t="shared" si="1"/>
        <v>0</v>
      </c>
      <c r="E676">
        <f t="shared" si="2"/>
        <v>0</v>
      </c>
      <c r="F676" s="11"/>
    </row>
    <row r="677" spans="1:6" ht="16" x14ac:dyDescent="0.2">
      <c r="A677" s="12" t="s">
        <v>4255</v>
      </c>
      <c r="B677" s="13"/>
      <c r="C677" t="e">
        <f t="shared" si="0"/>
        <v>#N/A</v>
      </c>
      <c r="D677" t="b">
        <f t="shared" si="1"/>
        <v>0</v>
      </c>
      <c r="E677">
        <f t="shared" si="2"/>
        <v>0</v>
      </c>
      <c r="F677" s="11"/>
    </row>
    <row r="678" spans="1:6" ht="16" x14ac:dyDescent="0.2">
      <c r="A678" s="12" t="s">
        <v>4256</v>
      </c>
      <c r="B678" s="13"/>
      <c r="C678" t="e">
        <f t="shared" si="0"/>
        <v>#N/A</v>
      </c>
      <c r="D678" t="b">
        <f t="shared" si="1"/>
        <v>0</v>
      </c>
      <c r="E678">
        <f t="shared" si="2"/>
        <v>0</v>
      </c>
      <c r="F678" s="11"/>
    </row>
    <row r="679" spans="1:6" ht="16" x14ac:dyDescent="0.2">
      <c r="A679" s="12" t="s">
        <v>4257</v>
      </c>
      <c r="B679" s="13"/>
      <c r="C679" t="e">
        <f t="shared" si="0"/>
        <v>#N/A</v>
      </c>
      <c r="D679" t="b">
        <f t="shared" si="1"/>
        <v>0</v>
      </c>
      <c r="E679">
        <f t="shared" si="2"/>
        <v>0</v>
      </c>
      <c r="F679" s="11"/>
    </row>
    <row r="680" spans="1:6" ht="16" x14ac:dyDescent="0.2">
      <c r="A680" s="12" t="s">
        <v>4258</v>
      </c>
      <c r="B680" s="13"/>
      <c r="C680" t="e">
        <f t="shared" si="0"/>
        <v>#N/A</v>
      </c>
      <c r="D680" t="b">
        <f t="shared" si="1"/>
        <v>0</v>
      </c>
      <c r="E680">
        <f t="shared" si="2"/>
        <v>0</v>
      </c>
      <c r="F680" s="11"/>
    </row>
    <row r="681" spans="1:6" ht="16" x14ac:dyDescent="0.2">
      <c r="A681" s="12" t="s">
        <v>4259</v>
      </c>
      <c r="B681" s="13"/>
      <c r="C681" t="e">
        <f t="shared" si="0"/>
        <v>#N/A</v>
      </c>
      <c r="D681" t="b">
        <f t="shared" si="1"/>
        <v>0</v>
      </c>
      <c r="E681">
        <f t="shared" si="2"/>
        <v>0</v>
      </c>
      <c r="F681" s="11"/>
    </row>
    <row r="682" spans="1:6" ht="16" x14ac:dyDescent="0.2">
      <c r="A682" s="12" t="s">
        <v>4260</v>
      </c>
      <c r="B682" s="13"/>
      <c r="C682" t="e">
        <f t="shared" si="0"/>
        <v>#N/A</v>
      </c>
      <c r="D682" t="b">
        <f t="shared" si="1"/>
        <v>0</v>
      </c>
      <c r="E682">
        <f t="shared" si="2"/>
        <v>0</v>
      </c>
      <c r="F682" s="11"/>
    </row>
    <row r="683" spans="1:6" ht="16" x14ac:dyDescent="0.2">
      <c r="A683" s="12" t="s">
        <v>4261</v>
      </c>
      <c r="B683" s="13"/>
      <c r="C683" t="e">
        <f t="shared" si="0"/>
        <v>#N/A</v>
      </c>
      <c r="D683" t="b">
        <f t="shared" si="1"/>
        <v>0</v>
      </c>
      <c r="E683">
        <f t="shared" si="2"/>
        <v>0</v>
      </c>
      <c r="F683" s="11"/>
    </row>
    <row r="684" spans="1:6" ht="16" x14ac:dyDescent="0.2">
      <c r="A684" s="12" t="s">
        <v>4262</v>
      </c>
      <c r="B684" s="13"/>
      <c r="C684" t="e">
        <f t="shared" si="0"/>
        <v>#N/A</v>
      </c>
      <c r="D684" t="b">
        <f t="shared" si="1"/>
        <v>0</v>
      </c>
      <c r="E684">
        <f t="shared" si="2"/>
        <v>0</v>
      </c>
      <c r="F684" s="11"/>
    </row>
    <row r="685" spans="1:6" ht="16" x14ac:dyDescent="0.2">
      <c r="A685" s="12" t="s">
        <v>4263</v>
      </c>
      <c r="B685" s="13"/>
      <c r="C685" t="e">
        <f t="shared" si="0"/>
        <v>#N/A</v>
      </c>
      <c r="D685" t="b">
        <f t="shared" si="1"/>
        <v>0</v>
      </c>
      <c r="E685">
        <f t="shared" si="2"/>
        <v>0</v>
      </c>
      <c r="F685" s="11"/>
    </row>
    <row r="686" spans="1:6" ht="16" x14ac:dyDescent="0.2">
      <c r="A686" s="12" t="s">
        <v>4264</v>
      </c>
      <c r="B686" s="13"/>
      <c r="C686" t="e">
        <f t="shared" si="0"/>
        <v>#N/A</v>
      </c>
      <c r="D686" t="b">
        <f t="shared" si="1"/>
        <v>0</v>
      </c>
      <c r="E686">
        <f t="shared" si="2"/>
        <v>0</v>
      </c>
      <c r="F686" s="11"/>
    </row>
    <row r="687" spans="1:6" ht="16" x14ac:dyDescent="0.2">
      <c r="A687" s="12" t="s">
        <v>4265</v>
      </c>
      <c r="B687" s="13"/>
      <c r="C687" t="e">
        <f t="shared" si="0"/>
        <v>#N/A</v>
      </c>
      <c r="D687" t="b">
        <f t="shared" si="1"/>
        <v>0</v>
      </c>
      <c r="E687">
        <f t="shared" si="2"/>
        <v>0</v>
      </c>
      <c r="F687" s="11"/>
    </row>
    <row r="688" spans="1:6" ht="16" x14ac:dyDescent="0.2">
      <c r="A688" s="12" t="s">
        <v>4266</v>
      </c>
      <c r="B688" s="13"/>
      <c r="C688" t="e">
        <f t="shared" si="0"/>
        <v>#N/A</v>
      </c>
      <c r="D688" t="b">
        <f t="shared" si="1"/>
        <v>0</v>
      </c>
      <c r="E688">
        <f t="shared" si="2"/>
        <v>0</v>
      </c>
      <c r="F688" s="11"/>
    </row>
    <row r="689" spans="1:6" ht="16" x14ac:dyDescent="0.2">
      <c r="A689" s="12" t="s">
        <v>4267</v>
      </c>
      <c r="B689" s="13"/>
      <c r="C689" t="e">
        <f t="shared" si="0"/>
        <v>#N/A</v>
      </c>
      <c r="D689" t="b">
        <f t="shared" si="1"/>
        <v>0</v>
      </c>
      <c r="E689">
        <f t="shared" si="2"/>
        <v>0</v>
      </c>
      <c r="F689" s="11"/>
    </row>
    <row r="690" spans="1:6" ht="16" x14ac:dyDescent="0.2">
      <c r="A690" s="12" t="s">
        <v>4268</v>
      </c>
      <c r="B690" s="13"/>
      <c r="C690" t="e">
        <f t="shared" si="0"/>
        <v>#N/A</v>
      </c>
      <c r="D690" t="b">
        <f t="shared" si="1"/>
        <v>0</v>
      </c>
      <c r="E690">
        <f t="shared" si="2"/>
        <v>0</v>
      </c>
      <c r="F690" s="11"/>
    </row>
    <row r="691" spans="1:6" ht="16" x14ac:dyDescent="0.2">
      <c r="A691" s="12" t="s">
        <v>4269</v>
      </c>
      <c r="B691" s="13"/>
      <c r="C691" t="e">
        <f t="shared" si="0"/>
        <v>#N/A</v>
      </c>
      <c r="D691" t="b">
        <f t="shared" si="1"/>
        <v>0</v>
      </c>
      <c r="E691">
        <f t="shared" si="2"/>
        <v>0</v>
      </c>
      <c r="F691" s="11"/>
    </row>
    <row r="692" spans="1:6" ht="16" x14ac:dyDescent="0.2">
      <c r="A692" s="12" t="s">
        <v>4270</v>
      </c>
      <c r="B692" s="13"/>
      <c r="C692" t="e">
        <f t="shared" si="0"/>
        <v>#N/A</v>
      </c>
      <c r="D692" t="b">
        <f t="shared" si="1"/>
        <v>0</v>
      </c>
      <c r="E692">
        <f t="shared" si="2"/>
        <v>0</v>
      </c>
      <c r="F692" s="11"/>
    </row>
    <row r="693" spans="1:6" ht="16" x14ac:dyDescent="0.2">
      <c r="A693" s="12" t="s">
        <v>4271</v>
      </c>
      <c r="B693" s="13"/>
      <c r="C693" t="e">
        <f t="shared" si="0"/>
        <v>#N/A</v>
      </c>
      <c r="D693" t="b">
        <f t="shared" si="1"/>
        <v>0</v>
      </c>
      <c r="E693">
        <f t="shared" si="2"/>
        <v>0</v>
      </c>
      <c r="F693" s="11"/>
    </row>
    <row r="694" spans="1:6" ht="16" x14ac:dyDescent="0.2">
      <c r="A694" s="12" t="s">
        <v>4272</v>
      </c>
      <c r="B694" s="13"/>
      <c r="C694" t="e">
        <f t="shared" si="0"/>
        <v>#N/A</v>
      </c>
      <c r="D694" t="b">
        <f t="shared" si="1"/>
        <v>0</v>
      </c>
      <c r="E694">
        <f t="shared" si="2"/>
        <v>0</v>
      </c>
      <c r="F694" s="11"/>
    </row>
    <row r="695" spans="1:6" ht="16" x14ac:dyDescent="0.2">
      <c r="A695" s="12" t="s">
        <v>4273</v>
      </c>
      <c r="B695" s="13"/>
      <c r="C695" t="e">
        <f t="shared" si="0"/>
        <v>#N/A</v>
      </c>
      <c r="D695" t="b">
        <f t="shared" si="1"/>
        <v>0</v>
      </c>
      <c r="E695">
        <f t="shared" si="2"/>
        <v>0</v>
      </c>
      <c r="F695" s="11"/>
    </row>
    <row r="696" spans="1:6" ht="16" x14ac:dyDescent="0.2">
      <c r="A696" s="12" t="s">
        <v>4274</v>
      </c>
      <c r="B696" s="13"/>
      <c r="C696" t="e">
        <f t="shared" si="0"/>
        <v>#N/A</v>
      </c>
      <c r="D696" t="b">
        <f t="shared" si="1"/>
        <v>0</v>
      </c>
      <c r="E696">
        <f t="shared" si="2"/>
        <v>0</v>
      </c>
      <c r="F696" s="11"/>
    </row>
    <row r="697" spans="1:6" ht="16" x14ac:dyDescent="0.2">
      <c r="A697" s="12" t="s">
        <v>4275</v>
      </c>
      <c r="B697" s="13"/>
      <c r="C697" t="e">
        <f t="shared" si="0"/>
        <v>#N/A</v>
      </c>
      <c r="D697" t="b">
        <f t="shared" si="1"/>
        <v>0</v>
      </c>
      <c r="E697">
        <f t="shared" si="2"/>
        <v>0</v>
      </c>
      <c r="F697" s="11"/>
    </row>
    <row r="698" spans="1:6" ht="16" x14ac:dyDescent="0.2">
      <c r="A698" s="12" t="s">
        <v>4276</v>
      </c>
      <c r="B698" s="13"/>
      <c r="C698" t="e">
        <f t="shared" si="0"/>
        <v>#N/A</v>
      </c>
      <c r="D698" t="b">
        <f t="shared" si="1"/>
        <v>0</v>
      </c>
      <c r="E698">
        <f t="shared" si="2"/>
        <v>0</v>
      </c>
      <c r="F698" s="11"/>
    </row>
    <row r="699" spans="1:6" ht="16" x14ac:dyDescent="0.2">
      <c r="A699" s="12" t="s">
        <v>4277</v>
      </c>
      <c r="B699" s="13"/>
      <c r="C699" t="e">
        <f t="shared" si="0"/>
        <v>#N/A</v>
      </c>
      <c r="D699" t="b">
        <f t="shared" si="1"/>
        <v>0</v>
      </c>
      <c r="E699">
        <f t="shared" si="2"/>
        <v>0</v>
      </c>
      <c r="F699" s="11"/>
    </row>
    <row r="700" spans="1:6" ht="16" x14ac:dyDescent="0.2">
      <c r="A700" s="12" t="s">
        <v>4278</v>
      </c>
      <c r="B700" s="13"/>
      <c r="C700" t="e">
        <f t="shared" si="0"/>
        <v>#N/A</v>
      </c>
      <c r="D700" t="b">
        <f t="shared" si="1"/>
        <v>0</v>
      </c>
      <c r="E700">
        <f t="shared" si="2"/>
        <v>0</v>
      </c>
      <c r="F700" s="11"/>
    </row>
    <row r="701" spans="1:6" ht="16" x14ac:dyDescent="0.2">
      <c r="A701" s="12" t="s">
        <v>4279</v>
      </c>
      <c r="B701" s="13"/>
      <c r="C701" t="e">
        <f t="shared" si="0"/>
        <v>#N/A</v>
      </c>
      <c r="D701" t="b">
        <f t="shared" si="1"/>
        <v>0</v>
      </c>
      <c r="E701">
        <f t="shared" si="2"/>
        <v>0</v>
      </c>
      <c r="F701" s="11"/>
    </row>
    <row r="702" spans="1:6" ht="16" x14ac:dyDescent="0.2">
      <c r="A702" s="12" t="s">
        <v>4280</v>
      </c>
      <c r="B702" s="13"/>
      <c r="C702" t="e">
        <f t="shared" si="0"/>
        <v>#N/A</v>
      </c>
      <c r="D702" t="b">
        <f t="shared" si="1"/>
        <v>0</v>
      </c>
      <c r="E702">
        <f t="shared" si="2"/>
        <v>0</v>
      </c>
      <c r="F702" s="11"/>
    </row>
    <row r="703" spans="1:6" ht="16" x14ac:dyDescent="0.2">
      <c r="A703" s="12" t="s">
        <v>4281</v>
      </c>
      <c r="B703" s="13"/>
      <c r="C703" t="e">
        <f t="shared" si="0"/>
        <v>#N/A</v>
      </c>
      <c r="D703" t="b">
        <f t="shared" si="1"/>
        <v>0</v>
      </c>
      <c r="E703">
        <f t="shared" si="2"/>
        <v>0</v>
      </c>
      <c r="F703" s="11"/>
    </row>
    <row r="704" spans="1:6" ht="16" x14ac:dyDescent="0.2">
      <c r="A704" s="12" t="s">
        <v>4282</v>
      </c>
      <c r="B704" s="13"/>
      <c r="C704" t="e">
        <f t="shared" si="0"/>
        <v>#N/A</v>
      </c>
      <c r="D704" t="b">
        <f t="shared" si="1"/>
        <v>0</v>
      </c>
      <c r="E704">
        <f t="shared" si="2"/>
        <v>0</v>
      </c>
      <c r="F704" s="11"/>
    </row>
    <row r="705" spans="1:6" ht="16" x14ac:dyDescent="0.2">
      <c r="A705" s="12" t="s">
        <v>4283</v>
      </c>
      <c r="B705" s="13"/>
      <c r="C705" t="e">
        <f t="shared" si="0"/>
        <v>#N/A</v>
      </c>
      <c r="D705" t="b">
        <f t="shared" si="1"/>
        <v>0</v>
      </c>
      <c r="E705">
        <f t="shared" si="2"/>
        <v>0</v>
      </c>
      <c r="F705" s="11"/>
    </row>
    <row r="706" spans="1:6" ht="16" x14ac:dyDescent="0.2">
      <c r="A706" s="12" t="s">
        <v>4284</v>
      </c>
      <c r="B706" s="13"/>
      <c r="C706" t="e">
        <f t="shared" si="0"/>
        <v>#N/A</v>
      </c>
      <c r="D706" t="b">
        <f t="shared" si="1"/>
        <v>0</v>
      </c>
      <c r="E706">
        <f t="shared" si="2"/>
        <v>0</v>
      </c>
      <c r="F706" s="11"/>
    </row>
    <row r="707" spans="1:6" ht="16" x14ac:dyDescent="0.2">
      <c r="A707" s="12" t="s">
        <v>4285</v>
      </c>
      <c r="B707" s="13"/>
      <c r="C707" t="e">
        <f t="shared" si="0"/>
        <v>#N/A</v>
      </c>
      <c r="D707" t="b">
        <f t="shared" si="1"/>
        <v>0</v>
      </c>
      <c r="E707">
        <f t="shared" si="2"/>
        <v>0</v>
      </c>
      <c r="F707" s="11"/>
    </row>
    <row r="708" spans="1:6" ht="16" x14ac:dyDescent="0.2">
      <c r="A708" s="12" t="s">
        <v>4285</v>
      </c>
      <c r="B708" s="13"/>
      <c r="C708" t="e">
        <f t="shared" si="0"/>
        <v>#N/A</v>
      </c>
      <c r="D708" t="b">
        <f t="shared" si="1"/>
        <v>0</v>
      </c>
      <c r="E708">
        <f t="shared" si="2"/>
        <v>0</v>
      </c>
      <c r="F708" s="11"/>
    </row>
    <row r="709" spans="1:6" ht="16" x14ac:dyDescent="0.2">
      <c r="A709" s="12" t="s">
        <v>4286</v>
      </c>
      <c r="B709" s="13"/>
      <c r="C709" t="e">
        <f t="shared" si="0"/>
        <v>#N/A</v>
      </c>
      <c r="D709" t="b">
        <f t="shared" si="1"/>
        <v>0</v>
      </c>
      <c r="E709">
        <f t="shared" si="2"/>
        <v>0</v>
      </c>
      <c r="F709" s="11"/>
    </row>
    <row r="710" spans="1:6" ht="16" x14ac:dyDescent="0.2">
      <c r="A710" s="12" t="s">
        <v>4287</v>
      </c>
      <c r="B710" s="13"/>
      <c r="C710" t="e">
        <f t="shared" si="0"/>
        <v>#N/A</v>
      </c>
      <c r="D710" t="b">
        <f t="shared" si="1"/>
        <v>0</v>
      </c>
      <c r="E710">
        <f t="shared" si="2"/>
        <v>0</v>
      </c>
      <c r="F710" s="11"/>
    </row>
    <row r="711" spans="1:6" ht="16" x14ac:dyDescent="0.2">
      <c r="A711" s="12" t="s">
        <v>4288</v>
      </c>
      <c r="B711" s="13"/>
      <c r="C711" t="e">
        <f t="shared" si="0"/>
        <v>#N/A</v>
      </c>
      <c r="D711" t="b">
        <f t="shared" si="1"/>
        <v>0</v>
      </c>
      <c r="E711">
        <f t="shared" si="2"/>
        <v>0</v>
      </c>
      <c r="F711" s="11"/>
    </row>
    <row r="712" spans="1:6" ht="16" x14ac:dyDescent="0.2">
      <c r="A712" s="12" t="s">
        <v>4289</v>
      </c>
      <c r="B712" s="13"/>
      <c r="C712" t="e">
        <f t="shared" si="0"/>
        <v>#N/A</v>
      </c>
      <c r="D712" t="b">
        <f t="shared" si="1"/>
        <v>0</v>
      </c>
      <c r="E712">
        <f t="shared" si="2"/>
        <v>0</v>
      </c>
      <c r="F712" s="11"/>
    </row>
    <row r="713" spans="1:6" ht="16" x14ac:dyDescent="0.2">
      <c r="A713" s="12" t="s">
        <v>4289</v>
      </c>
      <c r="B713" s="13"/>
      <c r="C713" t="e">
        <f t="shared" si="0"/>
        <v>#N/A</v>
      </c>
      <c r="D713" t="b">
        <f t="shared" si="1"/>
        <v>0</v>
      </c>
      <c r="E713">
        <f t="shared" si="2"/>
        <v>0</v>
      </c>
      <c r="F713" s="11"/>
    </row>
    <row r="714" spans="1:6" ht="16" x14ac:dyDescent="0.2">
      <c r="A714" s="12" t="s">
        <v>4290</v>
      </c>
      <c r="B714" s="13"/>
      <c r="C714" t="e">
        <f t="shared" si="0"/>
        <v>#N/A</v>
      </c>
      <c r="D714" t="b">
        <f t="shared" si="1"/>
        <v>0</v>
      </c>
      <c r="E714">
        <f t="shared" si="2"/>
        <v>0</v>
      </c>
      <c r="F714" s="11"/>
    </row>
    <row r="715" spans="1:6" ht="16" x14ac:dyDescent="0.2">
      <c r="A715" s="12" t="s">
        <v>4291</v>
      </c>
      <c r="B715" s="13"/>
      <c r="C715" t="e">
        <f t="shared" si="0"/>
        <v>#N/A</v>
      </c>
      <c r="D715" t="b">
        <f t="shared" si="1"/>
        <v>0</v>
      </c>
      <c r="E715">
        <f t="shared" si="2"/>
        <v>0</v>
      </c>
      <c r="F715" s="11"/>
    </row>
    <row r="716" spans="1:6" ht="16" x14ac:dyDescent="0.2">
      <c r="A716" s="12" t="s">
        <v>4292</v>
      </c>
      <c r="B716" s="13"/>
      <c r="C716" t="e">
        <f t="shared" si="0"/>
        <v>#N/A</v>
      </c>
      <c r="D716" t="b">
        <f t="shared" si="1"/>
        <v>0</v>
      </c>
      <c r="E716">
        <f t="shared" si="2"/>
        <v>0</v>
      </c>
      <c r="F716" s="11"/>
    </row>
    <row r="717" spans="1:6" ht="16" x14ac:dyDescent="0.2">
      <c r="A717" s="12" t="s">
        <v>4293</v>
      </c>
      <c r="B717" s="13"/>
      <c r="C717" t="e">
        <f t="shared" si="0"/>
        <v>#N/A</v>
      </c>
      <c r="D717" t="b">
        <f t="shared" si="1"/>
        <v>0</v>
      </c>
      <c r="E717">
        <f t="shared" si="2"/>
        <v>0</v>
      </c>
      <c r="F717" s="11"/>
    </row>
    <row r="718" spans="1:6" ht="16" x14ac:dyDescent="0.2">
      <c r="A718" s="12" t="s">
        <v>4294</v>
      </c>
      <c r="B718" s="13"/>
      <c r="C718" t="e">
        <f t="shared" si="0"/>
        <v>#N/A</v>
      </c>
      <c r="D718" t="b">
        <f t="shared" si="1"/>
        <v>0</v>
      </c>
      <c r="E718">
        <f t="shared" si="2"/>
        <v>0</v>
      </c>
      <c r="F718" s="11"/>
    </row>
    <row r="719" spans="1:6" ht="16" x14ac:dyDescent="0.2">
      <c r="A719" s="12" t="s">
        <v>4295</v>
      </c>
      <c r="B719" s="13"/>
      <c r="C719" t="e">
        <f t="shared" si="0"/>
        <v>#N/A</v>
      </c>
      <c r="D719" t="b">
        <f t="shared" si="1"/>
        <v>0</v>
      </c>
      <c r="E719">
        <f t="shared" si="2"/>
        <v>0</v>
      </c>
      <c r="F719" s="11"/>
    </row>
    <row r="720" spans="1:6" ht="16" x14ac:dyDescent="0.2">
      <c r="A720" s="12" t="s">
        <v>4296</v>
      </c>
      <c r="B720" s="13"/>
      <c r="C720" t="e">
        <f t="shared" si="0"/>
        <v>#N/A</v>
      </c>
      <c r="D720" t="b">
        <f t="shared" si="1"/>
        <v>0</v>
      </c>
      <c r="E720">
        <f t="shared" si="2"/>
        <v>0</v>
      </c>
      <c r="F720" s="11"/>
    </row>
    <row r="721" spans="1:6" ht="16" x14ac:dyDescent="0.2">
      <c r="A721" s="12" t="s">
        <v>4297</v>
      </c>
      <c r="B721" s="13"/>
      <c r="C721" t="e">
        <f t="shared" si="0"/>
        <v>#N/A</v>
      </c>
      <c r="D721" t="b">
        <f t="shared" si="1"/>
        <v>0</v>
      </c>
      <c r="E721">
        <f t="shared" si="2"/>
        <v>0</v>
      </c>
      <c r="F721" s="11"/>
    </row>
    <row r="722" spans="1:6" ht="16" x14ac:dyDescent="0.2">
      <c r="A722" s="12" t="s">
        <v>4298</v>
      </c>
      <c r="B722" s="13"/>
      <c r="C722" t="e">
        <f t="shared" si="0"/>
        <v>#N/A</v>
      </c>
      <c r="D722" t="b">
        <f t="shared" si="1"/>
        <v>0</v>
      </c>
      <c r="E722">
        <f t="shared" si="2"/>
        <v>0</v>
      </c>
      <c r="F722" s="11"/>
    </row>
    <row r="723" spans="1:6" ht="16" x14ac:dyDescent="0.2">
      <c r="A723" s="12" t="s">
        <v>4299</v>
      </c>
      <c r="B723" s="13"/>
      <c r="C723" t="e">
        <f t="shared" si="0"/>
        <v>#N/A</v>
      </c>
      <c r="D723" t="b">
        <f t="shared" si="1"/>
        <v>0</v>
      </c>
      <c r="E723">
        <f t="shared" si="2"/>
        <v>0</v>
      </c>
      <c r="F723" s="11"/>
    </row>
    <row r="724" spans="1:6" ht="16" x14ac:dyDescent="0.2">
      <c r="A724" s="12" t="s">
        <v>4300</v>
      </c>
      <c r="B724" s="13"/>
      <c r="C724" t="e">
        <f t="shared" si="0"/>
        <v>#N/A</v>
      </c>
      <c r="D724" t="b">
        <f t="shared" si="1"/>
        <v>0</v>
      </c>
      <c r="E724">
        <f t="shared" si="2"/>
        <v>0</v>
      </c>
      <c r="F724" s="11"/>
    </row>
    <row r="725" spans="1:6" ht="16" x14ac:dyDescent="0.2">
      <c r="A725" s="12" t="s">
        <v>4301</v>
      </c>
      <c r="B725" s="13"/>
      <c r="C725" t="e">
        <f t="shared" si="0"/>
        <v>#N/A</v>
      </c>
      <c r="D725" t="b">
        <f t="shared" si="1"/>
        <v>0</v>
      </c>
      <c r="E725">
        <f t="shared" si="2"/>
        <v>0</v>
      </c>
      <c r="F725" s="11"/>
    </row>
    <row r="726" spans="1:6" ht="16" x14ac:dyDescent="0.2">
      <c r="A726" s="12" t="s">
        <v>4302</v>
      </c>
      <c r="B726" s="13"/>
      <c r="C726" t="e">
        <f t="shared" si="0"/>
        <v>#N/A</v>
      </c>
      <c r="D726" t="b">
        <f t="shared" si="1"/>
        <v>0</v>
      </c>
      <c r="E726">
        <f t="shared" si="2"/>
        <v>0</v>
      </c>
      <c r="F726" s="11"/>
    </row>
    <row r="727" spans="1:6" ht="16" x14ac:dyDescent="0.2">
      <c r="A727" s="12" t="s">
        <v>4303</v>
      </c>
      <c r="B727" s="13"/>
      <c r="C727" t="e">
        <f t="shared" si="0"/>
        <v>#N/A</v>
      </c>
      <c r="D727" t="b">
        <f t="shared" si="1"/>
        <v>0</v>
      </c>
      <c r="E727">
        <f t="shared" si="2"/>
        <v>0</v>
      </c>
      <c r="F727" s="11"/>
    </row>
    <row r="728" spans="1:6" ht="16" x14ac:dyDescent="0.2">
      <c r="A728" s="12" t="s">
        <v>4304</v>
      </c>
      <c r="B728" s="13"/>
      <c r="C728" t="e">
        <f t="shared" si="0"/>
        <v>#N/A</v>
      </c>
      <c r="D728" t="b">
        <f t="shared" si="1"/>
        <v>0</v>
      </c>
      <c r="E728">
        <f t="shared" si="2"/>
        <v>0</v>
      </c>
      <c r="F728" s="11"/>
    </row>
    <row r="729" spans="1:6" ht="16" x14ac:dyDescent="0.2">
      <c r="A729" s="12" t="s">
        <v>4305</v>
      </c>
      <c r="B729" s="13"/>
      <c r="C729" t="e">
        <f t="shared" si="0"/>
        <v>#N/A</v>
      </c>
      <c r="D729" t="b">
        <f t="shared" si="1"/>
        <v>0</v>
      </c>
      <c r="E729">
        <f t="shared" si="2"/>
        <v>0</v>
      </c>
      <c r="F729" s="11"/>
    </row>
    <row r="730" spans="1:6" ht="16" x14ac:dyDescent="0.2">
      <c r="A730" s="12" t="s">
        <v>4306</v>
      </c>
      <c r="B730" s="13"/>
      <c r="C730" t="e">
        <f t="shared" si="0"/>
        <v>#N/A</v>
      </c>
      <c r="D730" t="b">
        <f t="shared" si="1"/>
        <v>0</v>
      </c>
      <c r="E730">
        <f t="shared" si="2"/>
        <v>0</v>
      </c>
      <c r="F730" s="11"/>
    </row>
    <row r="731" spans="1:6" ht="16" x14ac:dyDescent="0.2">
      <c r="A731" s="12" t="s">
        <v>4307</v>
      </c>
      <c r="B731" s="13"/>
      <c r="C731" t="e">
        <f t="shared" si="0"/>
        <v>#N/A</v>
      </c>
      <c r="D731" t="b">
        <f t="shared" si="1"/>
        <v>0</v>
      </c>
      <c r="E731">
        <f t="shared" si="2"/>
        <v>0</v>
      </c>
      <c r="F731" s="11"/>
    </row>
    <row r="732" spans="1:6" ht="16" x14ac:dyDescent="0.2">
      <c r="A732" s="12" t="s">
        <v>4308</v>
      </c>
      <c r="B732" s="13"/>
      <c r="C732" t="e">
        <f t="shared" si="0"/>
        <v>#N/A</v>
      </c>
      <c r="D732" t="b">
        <f t="shared" si="1"/>
        <v>0</v>
      </c>
      <c r="E732">
        <f t="shared" si="2"/>
        <v>0</v>
      </c>
      <c r="F732" s="11"/>
    </row>
    <row r="733" spans="1:6" ht="16" x14ac:dyDescent="0.2">
      <c r="A733" s="12" t="s">
        <v>4309</v>
      </c>
      <c r="B733" s="13"/>
      <c r="C733" t="e">
        <f t="shared" si="0"/>
        <v>#N/A</v>
      </c>
      <c r="D733" t="b">
        <f t="shared" si="1"/>
        <v>0</v>
      </c>
      <c r="E733">
        <f t="shared" si="2"/>
        <v>0</v>
      </c>
      <c r="F733" s="11"/>
    </row>
    <row r="734" spans="1:6" ht="16" x14ac:dyDescent="0.2">
      <c r="A734" s="12" t="s">
        <v>4310</v>
      </c>
      <c r="B734" s="13"/>
      <c r="C734" t="e">
        <f t="shared" si="0"/>
        <v>#N/A</v>
      </c>
      <c r="D734" t="b">
        <f t="shared" si="1"/>
        <v>0</v>
      </c>
      <c r="E734">
        <f t="shared" si="2"/>
        <v>0</v>
      </c>
      <c r="F734" s="11"/>
    </row>
    <row r="735" spans="1:6" ht="16" x14ac:dyDescent="0.2">
      <c r="A735" s="12" t="s">
        <v>4311</v>
      </c>
      <c r="B735" s="13"/>
      <c r="C735" t="e">
        <f t="shared" si="0"/>
        <v>#N/A</v>
      </c>
      <c r="D735" t="b">
        <f t="shared" si="1"/>
        <v>0</v>
      </c>
      <c r="E735">
        <f t="shared" si="2"/>
        <v>0</v>
      </c>
      <c r="F735" s="11"/>
    </row>
    <row r="736" spans="1:6" ht="16" x14ac:dyDescent="0.2">
      <c r="A736" s="12" t="s">
        <v>4312</v>
      </c>
      <c r="B736" s="13"/>
      <c r="C736" t="e">
        <f t="shared" si="0"/>
        <v>#N/A</v>
      </c>
      <c r="D736" t="b">
        <f t="shared" si="1"/>
        <v>0</v>
      </c>
      <c r="E736">
        <f t="shared" si="2"/>
        <v>0</v>
      </c>
      <c r="F736" s="11"/>
    </row>
    <row r="737" spans="1:6" ht="16" x14ac:dyDescent="0.2">
      <c r="A737" s="12" t="s">
        <v>4313</v>
      </c>
      <c r="B737" s="13"/>
      <c r="C737" t="e">
        <f t="shared" si="0"/>
        <v>#N/A</v>
      </c>
      <c r="D737" t="b">
        <f t="shared" si="1"/>
        <v>0</v>
      </c>
      <c r="E737">
        <f t="shared" si="2"/>
        <v>0</v>
      </c>
      <c r="F737" s="11"/>
    </row>
    <row r="738" spans="1:6" ht="16" x14ac:dyDescent="0.2">
      <c r="A738" s="12" t="s">
        <v>4314</v>
      </c>
      <c r="B738" s="13"/>
      <c r="C738" t="e">
        <f t="shared" si="0"/>
        <v>#N/A</v>
      </c>
      <c r="D738" t="b">
        <f t="shared" si="1"/>
        <v>0</v>
      </c>
      <c r="E738">
        <f t="shared" si="2"/>
        <v>0</v>
      </c>
      <c r="F738" s="11"/>
    </row>
    <row r="739" spans="1:6" ht="16" x14ac:dyDescent="0.2">
      <c r="A739" s="12" t="s">
        <v>4315</v>
      </c>
      <c r="B739" s="13"/>
      <c r="C739" t="e">
        <f t="shared" si="0"/>
        <v>#N/A</v>
      </c>
      <c r="D739" t="b">
        <f t="shared" si="1"/>
        <v>0</v>
      </c>
      <c r="E739">
        <f t="shared" si="2"/>
        <v>0</v>
      </c>
      <c r="F739" s="11"/>
    </row>
    <row r="740" spans="1:6" ht="16" x14ac:dyDescent="0.2">
      <c r="A740" s="12" t="s">
        <v>4316</v>
      </c>
      <c r="B740" s="13"/>
      <c r="C740" t="e">
        <f t="shared" si="0"/>
        <v>#N/A</v>
      </c>
      <c r="D740" t="b">
        <f t="shared" si="1"/>
        <v>0</v>
      </c>
      <c r="E740">
        <f t="shared" si="2"/>
        <v>0</v>
      </c>
      <c r="F740" s="11"/>
    </row>
    <row r="741" spans="1:6" ht="16" x14ac:dyDescent="0.2">
      <c r="A741" s="12" t="s">
        <v>4317</v>
      </c>
      <c r="B741" s="13"/>
      <c r="C741" t="e">
        <f t="shared" si="0"/>
        <v>#N/A</v>
      </c>
      <c r="D741" t="b">
        <f t="shared" si="1"/>
        <v>0</v>
      </c>
      <c r="E741">
        <f t="shared" si="2"/>
        <v>0</v>
      </c>
      <c r="F741" s="11"/>
    </row>
    <row r="742" spans="1:6" ht="16" x14ac:dyDescent="0.2">
      <c r="A742" s="12" t="s">
        <v>4318</v>
      </c>
      <c r="B742" s="13"/>
      <c r="C742" t="e">
        <f t="shared" si="0"/>
        <v>#N/A</v>
      </c>
      <c r="D742" t="b">
        <f t="shared" si="1"/>
        <v>0</v>
      </c>
      <c r="E742">
        <f t="shared" si="2"/>
        <v>0</v>
      </c>
      <c r="F742" s="11"/>
    </row>
    <row r="743" spans="1:6" ht="16" x14ac:dyDescent="0.2">
      <c r="A743" s="12" t="s">
        <v>4319</v>
      </c>
      <c r="B743" s="13"/>
      <c r="C743" t="e">
        <f t="shared" si="0"/>
        <v>#N/A</v>
      </c>
      <c r="D743" t="b">
        <f t="shared" si="1"/>
        <v>0</v>
      </c>
      <c r="E743">
        <f t="shared" si="2"/>
        <v>0</v>
      </c>
      <c r="F743" s="11"/>
    </row>
    <row r="744" spans="1:6" ht="16" x14ac:dyDescent="0.2">
      <c r="A744" s="14" t="s">
        <v>4320</v>
      </c>
      <c r="B744" s="13"/>
      <c r="C744" t="e">
        <f t="shared" si="0"/>
        <v>#N/A</v>
      </c>
      <c r="D744" t="b">
        <f t="shared" si="1"/>
        <v>0</v>
      </c>
      <c r="E744">
        <f t="shared" si="2"/>
        <v>0</v>
      </c>
      <c r="F744" s="11"/>
    </row>
    <row r="745" spans="1:6" ht="16" x14ac:dyDescent="0.2">
      <c r="A745" s="12" t="s">
        <v>4321</v>
      </c>
      <c r="B745" s="13"/>
      <c r="C745" t="e">
        <f t="shared" si="0"/>
        <v>#N/A</v>
      </c>
      <c r="D745" t="b">
        <f t="shared" si="1"/>
        <v>0</v>
      </c>
      <c r="E745">
        <f t="shared" si="2"/>
        <v>0</v>
      </c>
      <c r="F745" s="11"/>
    </row>
    <row r="746" spans="1:6" ht="16" x14ac:dyDescent="0.2">
      <c r="A746" s="12" t="s">
        <v>4322</v>
      </c>
      <c r="B746" s="13"/>
      <c r="C746" t="e">
        <f t="shared" si="0"/>
        <v>#N/A</v>
      </c>
      <c r="D746" t="b">
        <f t="shared" si="1"/>
        <v>0</v>
      </c>
      <c r="E746">
        <f t="shared" si="2"/>
        <v>0</v>
      </c>
      <c r="F746" s="11"/>
    </row>
    <row r="747" spans="1:6" ht="16" x14ac:dyDescent="0.2">
      <c r="A747" s="12" t="s">
        <v>4323</v>
      </c>
      <c r="B747" s="13"/>
      <c r="C747" t="e">
        <f t="shared" si="0"/>
        <v>#N/A</v>
      </c>
      <c r="D747" t="b">
        <f t="shared" si="1"/>
        <v>0</v>
      </c>
      <c r="E747">
        <f t="shared" si="2"/>
        <v>0</v>
      </c>
      <c r="F747" s="11"/>
    </row>
    <row r="748" spans="1:6" ht="16" x14ac:dyDescent="0.2">
      <c r="A748" s="12" t="s">
        <v>4324</v>
      </c>
      <c r="B748" s="13"/>
      <c r="C748" t="e">
        <f t="shared" si="0"/>
        <v>#N/A</v>
      </c>
      <c r="D748" t="b">
        <f t="shared" si="1"/>
        <v>0</v>
      </c>
      <c r="E748">
        <f t="shared" si="2"/>
        <v>0</v>
      </c>
      <c r="F748" s="11"/>
    </row>
    <row r="749" spans="1:6" ht="16" x14ac:dyDescent="0.2">
      <c r="A749" s="12" t="s">
        <v>4325</v>
      </c>
      <c r="B749" s="13"/>
      <c r="C749" t="e">
        <f t="shared" si="0"/>
        <v>#N/A</v>
      </c>
      <c r="D749" t="b">
        <f t="shared" si="1"/>
        <v>0</v>
      </c>
      <c r="E749">
        <f t="shared" si="2"/>
        <v>0</v>
      </c>
      <c r="F749" s="11"/>
    </row>
    <row r="750" spans="1:6" ht="16" x14ac:dyDescent="0.2">
      <c r="A750" s="12" t="s">
        <v>4326</v>
      </c>
      <c r="B750" s="13"/>
      <c r="C750" t="e">
        <f t="shared" si="0"/>
        <v>#N/A</v>
      </c>
      <c r="D750" t="b">
        <f t="shared" si="1"/>
        <v>0</v>
      </c>
      <c r="E750">
        <f t="shared" si="2"/>
        <v>0</v>
      </c>
      <c r="F750" s="11"/>
    </row>
    <row r="751" spans="1:6" ht="16" x14ac:dyDescent="0.2">
      <c r="A751" s="12" t="s">
        <v>4327</v>
      </c>
      <c r="B751" s="13"/>
      <c r="C751" t="e">
        <f t="shared" si="0"/>
        <v>#N/A</v>
      </c>
      <c r="D751" t="b">
        <f t="shared" si="1"/>
        <v>0</v>
      </c>
      <c r="E751">
        <f t="shared" si="2"/>
        <v>0</v>
      </c>
      <c r="F751" s="11"/>
    </row>
    <row r="752" spans="1:6" ht="16" x14ac:dyDescent="0.2">
      <c r="A752" s="12" t="s">
        <v>4327</v>
      </c>
      <c r="B752" s="13"/>
      <c r="C752" t="e">
        <f t="shared" si="0"/>
        <v>#N/A</v>
      </c>
      <c r="D752" t="b">
        <f t="shared" si="1"/>
        <v>0</v>
      </c>
      <c r="E752">
        <f t="shared" si="2"/>
        <v>0</v>
      </c>
      <c r="F752" s="11"/>
    </row>
    <row r="753" spans="1:6" ht="16" x14ac:dyDescent="0.2">
      <c r="A753" s="12" t="s">
        <v>4328</v>
      </c>
      <c r="B753" s="13"/>
      <c r="C753" t="e">
        <f t="shared" si="0"/>
        <v>#N/A</v>
      </c>
      <c r="D753" t="b">
        <f t="shared" si="1"/>
        <v>0</v>
      </c>
      <c r="E753">
        <f t="shared" si="2"/>
        <v>0</v>
      </c>
      <c r="F753" s="11"/>
    </row>
    <row r="754" spans="1:6" ht="16" x14ac:dyDescent="0.2">
      <c r="A754" s="12" t="s">
        <v>4329</v>
      </c>
      <c r="B754" s="13"/>
      <c r="C754" t="e">
        <f t="shared" si="0"/>
        <v>#N/A</v>
      </c>
      <c r="D754" t="b">
        <f t="shared" si="1"/>
        <v>0</v>
      </c>
      <c r="E754">
        <f t="shared" si="2"/>
        <v>0</v>
      </c>
      <c r="F754" s="11"/>
    </row>
    <row r="755" spans="1:6" ht="16" x14ac:dyDescent="0.2">
      <c r="A755" s="12" t="s">
        <v>4330</v>
      </c>
      <c r="B755" s="13"/>
      <c r="C755" t="e">
        <f t="shared" si="0"/>
        <v>#N/A</v>
      </c>
      <c r="D755" t="b">
        <f t="shared" si="1"/>
        <v>0</v>
      </c>
      <c r="E755">
        <f t="shared" si="2"/>
        <v>0</v>
      </c>
      <c r="F755" s="11"/>
    </row>
    <row r="756" spans="1:6" ht="16" x14ac:dyDescent="0.2">
      <c r="A756" s="12" t="s">
        <v>4331</v>
      </c>
      <c r="B756" s="13"/>
      <c r="C756" t="e">
        <f t="shared" si="0"/>
        <v>#N/A</v>
      </c>
      <c r="D756" t="b">
        <f t="shared" si="1"/>
        <v>0</v>
      </c>
      <c r="E756">
        <f t="shared" si="2"/>
        <v>0</v>
      </c>
      <c r="F756" s="11"/>
    </row>
    <row r="757" spans="1:6" ht="16" x14ac:dyDescent="0.2">
      <c r="A757" s="12" t="s">
        <v>4332</v>
      </c>
      <c r="B757" s="13"/>
      <c r="C757" t="e">
        <f t="shared" si="0"/>
        <v>#N/A</v>
      </c>
      <c r="D757" t="b">
        <f t="shared" si="1"/>
        <v>0</v>
      </c>
      <c r="E757">
        <f t="shared" si="2"/>
        <v>0</v>
      </c>
      <c r="F757" s="11"/>
    </row>
    <row r="758" spans="1:6" ht="16" x14ac:dyDescent="0.2">
      <c r="A758" s="12" t="s">
        <v>4333</v>
      </c>
      <c r="B758" s="13"/>
      <c r="C758" t="e">
        <f t="shared" si="0"/>
        <v>#N/A</v>
      </c>
      <c r="D758" t="b">
        <f t="shared" si="1"/>
        <v>0</v>
      </c>
      <c r="E758">
        <f t="shared" si="2"/>
        <v>0</v>
      </c>
      <c r="F758" s="11"/>
    </row>
    <row r="759" spans="1:6" ht="16" x14ac:dyDescent="0.2">
      <c r="A759" s="12" t="s">
        <v>4334</v>
      </c>
      <c r="B759" s="13"/>
      <c r="C759" t="e">
        <f t="shared" si="0"/>
        <v>#N/A</v>
      </c>
      <c r="D759" t="b">
        <f t="shared" si="1"/>
        <v>0</v>
      </c>
      <c r="E759">
        <f t="shared" si="2"/>
        <v>0</v>
      </c>
      <c r="F759" s="11"/>
    </row>
    <row r="760" spans="1:6" ht="16" x14ac:dyDescent="0.2">
      <c r="A760" s="12" t="s">
        <v>4335</v>
      </c>
      <c r="B760" s="13"/>
      <c r="C760" t="e">
        <f t="shared" si="0"/>
        <v>#N/A</v>
      </c>
      <c r="D760" t="b">
        <f t="shared" si="1"/>
        <v>0</v>
      </c>
      <c r="E760">
        <f t="shared" si="2"/>
        <v>0</v>
      </c>
      <c r="F760" s="11"/>
    </row>
    <row r="761" spans="1:6" ht="16" x14ac:dyDescent="0.2">
      <c r="A761" s="12" t="s">
        <v>4336</v>
      </c>
      <c r="B761" s="13"/>
      <c r="C761" t="e">
        <f t="shared" si="0"/>
        <v>#N/A</v>
      </c>
      <c r="D761" t="b">
        <f t="shared" si="1"/>
        <v>0</v>
      </c>
      <c r="E761">
        <f t="shared" si="2"/>
        <v>0</v>
      </c>
      <c r="F761" s="11"/>
    </row>
    <row r="762" spans="1:6" ht="16" x14ac:dyDescent="0.2">
      <c r="A762" s="12" t="s">
        <v>4337</v>
      </c>
      <c r="B762" s="13"/>
      <c r="C762" t="e">
        <f t="shared" si="0"/>
        <v>#N/A</v>
      </c>
      <c r="D762" t="b">
        <f t="shared" si="1"/>
        <v>0</v>
      </c>
      <c r="E762">
        <f t="shared" si="2"/>
        <v>0</v>
      </c>
      <c r="F762" s="11"/>
    </row>
    <row r="763" spans="1:6" ht="16" x14ac:dyDescent="0.2">
      <c r="A763" s="12" t="s">
        <v>4338</v>
      </c>
      <c r="B763" s="13"/>
      <c r="C763" t="e">
        <f t="shared" si="0"/>
        <v>#N/A</v>
      </c>
      <c r="D763" t="b">
        <f t="shared" si="1"/>
        <v>0</v>
      </c>
      <c r="E763">
        <f t="shared" si="2"/>
        <v>0</v>
      </c>
      <c r="F763" s="11"/>
    </row>
    <row r="764" spans="1:6" ht="16" x14ac:dyDescent="0.2">
      <c r="A764" s="12" t="s">
        <v>4339</v>
      </c>
      <c r="B764" s="13"/>
      <c r="C764" t="e">
        <f t="shared" si="0"/>
        <v>#N/A</v>
      </c>
      <c r="D764" t="b">
        <f t="shared" si="1"/>
        <v>0</v>
      </c>
      <c r="E764">
        <f t="shared" si="2"/>
        <v>0</v>
      </c>
      <c r="F764" s="11"/>
    </row>
    <row r="765" spans="1:6" ht="16" x14ac:dyDescent="0.2">
      <c r="A765" s="12" t="s">
        <v>4340</v>
      </c>
      <c r="B765" s="13"/>
      <c r="C765" t="e">
        <f t="shared" si="0"/>
        <v>#N/A</v>
      </c>
      <c r="D765" t="b">
        <f t="shared" si="1"/>
        <v>0</v>
      </c>
      <c r="E765">
        <f t="shared" si="2"/>
        <v>0</v>
      </c>
      <c r="F765" s="11"/>
    </row>
    <row r="766" spans="1:6" ht="16" x14ac:dyDescent="0.2">
      <c r="A766" s="12" t="s">
        <v>4341</v>
      </c>
      <c r="B766" s="13"/>
      <c r="C766" t="e">
        <f t="shared" si="0"/>
        <v>#N/A</v>
      </c>
      <c r="D766" t="b">
        <f t="shared" si="1"/>
        <v>0</v>
      </c>
      <c r="E766">
        <f t="shared" si="2"/>
        <v>0</v>
      </c>
      <c r="F766" s="11"/>
    </row>
    <row r="767" spans="1:6" ht="16" x14ac:dyDescent="0.2">
      <c r="A767" s="12" t="s">
        <v>4342</v>
      </c>
      <c r="B767" s="13"/>
      <c r="C767" t="e">
        <f t="shared" si="0"/>
        <v>#N/A</v>
      </c>
      <c r="D767" t="b">
        <f t="shared" si="1"/>
        <v>0</v>
      </c>
      <c r="E767">
        <f t="shared" si="2"/>
        <v>0</v>
      </c>
      <c r="F767" s="11"/>
    </row>
    <row r="768" spans="1:6" ht="16" x14ac:dyDescent="0.2">
      <c r="A768" s="12" t="s">
        <v>4343</v>
      </c>
      <c r="B768" s="13"/>
      <c r="C768" t="e">
        <f t="shared" si="0"/>
        <v>#N/A</v>
      </c>
      <c r="D768" t="b">
        <f t="shared" si="1"/>
        <v>0</v>
      </c>
      <c r="E768">
        <f t="shared" si="2"/>
        <v>0</v>
      </c>
      <c r="F768" s="11"/>
    </row>
    <row r="769" spans="1:6" ht="16" x14ac:dyDescent="0.2">
      <c r="A769" s="12" t="s">
        <v>4344</v>
      </c>
      <c r="B769" s="13"/>
      <c r="C769" t="e">
        <f t="shared" si="0"/>
        <v>#N/A</v>
      </c>
      <c r="D769" t="b">
        <f t="shared" si="1"/>
        <v>0</v>
      </c>
      <c r="E769">
        <f t="shared" si="2"/>
        <v>0</v>
      </c>
      <c r="F769" s="11"/>
    </row>
    <row r="770" spans="1:6" ht="16" x14ac:dyDescent="0.2">
      <c r="A770" s="12" t="s">
        <v>4345</v>
      </c>
      <c r="B770" s="13"/>
      <c r="C770" t="e">
        <f t="shared" si="0"/>
        <v>#N/A</v>
      </c>
      <c r="D770" t="b">
        <f t="shared" si="1"/>
        <v>0</v>
      </c>
      <c r="E770">
        <f t="shared" si="2"/>
        <v>0</v>
      </c>
      <c r="F770" s="11"/>
    </row>
    <row r="771" spans="1:6" ht="16" x14ac:dyDescent="0.2">
      <c r="A771" s="12" t="s">
        <v>4346</v>
      </c>
      <c r="B771" s="13"/>
      <c r="C771" t="e">
        <f t="shared" si="0"/>
        <v>#N/A</v>
      </c>
      <c r="D771" t="b">
        <f t="shared" si="1"/>
        <v>0</v>
      </c>
      <c r="E771">
        <f t="shared" si="2"/>
        <v>0</v>
      </c>
      <c r="F771" s="11"/>
    </row>
    <row r="772" spans="1:6" ht="16" x14ac:dyDescent="0.2">
      <c r="A772" s="12" t="s">
        <v>4347</v>
      </c>
      <c r="B772" s="13"/>
      <c r="C772" t="e">
        <f t="shared" si="0"/>
        <v>#N/A</v>
      </c>
      <c r="D772" t="b">
        <f t="shared" si="1"/>
        <v>0</v>
      </c>
      <c r="E772">
        <f t="shared" si="2"/>
        <v>0</v>
      </c>
      <c r="F772" s="11"/>
    </row>
    <row r="773" spans="1:6" ht="16" x14ac:dyDescent="0.2">
      <c r="A773" s="12" t="s">
        <v>4347</v>
      </c>
      <c r="B773" s="13"/>
      <c r="C773" t="e">
        <f t="shared" si="0"/>
        <v>#N/A</v>
      </c>
      <c r="D773" t="b">
        <f t="shared" si="1"/>
        <v>0</v>
      </c>
      <c r="E773">
        <f t="shared" si="2"/>
        <v>0</v>
      </c>
      <c r="F773" s="11"/>
    </row>
    <row r="774" spans="1:6" ht="16" x14ac:dyDescent="0.2">
      <c r="A774" s="12" t="s">
        <v>4348</v>
      </c>
      <c r="B774" s="13"/>
      <c r="C774" t="e">
        <f t="shared" si="0"/>
        <v>#N/A</v>
      </c>
      <c r="D774" t="b">
        <f t="shared" si="1"/>
        <v>0</v>
      </c>
      <c r="E774">
        <f t="shared" si="2"/>
        <v>0</v>
      </c>
      <c r="F774" s="11"/>
    </row>
    <row r="775" spans="1:6" ht="16" x14ac:dyDescent="0.2">
      <c r="A775" s="12" t="s">
        <v>4349</v>
      </c>
      <c r="B775" s="13"/>
      <c r="C775" t="e">
        <f t="shared" si="0"/>
        <v>#N/A</v>
      </c>
      <c r="D775" t="b">
        <f t="shared" si="1"/>
        <v>0</v>
      </c>
      <c r="E775">
        <f t="shared" si="2"/>
        <v>0</v>
      </c>
      <c r="F775" s="11"/>
    </row>
    <row r="776" spans="1:6" ht="16" x14ac:dyDescent="0.2">
      <c r="A776" s="12" t="s">
        <v>4350</v>
      </c>
      <c r="B776" s="13"/>
      <c r="C776" t="e">
        <f t="shared" si="0"/>
        <v>#N/A</v>
      </c>
      <c r="D776" t="b">
        <f t="shared" si="1"/>
        <v>0</v>
      </c>
      <c r="E776">
        <f t="shared" si="2"/>
        <v>0</v>
      </c>
      <c r="F776" s="11"/>
    </row>
    <row r="777" spans="1:6" ht="16" x14ac:dyDescent="0.2">
      <c r="A777" s="12" t="s">
        <v>4351</v>
      </c>
      <c r="B777" s="13"/>
      <c r="C777" t="e">
        <f t="shared" si="0"/>
        <v>#N/A</v>
      </c>
      <c r="D777" t="b">
        <f t="shared" si="1"/>
        <v>0</v>
      </c>
      <c r="E777">
        <f t="shared" si="2"/>
        <v>0</v>
      </c>
      <c r="F777" s="11"/>
    </row>
    <row r="778" spans="1:6" ht="16" x14ac:dyDescent="0.2">
      <c r="A778" s="12" t="s">
        <v>4352</v>
      </c>
      <c r="B778" s="13"/>
      <c r="C778" t="e">
        <f t="shared" si="0"/>
        <v>#N/A</v>
      </c>
      <c r="D778" t="b">
        <f t="shared" si="1"/>
        <v>0</v>
      </c>
      <c r="E778">
        <f t="shared" si="2"/>
        <v>0</v>
      </c>
      <c r="F778" s="11"/>
    </row>
    <row r="779" spans="1:6" ht="16" x14ac:dyDescent="0.2">
      <c r="A779" s="12" t="s">
        <v>4353</v>
      </c>
      <c r="B779" s="13"/>
      <c r="C779" t="e">
        <f t="shared" si="0"/>
        <v>#N/A</v>
      </c>
      <c r="D779" t="b">
        <f t="shared" si="1"/>
        <v>0</v>
      </c>
      <c r="E779">
        <f t="shared" si="2"/>
        <v>0</v>
      </c>
      <c r="F779" s="11"/>
    </row>
    <row r="780" spans="1:6" ht="16" x14ac:dyDescent="0.2">
      <c r="A780" s="12" t="s">
        <v>4354</v>
      </c>
      <c r="B780" s="13"/>
      <c r="C780" t="e">
        <f t="shared" si="0"/>
        <v>#N/A</v>
      </c>
      <c r="D780" t="b">
        <f t="shared" si="1"/>
        <v>0</v>
      </c>
      <c r="E780">
        <f t="shared" si="2"/>
        <v>0</v>
      </c>
      <c r="F780" s="11"/>
    </row>
    <row r="781" spans="1:6" ht="16" x14ac:dyDescent="0.2">
      <c r="A781" s="12" t="s">
        <v>4355</v>
      </c>
      <c r="B781" s="13"/>
      <c r="C781" t="e">
        <f t="shared" si="0"/>
        <v>#N/A</v>
      </c>
      <c r="D781" t="b">
        <f t="shared" si="1"/>
        <v>0</v>
      </c>
      <c r="E781">
        <f t="shared" si="2"/>
        <v>0</v>
      </c>
      <c r="F781" s="11"/>
    </row>
    <row r="782" spans="1:6" ht="16" x14ac:dyDescent="0.2">
      <c r="A782" s="12" t="s">
        <v>4356</v>
      </c>
      <c r="B782" s="13"/>
      <c r="C782" t="e">
        <f t="shared" si="0"/>
        <v>#N/A</v>
      </c>
      <c r="D782" t="b">
        <f t="shared" si="1"/>
        <v>0</v>
      </c>
      <c r="E782">
        <f t="shared" si="2"/>
        <v>0</v>
      </c>
      <c r="F782" s="11"/>
    </row>
    <row r="783" spans="1:6" ht="16" x14ac:dyDescent="0.2">
      <c r="A783" s="12" t="s">
        <v>4357</v>
      </c>
      <c r="B783" s="13"/>
      <c r="C783" t="e">
        <f t="shared" si="0"/>
        <v>#N/A</v>
      </c>
      <c r="D783" t="b">
        <f t="shared" si="1"/>
        <v>0</v>
      </c>
      <c r="E783">
        <f t="shared" si="2"/>
        <v>0</v>
      </c>
      <c r="F783" s="11"/>
    </row>
    <row r="784" spans="1:6" ht="16" x14ac:dyDescent="0.2">
      <c r="A784" s="12" t="s">
        <v>4358</v>
      </c>
      <c r="B784" s="13"/>
      <c r="C784" t="e">
        <f t="shared" si="0"/>
        <v>#N/A</v>
      </c>
      <c r="D784" t="b">
        <f t="shared" si="1"/>
        <v>0</v>
      </c>
      <c r="E784">
        <f t="shared" si="2"/>
        <v>0</v>
      </c>
      <c r="F784" s="11"/>
    </row>
    <row r="785" spans="1:6" ht="16" x14ac:dyDescent="0.2">
      <c r="A785" s="12" t="s">
        <v>4359</v>
      </c>
      <c r="B785" s="13"/>
      <c r="C785" t="e">
        <f t="shared" si="0"/>
        <v>#N/A</v>
      </c>
      <c r="D785" t="b">
        <f t="shared" si="1"/>
        <v>0</v>
      </c>
      <c r="E785">
        <f t="shared" si="2"/>
        <v>0</v>
      </c>
      <c r="F785" s="11"/>
    </row>
    <row r="786" spans="1:6" ht="16" x14ac:dyDescent="0.2">
      <c r="A786" s="12" t="s">
        <v>4360</v>
      </c>
      <c r="B786" s="13"/>
      <c r="C786" t="e">
        <f t="shared" si="0"/>
        <v>#N/A</v>
      </c>
      <c r="D786" t="b">
        <f t="shared" si="1"/>
        <v>0</v>
      </c>
      <c r="E786">
        <f t="shared" si="2"/>
        <v>0</v>
      </c>
      <c r="F786" s="11"/>
    </row>
    <row r="787" spans="1:6" ht="16" x14ac:dyDescent="0.2">
      <c r="A787" s="12" t="s">
        <v>4361</v>
      </c>
      <c r="B787" s="13"/>
      <c r="C787" t="e">
        <f t="shared" si="0"/>
        <v>#N/A</v>
      </c>
      <c r="D787" t="b">
        <f t="shared" si="1"/>
        <v>0</v>
      </c>
      <c r="E787">
        <f t="shared" si="2"/>
        <v>0</v>
      </c>
      <c r="F787" s="11"/>
    </row>
    <row r="788" spans="1:6" ht="16" x14ac:dyDescent="0.2">
      <c r="A788" s="12" t="s">
        <v>4362</v>
      </c>
      <c r="B788" s="13"/>
      <c r="C788" t="e">
        <f t="shared" si="0"/>
        <v>#N/A</v>
      </c>
      <c r="D788" t="b">
        <f t="shared" si="1"/>
        <v>0</v>
      </c>
      <c r="E788">
        <f t="shared" si="2"/>
        <v>0</v>
      </c>
      <c r="F788" s="11"/>
    </row>
    <row r="789" spans="1:6" ht="16" x14ac:dyDescent="0.2">
      <c r="A789" s="12" t="s">
        <v>4363</v>
      </c>
      <c r="B789" s="13"/>
      <c r="C789" t="e">
        <f t="shared" si="0"/>
        <v>#N/A</v>
      </c>
      <c r="D789" t="b">
        <f t="shared" si="1"/>
        <v>0</v>
      </c>
      <c r="E789">
        <f t="shared" si="2"/>
        <v>0</v>
      </c>
      <c r="F789" s="11"/>
    </row>
    <row r="790" spans="1:6" ht="16" x14ac:dyDescent="0.2">
      <c r="A790" s="12" t="s">
        <v>4364</v>
      </c>
      <c r="B790" s="13"/>
      <c r="C790" t="e">
        <f t="shared" si="0"/>
        <v>#N/A</v>
      </c>
      <c r="D790" t="b">
        <f t="shared" si="1"/>
        <v>0</v>
      </c>
      <c r="E790">
        <f t="shared" si="2"/>
        <v>0</v>
      </c>
      <c r="F790" s="11"/>
    </row>
    <row r="791" spans="1:6" ht="16" x14ac:dyDescent="0.2">
      <c r="A791" s="12" t="s">
        <v>4365</v>
      </c>
      <c r="B791" s="13"/>
      <c r="C791" t="e">
        <f t="shared" si="0"/>
        <v>#N/A</v>
      </c>
      <c r="D791" t="b">
        <f t="shared" si="1"/>
        <v>0</v>
      </c>
      <c r="E791">
        <f t="shared" si="2"/>
        <v>0</v>
      </c>
      <c r="F791" s="11"/>
    </row>
    <row r="792" spans="1:6" ht="16" x14ac:dyDescent="0.2">
      <c r="A792" s="12" t="s">
        <v>4366</v>
      </c>
      <c r="B792" s="13"/>
      <c r="C792" t="e">
        <f t="shared" si="0"/>
        <v>#N/A</v>
      </c>
      <c r="D792" t="b">
        <f t="shared" si="1"/>
        <v>0</v>
      </c>
      <c r="E792">
        <f t="shared" si="2"/>
        <v>0</v>
      </c>
      <c r="F792" s="11"/>
    </row>
    <row r="793" spans="1:6" ht="16" x14ac:dyDescent="0.2">
      <c r="A793" s="12" t="s">
        <v>4367</v>
      </c>
      <c r="B793" s="13"/>
      <c r="C793" t="e">
        <f t="shared" si="0"/>
        <v>#N/A</v>
      </c>
      <c r="D793" t="b">
        <f t="shared" si="1"/>
        <v>0</v>
      </c>
      <c r="E793">
        <f t="shared" si="2"/>
        <v>0</v>
      </c>
      <c r="F793" s="11"/>
    </row>
    <row r="794" spans="1:6" ht="16" x14ac:dyDescent="0.2">
      <c r="A794" s="12" t="s">
        <v>4368</v>
      </c>
      <c r="B794" s="13"/>
      <c r="C794" t="e">
        <f t="shared" si="0"/>
        <v>#N/A</v>
      </c>
      <c r="D794" t="b">
        <f t="shared" si="1"/>
        <v>0</v>
      </c>
      <c r="E794">
        <f t="shared" si="2"/>
        <v>0</v>
      </c>
      <c r="F794" s="11"/>
    </row>
    <row r="795" spans="1:6" ht="16" x14ac:dyDescent="0.2">
      <c r="A795" s="12" t="s">
        <v>4369</v>
      </c>
      <c r="B795" s="13"/>
      <c r="C795" t="e">
        <f t="shared" si="0"/>
        <v>#N/A</v>
      </c>
      <c r="D795" t="b">
        <f t="shared" si="1"/>
        <v>0</v>
      </c>
      <c r="E795">
        <f t="shared" si="2"/>
        <v>0</v>
      </c>
      <c r="F795" s="11"/>
    </row>
    <row r="796" spans="1:6" ht="16" x14ac:dyDescent="0.2">
      <c r="A796" s="12" t="s">
        <v>4370</v>
      </c>
      <c r="B796" s="13"/>
      <c r="C796" t="e">
        <f t="shared" si="0"/>
        <v>#N/A</v>
      </c>
      <c r="D796" t="b">
        <f t="shared" si="1"/>
        <v>0</v>
      </c>
      <c r="E796">
        <f t="shared" si="2"/>
        <v>0</v>
      </c>
      <c r="F796" s="11"/>
    </row>
    <row r="797" spans="1:6" ht="16" x14ac:dyDescent="0.2">
      <c r="A797" s="12" t="s">
        <v>4371</v>
      </c>
      <c r="B797" s="13"/>
      <c r="C797" t="e">
        <f t="shared" si="0"/>
        <v>#N/A</v>
      </c>
      <c r="D797" t="b">
        <f t="shared" si="1"/>
        <v>0</v>
      </c>
      <c r="E797">
        <f t="shared" si="2"/>
        <v>0</v>
      </c>
      <c r="F797" s="11"/>
    </row>
    <row r="798" spans="1:6" ht="16" x14ac:dyDescent="0.2">
      <c r="A798" s="12" t="s">
        <v>4372</v>
      </c>
      <c r="B798" s="13"/>
      <c r="C798" t="e">
        <f t="shared" si="0"/>
        <v>#N/A</v>
      </c>
      <c r="D798" t="b">
        <f t="shared" si="1"/>
        <v>0</v>
      </c>
      <c r="E798">
        <f t="shared" si="2"/>
        <v>0</v>
      </c>
      <c r="F798" s="11"/>
    </row>
    <row r="799" spans="1:6" ht="16" x14ac:dyDescent="0.2">
      <c r="A799" s="12" t="s">
        <v>4373</v>
      </c>
      <c r="B799" s="13"/>
      <c r="C799" t="e">
        <f t="shared" si="0"/>
        <v>#N/A</v>
      </c>
      <c r="D799" t="b">
        <f t="shared" si="1"/>
        <v>0</v>
      </c>
      <c r="E799">
        <f t="shared" si="2"/>
        <v>0</v>
      </c>
      <c r="F799" s="11"/>
    </row>
    <row r="800" spans="1:6" ht="16" x14ac:dyDescent="0.2">
      <c r="A800" s="12" t="s">
        <v>4374</v>
      </c>
      <c r="B800" s="13"/>
      <c r="C800" t="e">
        <f t="shared" si="0"/>
        <v>#N/A</v>
      </c>
      <c r="D800" t="b">
        <f t="shared" si="1"/>
        <v>0</v>
      </c>
      <c r="E800">
        <f t="shared" si="2"/>
        <v>0</v>
      </c>
      <c r="F800" s="11"/>
    </row>
    <row r="801" spans="1:6" ht="16" x14ac:dyDescent="0.2">
      <c r="A801" s="12" t="s">
        <v>4375</v>
      </c>
      <c r="B801" s="13"/>
      <c r="C801" t="e">
        <f t="shared" si="0"/>
        <v>#N/A</v>
      </c>
      <c r="D801" t="b">
        <f t="shared" si="1"/>
        <v>0</v>
      </c>
      <c r="E801">
        <f t="shared" si="2"/>
        <v>0</v>
      </c>
      <c r="F801" s="11"/>
    </row>
    <row r="802" spans="1:6" ht="16" x14ac:dyDescent="0.2">
      <c r="A802" s="12" t="s">
        <v>4376</v>
      </c>
      <c r="B802" s="13"/>
      <c r="C802" t="e">
        <f t="shared" si="0"/>
        <v>#N/A</v>
      </c>
      <c r="D802" t="b">
        <f t="shared" si="1"/>
        <v>0</v>
      </c>
      <c r="E802">
        <f t="shared" si="2"/>
        <v>0</v>
      </c>
      <c r="F802" s="11"/>
    </row>
    <row r="803" spans="1:6" ht="16" x14ac:dyDescent="0.2">
      <c r="A803" s="12" t="s">
        <v>4377</v>
      </c>
      <c r="B803" s="13"/>
      <c r="C803" t="e">
        <f t="shared" si="0"/>
        <v>#N/A</v>
      </c>
      <c r="D803" t="b">
        <f t="shared" si="1"/>
        <v>0</v>
      </c>
      <c r="E803">
        <f t="shared" si="2"/>
        <v>0</v>
      </c>
      <c r="F803" s="11"/>
    </row>
    <row r="804" spans="1:6" ht="16" x14ac:dyDescent="0.2">
      <c r="A804" s="12" t="s">
        <v>4378</v>
      </c>
      <c r="B804" s="13"/>
      <c r="C804" t="e">
        <f t="shared" si="0"/>
        <v>#N/A</v>
      </c>
      <c r="D804" t="b">
        <f t="shared" si="1"/>
        <v>0</v>
      </c>
      <c r="E804">
        <f t="shared" si="2"/>
        <v>0</v>
      </c>
      <c r="F804" s="11"/>
    </row>
    <row r="805" spans="1:6" ht="16" x14ac:dyDescent="0.2">
      <c r="A805" s="12" t="s">
        <v>4379</v>
      </c>
      <c r="B805" s="13"/>
      <c r="C805" t="e">
        <f t="shared" si="0"/>
        <v>#N/A</v>
      </c>
      <c r="D805" t="b">
        <f t="shared" si="1"/>
        <v>0</v>
      </c>
      <c r="E805">
        <f t="shared" si="2"/>
        <v>0</v>
      </c>
      <c r="F805" s="11"/>
    </row>
    <row r="806" spans="1:6" ht="16" x14ac:dyDescent="0.2">
      <c r="A806" s="12" t="s">
        <v>4380</v>
      </c>
      <c r="B806" s="13"/>
      <c r="C806" t="e">
        <f t="shared" si="0"/>
        <v>#N/A</v>
      </c>
      <c r="D806" t="b">
        <f t="shared" si="1"/>
        <v>0</v>
      </c>
      <c r="E806">
        <f t="shared" si="2"/>
        <v>0</v>
      </c>
      <c r="F806" s="11"/>
    </row>
    <row r="807" spans="1:6" ht="16" x14ac:dyDescent="0.2">
      <c r="A807" s="12" t="s">
        <v>4381</v>
      </c>
      <c r="B807" s="13"/>
      <c r="C807" t="e">
        <f t="shared" si="0"/>
        <v>#N/A</v>
      </c>
      <c r="D807" t="b">
        <f t="shared" si="1"/>
        <v>0</v>
      </c>
      <c r="E807">
        <f t="shared" si="2"/>
        <v>0</v>
      </c>
      <c r="F807" s="11"/>
    </row>
    <row r="808" spans="1:6" ht="16" x14ac:dyDescent="0.2">
      <c r="A808" s="12" t="s">
        <v>4382</v>
      </c>
      <c r="B808" s="13"/>
      <c r="C808" t="e">
        <f t="shared" si="0"/>
        <v>#N/A</v>
      </c>
      <c r="D808" t="b">
        <f t="shared" si="1"/>
        <v>0</v>
      </c>
      <c r="E808">
        <f t="shared" si="2"/>
        <v>0</v>
      </c>
      <c r="F808" s="11"/>
    </row>
    <row r="809" spans="1:6" ht="16" x14ac:dyDescent="0.2">
      <c r="A809" s="12" t="s">
        <v>4383</v>
      </c>
      <c r="B809" s="13"/>
      <c r="C809" t="e">
        <f t="shared" si="0"/>
        <v>#N/A</v>
      </c>
      <c r="D809" t="b">
        <f t="shared" si="1"/>
        <v>0</v>
      </c>
      <c r="E809">
        <f t="shared" si="2"/>
        <v>0</v>
      </c>
      <c r="F809" s="11"/>
    </row>
    <row r="810" spans="1:6" ht="16" x14ac:dyDescent="0.2">
      <c r="A810" s="12" t="s">
        <v>4384</v>
      </c>
      <c r="B810" s="13"/>
      <c r="C810" t="e">
        <f t="shared" si="0"/>
        <v>#N/A</v>
      </c>
      <c r="D810" t="b">
        <f t="shared" si="1"/>
        <v>0</v>
      </c>
      <c r="E810">
        <f t="shared" si="2"/>
        <v>0</v>
      </c>
      <c r="F810" s="11"/>
    </row>
    <row r="811" spans="1:6" ht="16" x14ac:dyDescent="0.2">
      <c r="A811" s="12" t="s">
        <v>4385</v>
      </c>
      <c r="B811" s="13"/>
      <c r="C811" t="e">
        <f t="shared" si="0"/>
        <v>#N/A</v>
      </c>
      <c r="D811" t="b">
        <f t="shared" si="1"/>
        <v>0</v>
      </c>
      <c r="E811">
        <f t="shared" si="2"/>
        <v>0</v>
      </c>
      <c r="F811" s="11"/>
    </row>
    <row r="812" spans="1:6" ht="16" x14ac:dyDescent="0.2">
      <c r="A812" s="12" t="s">
        <v>4386</v>
      </c>
      <c r="B812" s="13"/>
      <c r="C812" t="e">
        <f t="shared" si="0"/>
        <v>#N/A</v>
      </c>
      <c r="D812" t="b">
        <f t="shared" si="1"/>
        <v>0</v>
      </c>
      <c r="E812">
        <f t="shared" si="2"/>
        <v>0</v>
      </c>
      <c r="F812" s="11"/>
    </row>
    <row r="813" spans="1:6" ht="16" x14ac:dyDescent="0.2">
      <c r="A813" s="12" t="s">
        <v>4387</v>
      </c>
      <c r="B813" s="13"/>
      <c r="C813" t="e">
        <f t="shared" si="0"/>
        <v>#N/A</v>
      </c>
      <c r="D813" t="b">
        <f t="shared" si="1"/>
        <v>0</v>
      </c>
      <c r="E813">
        <f t="shared" si="2"/>
        <v>0</v>
      </c>
      <c r="F813" s="11"/>
    </row>
    <row r="814" spans="1:6" ht="16" x14ac:dyDescent="0.2">
      <c r="A814" s="12" t="s">
        <v>4388</v>
      </c>
      <c r="B814" s="13"/>
      <c r="C814" t="e">
        <f t="shared" si="0"/>
        <v>#N/A</v>
      </c>
      <c r="D814" t="b">
        <f t="shared" si="1"/>
        <v>0</v>
      </c>
      <c r="E814">
        <f t="shared" si="2"/>
        <v>0</v>
      </c>
      <c r="F814" s="11"/>
    </row>
    <row r="815" spans="1:6" ht="16" x14ac:dyDescent="0.2">
      <c r="A815" s="12" t="s">
        <v>4389</v>
      </c>
      <c r="B815" s="13"/>
      <c r="C815" t="e">
        <f t="shared" si="0"/>
        <v>#N/A</v>
      </c>
      <c r="D815" t="b">
        <f t="shared" si="1"/>
        <v>0</v>
      </c>
      <c r="E815">
        <f t="shared" si="2"/>
        <v>0</v>
      </c>
      <c r="F815" s="11"/>
    </row>
    <row r="816" spans="1:6" ht="16" x14ac:dyDescent="0.2">
      <c r="A816" s="12" t="s">
        <v>4390</v>
      </c>
      <c r="B816" s="13"/>
      <c r="C816" t="e">
        <f t="shared" si="0"/>
        <v>#N/A</v>
      </c>
      <c r="D816" t="b">
        <f t="shared" si="1"/>
        <v>0</v>
      </c>
      <c r="E816">
        <f t="shared" si="2"/>
        <v>0</v>
      </c>
      <c r="F816" s="11"/>
    </row>
    <row r="817" spans="1:6" ht="16" x14ac:dyDescent="0.2">
      <c r="A817" s="12" t="s">
        <v>4391</v>
      </c>
      <c r="B817" s="13"/>
      <c r="C817" t="e">
        <f t="shared" si="0"/>
        <v>#N/A</v>
      </c>
      <c r="D817" t="b">
        <f t="shared" si="1"/>
        <v>0</v>
      </c>
      <c r="E817">
        <f t="shared" si="2"/>
        <v>0</v>
      </c>
      <c r="F817" s="11"/>
    </row>
    <row r="818" spans="1:6" ht="16" x14ac:dyDescent="0.2">
      <c r="A818" s="12" t="s">
        <v>4392</v>
      </c>
      <c r="B818" s="13"/>
      <c r="C818" t="e">
        <f t="shared" si="0"/>
        <v>#N/A</v>
      </c>
      <c r="D818" t="b">
        <f t="shared" si="1"/>
        <v>0</v>
      </c>
      <c r="E818">
        <f t="shared" si="2"/>
        <v>0</v>
      </c>
      <c r="F818" s="11"/>
    </row>
    <row r="819" spans="1:6" ht="16" x14ac:dyDescent="0.2">
      <c r="A819" s="12" t="s">
        <v>4393</v>
      </c>
      <c r="B819" s="13"/>
      <c r="C819" t="e">
        <f t="shared" si="0"/>
        <v>#N/A</v>
      </c>
      <c r="D819" t="b">
        <f t="shared" si="1"/>
        <v>0</v>
      </c>
      <c r="E819">
        <f t="shared" si="2"/>
        <v>0</v>
      </c>
      <c r="F819" s="11"/>
    </row>
    <row r="820" spans="1:6" ht="16" x14ac:dyDescent="0.2">
      <c r="A820" s="12" t="s">
        <v>4394</v>
      </c>
      <c r="B820" s="13"/>
      <c r="C820" t="e">
        <f t="shared" si="0"/>
        <v>#N/A</v>
      </c>
      <c r="D820" t="b">
        <f t="shared" si="1"/>
        <v>0</v>
      </c>
      <c r="E820">
        <f t="shared" si="2"/>
        <v>0</v>
      </c>
      <c r="F820" s="11"/>
    </row>
    <row r="821" spans="1:6" ht="16" x14ac:dyDescent="0.2">
      <c r="A821" s="12" t="s">
        <v>4395</v>
      </c>
      <c r="B821" s="13"/>
      <c r="C821" t="e">
        <f t="shared" si="0"/>
        <v>#N/A</v>
      </c>
      <c r="D821" t="b">
        <f t="shared" si="1"/>
        <v>0</v>
      </c>
      <c r="E821">
        <f t="shared" si="2"/>
        <v>0</v>
      </c>
      <c r="F821" s="11"/>
    </row>
    <row r="822" spans="1:6" ht="16" x14ac:dyDescent="0.2">
      <c r="A822" s="12" t="s">
        <v>4396</v>
      </c>
      <c r="B822" s="13"/>
      <c r="C822" t="e">
        <f t="shared" si="0"/>
        <v>#N/A</v>
      </c>
      <c r="D822" t="b">
        <f t="shared" si="1"/>
        <v>0</v>
      </c>
      <c r="E822">
        <f t="shared" si="2"/>
        <v>0</v>
      </c>
      <c r="F822" s="11"/>
    </row>
    <row r="823" spans="1:6" ht="16" x14ac:dyDescent="0.2">
      <c r="A823" s="12" t="s">
        <v>4397</v>
      </c>
      <c r="B823" s="13"/>
      <c r="C823" t="e">
        <f t="shared" si="0"/>
        <v>#N/A</v>
      </c>
      <c r="D823" t="b">
        <f t="shared" si="1"/>
        <v>0</v>
      </c>
      <c r="E823">
        <f t="shared" si="2"/>
        <v>0</v>
      </c>
      <c r="F823" s="11"/>
    </row>
    <row r="824" spans="1:6" ht="16" x14ac:dyDescent="0.2">
      <c r="A824" s="12" t="s">
        <v>4398</v>
      </c>
      <c r="B824" s="13"/>
      <c r="C824" t="e">
        <f t="shared" si="0"/>
        <v>#N/A</v>
      </c>
      <c r="D824" t="b">
        <f t="shared" si="1"/>
        <v>0</v>
      </c>
      <c r="E824">
        <f t="shared" si="2"/>
        <v>0</v>
      </c>
      <c r="F824" s="11"/>
    </row>
    <row r="825" spans="1:6" ht="16" x14ac:dyDescent="0.2">
      <c r="A825" s="12" t="s">
        <v>4399</v>
      </c>
      <c r="B825" s="13"/>
      <c r="C825" t="e">
        <f t="shared" si="0"/>
        <v>#N/A</v>
      </c>
      <c r="D825" t="b">
        <f t="shared" si="1"/>
        <v>0</v>
      </c>
      <c r="E825">
        <f t="shared" si="2"/>
        <v>0</v>
      </c>
      <c r="F825" s="11"/>
    </row>
    <row r="826" spans="1:6" ht="16" x14ac:dyDescent="0.2">
      <c r="A826" s="12" t="s">
        <v>4400</v>
      </c>
      <c r="B826" s="13"/>
      <c r="C826" t="e">
        <f t="shared" si="0"/>
        <v>#N/A</v>
      </c>
      <c r="D826" t="b">
        <f t="shared" si="1"/>
        <v>0</v>
      </c>
      <c r="E826">
        <f t="shared" si="2"/>
        <v>0</v>
      </c>
      <c r="F826" s="11"/>
    </row>
    <row r="827" spans="1:6" ht="16" x14ac:dyDescent="0.2">
      <c r="A827" s="12" t="s">
        <v>4401</v>
      </c>
      <c r="B827" s="13"/>
      <c r="C827" t="e">
        <f t="shared" si="0"/>
        <v>#N/A</v>
      </c>
      <c r="D827" t="b">
        <f t="shared" si="1"/>
        <v>0</v>
      </c>
      <c r="E827">
        <f t="shared" si="2"/>
        <v>0</v>
      </c>
      <c r="F827" s="11"/>
    </row>
    <row r="828" spans="1:6" ht="16" x14ac:dyDescent="0.2">
      <c r="A828" s="12" t="s">
        <v>4402</v>
      </c>
      <c r="B828" s="13"/>
      <c r="C828" t="e">
        <f t="shared" si="0"/>
        <v>#N/A</v>
      </c>
      <c r="D828" t="b">
        <f t="shared" si="1"/>
        <v>0</v>
      </c>
      <c r="E828">
        <f t="shared" si="2"/>
        <v>0</v>
      </c>
      <c r="F828" s="11"/>
    </row>
    <row r="829" spans="1:6" ht="16" x14ac:dyDescent="0.2">
      <c r="A829" s="12" t="s">
        <v>4403</v>
      </c>
      <c r="B829" s="13"/>
      <c r="C829" t="e">
        <f t="shared" si="0"/>
        <v>#N/A</v>
      </c>
      <c r="D829" t="b">
        <f t="shared" si="1"/>
        <v>0</v>
      </c>
      <c r="E829">
        <f t="shared" si="2"/>
        <v>0</v>
      </c>
      <c r="F829" s="11"/>
    </row>
    <row r="830" spans="1:6" ht="16" x14ac:dyDescent="0.2">
      <c r="A830" s="12" t="s">
        <v>4404</v>
      </c>
      <c r="B830" s="13"/>
      <c r="C830" t="e">
        <f t="shared" si="0"/>
        <v>#N/A</v>
      </c>
      <c r="D830" t="b">
        <f t="shared" si="1"/>
        <v>0</v>
      </c>
      <c r="E830">
        <f t="shared" si="2"/>
        <v>0</v>
      </c>
      <c r="F830" s="11"/>
    </row>
    <row r="831" spans="1:6" ht="16" x14ac:dyDescent="0.2">
      <c r="A831" s="12" t="s">
        <v>4405</v>
      </c>
      <c r="B831" s="13"/>
      <c r="C831" t="e">
        <f t="shared" si="0"/>
        <v>#N/A</v>
      </c>
      <c r="D831" t="b">
        <f t="shared" si="1"/>
        <v>0</v>
      </c>
      <c r="E831">
        <f t="shared" si="2"/>
        <v>0</v>
      </c>
      <c r="F831" s="11"/>
    </row>
    <row r="832" spans="1:6" ht="16" x14ac:dyDescent="0.2">
      <c r="A832" s="12" t="s">
        <v>4406</v>
      </c>
      <c r="B832" s="13"/>
      <c r="C832" t="e">
        <f t="shared" si="0"/>
        <v>#N/A</v>
      </c>
      <c r="D832" t="b">
        <f t="shared" si="1"/>
        <v>0</v>
      </c>
      <c r="E832">
        <f t="shared" si="2"/>
        <v>0</v>
      </c>
      <c r="F832" s="11"/>
    </row>
    <row r="833" spans="1:6" ht="16" x14ac:dyDescent="0.2">
      <c r="A833" s="12" t="s">
        <v>4407</v>
      </c>
      <c r="B833" s="13"/>
      <c r="C833" t="e">
        <f t="shared" si="0"/>
        <v>#N/A</v>
      </c>
      <c r="D833" t="b">
        <f t="shared" si="1"/>
        <v>0</v>
      </c>
      <c r="E833">
        <f t="shared" si="2"/>
        <v>0</v>
      </c>
      <c r="F833" s="11"/>
    </row>
    <row r="834" spans="1:6" ht="16" x14ac:dyDescent="0.2">
      <c r="A834" s="12" t="s">
        <v>4408</v>
      </c>
      <c r="B834" s="13"/>
      <c r="C834" t="e">
        <f t="shared" si="0"/>
        <v>#N/A</v>
      </c>
      <c r="D834" t="b">
        <f t="shared" si="1"/>
        <v>0</v>
      </c>
      <c r="E834">
        <f t="shared" si="2"/>
        <v>0</v>
      </c>
      <c r="F834" s="11"/>
    </row>
    <row r="835" spans="1:6" ht="16" x14ac:dyDescent="0.2">
      <c r="A835" s="12" t="s">
        <v>4409</v>
      </c>
      <c r="B835" s="13"/>
      <c r="C835" t="e">
        <f t="shared" si="0"/>
        <v>#N/A</v>
      </c>
      <c r="D835" t="b">
        <f t="shared" si="1"/>
        <v>0</v>
      </c>
      <c r="E835">
        <f t="shared" si="2"/>
        <v>0</v>
      </c>
      <c r="F835" s="11"/>
    </row>
    <row r="836" spans="1:6" ht="16" x14ac:dyDescent="0.2">
      <c r="A836" s="12" t="s">
        <v>4410</v>
      </c>
      <c r="B836" s="13"/>
      <c r="C836" t="e">
        <f t="shared" si="0"/>
        <v>#N/A</v>
      </c>
      <c r="D836" t="b">
        <f t="shared" si="1"/>
        <v>0</v>
      </c>
      <c r="E836">
        <f t="shared" si="2"/>
        <v>0</v>
      </c>
      <c r="F836" s="11"/>
    </row>
    <row r="837" spans="1:6" ht="16" x14ac:dyDescent="0.2">
      <c r="A837" s="12" t="s">
        <v>4411</v>
      </c>
      <c r="B837" s="13"/>
      <c r="C837" t="e">
        <f t="shared" si="0"/>
        <v>#N/A</v>
      </c>
      <c r="D837" t="b">
        <f t="shared" si="1"/>
        <v>0</v>
      </c>
      <c r="E837">
        <f t="shared" si="2"/>
        <v>0</v>
      </c>
      <c r="F837" s="11"/>
    </row>
    <row r="838" spans="1:6" ht="16" x14ac:dyDescent="0.2">
      <c r="A838" s="12" t="s">
        <v>4412</v>
      </c>
      <c r="B838" s="13"/>
      <c r="C838" t="e">
        <f t="shared" si="0"/>
        <v>#N/A</v>
      </c>
      <c r="D838" t="b">
        <f t="shared" si="1"/>
        <v>0</v>
      </c>
      <c r="E838">
        <f t="shared" si="2"/>
        <v>0</v>
      </c>
      <c r="F838" s="11"/>
    </row>
    <row r="839" spans="1:6" ht="16" x14ac:dyDescent="0.2">
      <c r="A839" s="12" t="s">
        <v>4413</v>
      </c>
      <c r="B839" s="13"/>
      <c r="C839" t="e">
        <f t="shared" si="0"/>
        <v>#N/A</v>
      </c>
      <c r="D839" t="b">
        <f t="shared" si="1"/>
        <v>0</v>
      </c>
      <c r="E839">
        <f t="shared" si="2"/>
        <v>0</v>
      </c>
      <c r="F839" s="11"/>
    </row>
    <row r="840" spans="1:6" ht="16" x14ac:dyDescent="0.2">
      <c r="A840" s="12" t="s">
        <v>4414</v>
      </c>
      <c r="B840" s="13"/>
      <c r="C840" t="e">
        <f t="shared" si="0"/>
        <v>#N/A</v>
      </c>
      <c r="D840" t="b">
        <f t="shared" si="1"/>
        <v>0</v>
      </c>
      <c r="E840">
        <f t="shared" si="2"/>
        <v>0</v>
      </c>
      <c r="F840" s="11"/>
    </row>
    <row r="841" spans="1:6" ht="16" x14ac:dyDescent="0.2">
      <c r="A841" s="12" t="s">
        <v>4415</v>
      </c>
      <c r="B841" s="13"/>
      <c r="C841" t="e">
        <f t="shared" si="0"/>
        <v>#N/A</v>
      </c>
      <c r="D841" t="b">
        <f t="shared" si="1"/>
        <v>0</v>
      </c>
      <c r="E841">
        <f t="shared" si="2"/>
        <v>0</v>
      </c>
      <c r="F841" s="11"/>
    </row>
    <row r="842" spans="1:6" ht="16" x14ac:dyDescent="0.2">
      <c r="A842" s="12" t="s">
        <v>4416</v>
      </c>
      <c r="B842" s="13"/>
      <c r="C842" t="e">
        <f t="shared" si="0"/>
        <v>#N/A</v>
      </c>
      <c r="D842" t="b">
        <f t="shared" si="1"/>
        <v>0</v>
      </c>
      <c r="E842">
        <f t="shared" si="2"/>
        <v>0</v>
      </c>
      <c r="F842" s="11"/>
    </row>
    <row r="843" spans="1:6" ht="16" x14ac:dyDescent="0.2">
      <c r="A843" s="12" t="s">
        <v>4417</v>
      </c>
      <c r="B843" s="13"/>
      <c r="C843" t="e">
        <f t="shared" si="0"/>
        <v>#N/A</v>
      </c>
      <c r="D843" t="b">
        <f t="shared" si="1"/>
        <v>0</v>
      </c>
      <c r="E843">
        <f t="shared" si="2"/>
        <v>0</v>
      </c>
      <c r="F843" s="11"/>
    </row>
    <row r="844" spans="1:6" ht="16" x14ac:dyDescent="0.2">
      <c r="A844" s="12" t="s">
        <v>4418</v>
      </c>
      <c r="B844" s="13"/>
      <c r="C844" t="e">
        <f t="shared" si="0"/>
        <v>#N/A</v>
      </c>
      <c r="D844" t="b">
        <f t="shared" si="1"/>
        <v>0</v>
      </c>
      <c r="E844">
        <f t="shared" si="2"/>
        <v>0</v>
      </c>
      <c r="F844" s="11"/>
    </row>
    <row r="845" spans="1:6" ht="16" x14ac:dyDescent="0.2">
      <c r="A845" s="12" t="s">
        <v>4419</v>
      </c>
      <c r="B845" s="13"/>
      <c r="C845" t="e">
        <f t="shared" si="0"/>
        <v>#N/A</v>
      </c>
      <c r="D845" t="b">
        <f t="shared" si="1"/>
        <v>0</v>
      </c>
      <c r="E845">
        <f t="shared" si="2"/>
        <v>0</v>
      </c>
      <c r="F845" s="11"/>
    </row>
    <row r="846" spans="1:6" ht="16" x14ac:dyDescent="0.2">
      <c r="A846" s="12" t="s">
        <v>4420</v>
      </c>
      <c r="B846" s="13"/>
      <c r="C846" t="e">
        <f t="shared" si="0"/>
        <v>#N/A</v>
      </c>
      <c r="D846" t="b">
        <f t="shared" si="1"/>
        <v>0</v>
      </c>
      <c r="E846">
        <f t="shared" si="2"/>
        <v>0</v>
      </c>
      <c r="F846" s="11"/>
    </row>
    <row r="847" spans="1:6" ht="16" x14ac:dyDescent="0.2">
      <c r="A847" s="12" t="s">
        <v>4421</v>
      </c>
      <c r="B847" s="13"/>
      <c r="C847" t="e">
        <f t="shared" si="0"/>
        <v>#N/A</v>
      </c>
      <c r="D847" t="b">
        <f t="shared" si="1"/>
        <v>0</v>
      </c>
      <c r="E847">
        <f t="shared" si="2"/>
        <v>0</v>
      </c>
      <c r="F847" s="11"/>
    </row>
    <row r="848" spans="1:6" ht="16" x14ac:dyDescent="0.2">
      <c r="A848" s="12" t="s">
        <v>4422</v>
      </c>
      <c r="B848" s="13"/>
      <c r="C848" t="e">
        <f t="shared" si="0"/>
        <v>#N/A</v>
      </c>
      <c r="D848" t="b">
        <f t="shared" si="1"/>
        <v>0</v>
      </c>
      <c r="E848">
        <f t="shared" si="2"/>
        <v>0</v>
      </c>
      <c r="F848" s="11"/>
    </row>
    <row r="849" spans="1:6" ht="16" x14ac:dyDescent="0.2">
      <c r="A849" s="12" t="s">
        <v>4423</v>
      </c>
      <c r="B849" s="13"/>
      <c r="C849" t="e">
        <f t="shared" si="0"/>
        <v>#N/A</v>
      </c>
      <c r="D849" t="b">
        <f t="shared" si="1"/>
        <v>0</v>
      </c>
      <c r="E849">
        <f t="shared" si="2"/>
        <v>0</v>
      </c>
      <c r="F849" s="11"/>
    </row>
    <row r="850" spans="1:6" ht="16" x14ac:dyDescent="0.2">
      <c r="A850" s="12" t="s">
        <v>4424</v>
      </c>
      <c r="B850" s="13"/>
      <c r="C850" t="e">
        <f t="shared" si="0"/>
        <v>#N/A</v>
      </c>
      <c r="D850" t="b">
        <f t="shared" si="1"/>
        <v>0</v>
      </c>
      <c r="E850">
        <f t="shared" si="2"/>
        <v>0</v>
      </c>
      <c r="F850" s="11"/>
    </row>
    <row r="851" spans="1:6" ht="16" x14ac:dyDescent="0.2">
      <c r="A851" s="12" t="s">
        <v>4425</v>
      </c>
      <c r="B851" s="13"/>
      <c r="C851" t="e">
        <f t="shared" si="0"/>
        <v>#N/A</v>
      </c>
      <c r="D851" t="b">
        <f t="shared" si="1"/>
        <v>0</v>
      </c>
      <c r="E851">
        <f t="shared" si="2"/>
        <v>0</v>
      </c>
      <c r="F851" s="11"/>
    </row>
    <row r="852" spans="1:6" ht="16" x14ac:dyDescent="0.2">
      <c r="A852" s="12" t="s">
        <v>4426</v>
      </c>
      <c r="B852" s="13"/>
      <c r="C852" t="e">
        <f t="shared" si="0"/>
        <v>#N/A</v>
      </c>
      <c r="D852" t="b">
        <f t="shared" si="1"/>
        <v>0</v>
      </c>
      <c r="E852">
        <f t="shared" si="2"/>
        <v>0</v>
      </c>
      <c r="F852" s="11"/>
    </row>
    <row r="853" spans="1:6" ht="16" x14ac:dyDescent="0.2">
      <c r="A853" s="12" t="s">
        <v>4427</v>
      </c>
      <c r="B853" s="13"/>
      <c r="C853" t="e">
        <f t="shared" si="0"/>
        <v>#N/A</v>
      </c>
      <c r="D853" t="b">
        <f t="shared" si="1"/>
        <v>0</v>
      </c>
      <c r="E853">
        <f t="shared" si="2"/>
        <v>0</v>
      </c>
      <c r="F853" s="11"/>
    </row>
    <row r="854" spans="1:6" ht="16" x14ac:dyDescent="0.2">
      <c r="A854" s="12" t="s">
        <v>4428</v>
      </c>
      <c r="B854" s="13"/>
      <c r="C854" t="e">
        <f t="shared" si="0"/>
        <v>#N/A</v>
      </c>
      <c r="D854" t="b">
        <f t="shared" si="1"/>
        <v>0</v>
      </c>
      <c r="E854">
        <f t="shared" si="2"/>
        <v>0</v>
      </c>
      <c r="F854" s="11"/>
    </row>
    <row r="855" spans="1:6" ht="16" x14ac:dyDescent="0.2">
      <c r="A855" s="12" t="s">
        <v>4429</v>
      </c>
      <c r="B855" s="13"/>
      <c r="C855" t="e">
        <f t="shared" si="0"/>
        <v>#N/A</v>
      </c>
      <c r="D855" t="b">
        <f t="shared" si="1"/>
        <v>0</v>
      </c>
      <c r="E855">
        <f t="shared" si="2"/>
        <v>0</v>
      </c>
      <c r="F855" s="11"/>
    </row>
    <row r="856" spans="1:6" ht="16" x14ac:dyDescent="0.2">
      <c r="A856" s="12" t="s">
        <v>4430</v>
      </c>
      <c r="B856" s="13"/>
      <c r="C856" t="e">
        <f t="shared" si="0"/>
        <v>#N/A</v>
      </c>
      <c r="D856" t="b">
        <f t="shared" si="1"/>
        <v>0</v>
      </c>
      <c r="E856">
        <f t="shared" si="2"/>
        <v>0</v>
      </c>
      <c r="F856" s="11"/>
    </row>
    <row r="857" spans="1:6" ht="16" x14ac:dyDescent="0.2">
      <c r="A857" s="12" t="s">
        <v>4431</v>
      </c>
      <c r="B857" s="13"/>
      <c r="C857" t="e">
        <f t="shared" si="0"/>
        <v>#N/A</v>
      </c>
      <c r="D857" t="b">
        <f t="shared" si="1"/>
        <v>0</v>
      </c>
      <c r="E857">
        <f t="shared" si="2"/>
        <v>0</v>
      </c>
      <c r="F857" s="11"/>
    </row>
    <row r="858" spans="1:6" ht="16" x14ac:dyDescent="0.2">
      <c r="A858" s="12" t="s">
        <v>4432</v>
      </c>
      <c r="B858" s="13"/>
      <c r="C858" t="e">
        <f t="shared" si="0"/>
        <v>#N/A</v>
      </c>
      <c r="D858" t="b">
        <f t="shared" si="1"/>
        <v>0</v>
      </c>
      <c r="E858">
        <f t="shared" si="2"/>
        <v>0</v>
      </c>
      <c r="F858" s="11"/>
    </row>
    <row r="859" spans="1:6" ht="16" x14ac:dyDescent="0.2">
      <c r="A859" s="12" t="s">
        <v>4433</v>
      </c>
      <c r="B859" s="13"/>
      <c r="C859" t="e">
        <f t="shared" si="0"/>
        <v>#N/A</v>
      </c>
      <c r="D859" t="b">
        <f t="shared" si="1"/>
        <v>0</v>
      </c>
      <c r="E859">
        <f t="shared" si="2"/>
        <v>0</v>
      </c>
      <c r="F859" s="11"/>
    </row>
    <row r="860" spans="1:6" ht="16" x14ac:dyDescent="0.2">
      <c r="A860" s="12" t="s">
        <v>4434</v>
      </c>
      <c r="B860" s="13"/>
      <c r="C860" t="e">
        <f t="shared" si="0"/>
        <v>#N/A</v>
      </c>
      <c r="D860" t="b">
        <f t="shared" si="1"/>
        <v>0</v>
      </c>
      <c r="E860">
        <f t="shared" si="2"/>
        <v>0</v>
      </c>
      <c r="F860" s="11"/>
    </row>
    <row r="861" spans="1:6" ht="16" x14ac:dyDescent="0.2">
      <c r="A861" s="12" t="s">
        <v>4435</v>
      </c>
      <c r="B861" s="13"/>
      <c r="C861" t="e">
        <f t="shared" si="0"/>
        <v>#N/A</v>
      </c>
      <c r="D861" t="b">
        <f t="shared" si="1"/>
        <v>0</v>
      </c>
      <c r="E861">
        <f t="shared" si="2"/>
        <v>0</v>
      </c>
      <c r="F861" s="11"/>
    </row>
    <row r="862" spans="1:6" ht="16" x14ac:dyDescent="0.2">
      <c r="A862" s="12" t="s">
        <v>4436</v>
      </c>
      <c r="B862" s="13"/>
      <c r="C862" t="e">
        <f t="shared" si="0"/>
        <v>#N/A</v>
      </c>
      <c r="D862" t="b">
        <f t="shared" si="1"/>
        <v>0</v>
      </c>
      <c r="E862">
        <f t="shared" si="2"/>
        <v>0</v>
      </c>
      <c r="F862" s="11"/>
    </row>
    <row r="863" spans="1:6" ht="16" x14ac:dyDescent="0.2">
      <c r="A863" s="12" t="s">
        <v>4437</v>
      </c>
      <c r="B863" s="13"/>
      <c r="C863" t="e">
        <f t="shared" si="0"/>
        <v>#N/A</v>
      </c>
      <c r="D863" t="b">
        <f t="shared" si="1"/>
        <v>0</v>
      </c>
      <c r="E863">
        <f t="shared" si="2"/>
        <v>0</v>
      </c>
      <c r="F863" s="11"/>
    </row>
    <row r="864" spans="1:6" ht="16" x14ac:dyDescent="0.2">
      <c r="A864" s="12" t="s">
        <v>4438</v>
      </c>
      <c r="B864" s="13"/>
      <c r="C864" t="e">
        <f t="shared" si="0"/>
        <v>#N/A</v>
      </c>
      <c r="D864" t="b">
        <f t="shared" si="1"/>
        <v>0</v>
      </c>
      <c r="E864">
        <f t="shared" si="2"/>
        <v>0</v>
      </c>
      <c r="F864" s="11"/>
    </row>
    <row r="865" spans="1:6" ht="16" x14ac:dyDescent="0.2">
      <c r="A865" s="12" t="s">
        <v>4439</v>
      </c>
      <c r="B865" s="13"/>
      <c r="C865" t="e">
        <f t="shared" si="0"/>
        <v>#N/A</v>
      </c>
      <c r="D865" t="b">
        <f t="shared" si="1"/>
        <v>0</v>
      </c>
      <c r="E865">
        <f t="shared" si="2"/>
        <v>0</v>
      </c>
      <c r="F865" s="11"/>
    </row>
    <row r="866" spans="1:6" ht="16" x14ac:dyDescent="0.2">
      <c r="A866" s="12" t="s">
        <v>4440</v>
      </c>
      <c r="B866" s="13"/>
      <c r="C866" t="e">
        <f t="shared" si="0"/>
        <v>#N/A</v>
      </c>
      <c r="D866" t="b">
        <f t="shared" si="1"/>
        <v>0</v>
      </c>
      <c r="E866">
        <f t="shared" si="2"/>
        <v>0</v>
      </c>
      <c r="F866" s="11"/>
    </row>
    <row r="867" spans="1:6" ht="16" x14ac:dyDescent="0.2">
      <c r="A867" s="12" t="s">
        <v>4441</v>
      </c>
      <c r="B867" s="13"/>
      <c r="C867" t="e">
        <f t="shared" si="0"/>
        <v>#N/A</v>
      </c>
      <c r="D867" t="b">
        <f t="shared" si="1"/>
        <v>0</v>
      </c>
      <c r="E867">
        <f t="shared" si="2"/>
        <v>0</v>
      </c>
      <c r="F867" s="11"/>
    </row>
    <row r="868" spans="1:6" ht="16" x14ac:dyDescent="0.2">
      <c r="A868" s="12" t="s">
        <v>4442</v>
      </c>
      <c r="B868" s="13"/>
      <c r="C868" t="e">
        <f t="shared" si="0"/>
        <v>#N/A</v>
      </c>
      <c r="D868" t="b">
        <f t="shared" si="1"/>
        <v>0</v>
      </c>
      <c r="E868">
        <f t="shared" si="2"/>
        <v>0</v>
      </c>
      <c r="F868" s="11"/>
    </row>
    <row r="869" spans="1:6" ht="16" x14ac:dyDescent="0.2">
      <c r="A869" s="12" t="s">
        <v>4443</v>
      </c>
      <c r="B869" s="13"/>
      <c r="C869" t="e">
        <f t="shared" si="0"/>
        <v>#N/A</v>
      </c>
      <c r="D869" t="b">
        <f t="shared" si="1"/>
        <v>0</v>
      </c>
      <c r="E869">
        <f t="shared" si="2"/>
        <v>0</v>
      </c>
      <c r="F869" s="11"/>
    </row>
    <row r="870" spans="1:6" ht="16" x14ac:dyDescent="0.2">
      <c r="A870" s="12" t="s">
        <v>4444</v>
      </c>
      <c r="B870" s="13"/>
      <c r="C870" t="e">
        <f t="shared" si="0"/>
        <v>#N/A</v>
      </c>
      <c r="D870" t="b">
        <f t="shared" si="1"/>
        <v>0</v>
      </c>
      <c r="E870">
        <f t="shared" si="2"/>
        <v>0</v>
      </c>
      <c r="F870" s="11"/>
    </row>
    <row r="871" spans="1:6" ht="16" x14ac:dyDescent="0.2">
      <c r="A871" s="12" t="s">
        <v>4445</v>
      </c>
      <c r="B871" s="13"/>
      <c r="C871" t="e">
        <f t="shared" si="0"/>
        <v>#N/A</v>
      </c>
      <c r="D871" t="b">
        <f t="shared" si="1"/>
        <v>0</v>
      </c>
      <c r="E871">
        <f t="shared" si="2"/>
        <v>0</v>
      </c>
      <c r="F871" s="11"/>
    </row>
    <row r="872" spans="1:6" ht="16" x14ac:dyDescent="0.2">
      <c r="A872" s="12" t="s">
        <v>4446</v>
      </c>
      <c r="B872" s="13"/>
      <c r="C872" t="e">
        <f t="shared" si="0"/>
        <v>#N/A</v>
      </c>
      <c r="D872" t="b">
        <f t="shared" si="1"/>
        <v>0</v>
      </c>
      <c r="E872">
        <f t="shared" si="2"/>
        <v>0</v>
      </c>
      <c r="F872" s="11"/>
    </row>
    <row r="873" spans="1:6" ht="16" x14ac:dyDescent="0.2">
      <c r="A873" s="12" t="s">
        <v>4447</v>
      </c>
      <c r="B873" s="13"/>
      <c r="C873" t="e">
        <f t="shared" si="0"/>
        <v>#N/A</v>
      </c>
      <c r="D873" t="b">
        <f t="shared" si="1"/>
        <v>0</v>
      </c>
      <c r="E873">
        <f t="shared" si="2"/>
        <v>0</v>
      </c>
      <c r="F873" s="11"/>
    </row>
    <row r="874" spans="1:6" ht="16" x14ac:dyDescent="0.2">
      <c r="A874" s="12" t="s">
        <v>4448</v>
      </c>
      <c r="B874" s="13"/>
      <c r="C874" t="e">
        <f t="shared" si="0"/>
        <v>#N/A</v>
      </c>
      <c r="D874" t="b">
        <f t="shared" si="1"/>
        <v>0</v>
      </c>
      <c r="E874">
        <f t="shared" si="2"/>
        <v>0</v>
      </c>
      <c r="F874" s="11"/>
    </row>
    <row r="875" spans="1:6" ht="16" x14ac:dyDescent="0.2">
      <c r="A875" s="12" t="s">
        <v>4449</v>
      </c>
      <c r="B875" s="13"/>
      <c r="C875" t="e">
        <f t="shared" si="0"/>
        <v>#N/A</v>
      </c>
      <c r="D875" t="b">
        <f t="shared" si="1"/>
        <v>0</v>
      </c>
      <c r="E875">
        <f t="shared" si="2"/>
        <v>0</v>
      </c>
      <c r="F875" s="11"/>
    </row>
    <row r="876" spans="1:6" ht="16" x14ac:dyDescent="0.2">
      <c r="A876" s="12" t="s">
        <v>4450</v>
      </c>
      <c r="B876" s="13"/>
      <c r="C876" t="e">
        <f t="shared" si="0"/>
        <v>#N/A</v>
      </c>
      <c r="D876" t="b">
        <f t="shared" si="1"/>
        <v>0</v>
      </c>
      <c r="E876">
        <f t="shared" si="2"/>
        <v>0</v>
      </c>
      <c r="F876" s="11"/>
    </row>
    <row r="877" spans="1:6" ht="16" x14ac:dyDescent="0.2">
      <c r="A877" s="12" t="s">
        <v>4451</v>
      </c>
      <c r="B877" s="13"/>
      <c r="C877" t="e">
        <f t="shared" si="0"/>
        <v>#N/A</v>
      </c>
      <c r="D877" t="b">
        <f t="shared" si="1"/>
        <v>0</v>
      </c>
      <c r="E877">
        <f t="shared" si="2"/>
        <v>0</v>
      </c>
      <c r="F877" s="11"/>
    </row>
    <row r="878" spans="1:6" ht="16" x14ac:dyDescent="0.2">
      <c r="A878" s="12" t="s">
        <v>4452</v>
      </c>
      <c r="B878" s="13"/>
      <c r="C878" t="e">
        <f t="shared" si="0"/>
        <v>#N/A</v>
      </c>
      <c r="D878" t="b">
        <f t="shared" si="1"/>
        <v>0</v>
      </c>
      <c r="E878">
        <f t="shared" si="2"/>
        <v>0</v>
      </c>
      <c r="F878" s="11"/>
    </row>
    <row r="879" spans="1:6" ht="16" x14ac:dyDescent="0.2">
      <c r="A879" s="12" t="s">
        <v>4453</v>
      </c>
      <c r="B879" s="13"/>
      <c r="C879" t="e">
        <f t="shared" si="0"/>
        <v>#N/A</v>
      </c>
      <c r="D879" t="b">
        <f t="shared" si="1"/>
        <v>0</v>
      </c>
      <c r="E879">
        <f t="shared" si="2"/>
        <v>0</v>
      </c>
      <c r="F879" s="11"/>
    </row>
    <row r="880" spans="1:6" ht="16" x14ac:dyDescent="0.2">
      <c r="A880" s="12" t="s">
        <v>4454</v>
      </c>
      <c r="B880" s="13"/>
      <c r="C880" t="e">
        <f t="shared" si="0"/>
        <v>#N/A</v>
      </c>
      <c r="D880" t="b">
        <f t="shared" si="1"/>
        <v>0</v>
      </c>
      <c r="E880">
        <f t="shared" si="2"/>
        <v>0</v>
      </c>
      <c r="F880" s="11"/>
    </row>
    <row r="881" spans="1:6" ht="16" x14ac:dyDescent="0.2">
      <c r="A881" s="12" t="s">
        <v>4455</v>
      </c>
      <c r="B881" s="13"/>
      <c r="C881" t="e">
        <f t="shared" si="0"/>
        <v>#N/A</v>
      </c>
      <c r="D881" t="b">
        <f t="shared" si="1"/>
        <v>0</v>
      </c>
      <c r="E881">
        <f t="shared" si="2"/>
        <v>0</v>
      </c>
      <c r="F881" s="11"/>
    </row>
    <row r="882" spans="1:6" ht="16" x14ac:dyDescent="0.2">
      <c r="A882" s="12" t="s">
        <v>4456</v>
      </c>
      <c r="B882" s="13"/>
      <c r="C882" t="e">
        <f t="shared" si="0"/>
        <v>#N/A</v>
      </c>
      <c r="D882" t="b">
        <f t="shared" si="1"/>
        <v>0</v>
      </c>
      <c r="E882">
        <f t="shared" si="2"/>
        <v>0</v>
      </c>
      <c r="F882" s="11"/>
    </row>
    <row r="883" spans="1:6" ht="16" x14ac:dyDescent="0.2">
      <c r="A883" s="12" t="s">
        <v>3587</v>
      </c>
      <c r="B883" s="13"/>
      <c r="C883">
        <f t="shared" si="0"/>
        <v>6</v>
      </c>
      <c r="D883" t="b">
        <f t="shared" si="1"/>
        <v>1</v>
      </c>
      <c r="E883">
        <f t="shared" si="2"/>
        <v>1</v>
      </c>
      <c r="F883" s="11"/>
    </row>
    <row r="884" spans="1:6" ht="16" x14ac:dyDescent="0.2">
      <c r="A884" s="12" t="s">
        <v>4457</v>
      </c>
      <c r="B884" s="13"/>
      <c r="C884" t="e">
        <f t="shared" si="0"/>
        <v>#N/A</v>
      </c>
      <c r="D884" t="b">
        <f t="shared" si="1"/>
        <v>0</v>
      </c>
      <c r="E884">
        <f t="shared" si="2"/>
        <v>0</v>
      </c>
      <c r="F884" s="11"/>
    </row>
    <row r="885" spans="1:6" ht="16" x14ac:dyDescent="0.2">
      <c r="A885" s="12" t="s">
        <v>4458</v>
      </c>
      <c r="B885" s="13"/>
      <c r="C885" t="e">
        <f t="shared" si="0"/>
        <v>#N/A</v>
      </c>
      <c r="D885" t="b">
        <f t="shared" si="1"/>
        <v>0</v>
      </c>
      <c r="E885">
        <f t="shared" si="2"/>
        <v>0</v>
      </c>
      <c r="F885" s="11"/>
    </row>
    <row r="886" spans="1:6" ht="16" x14ac:dyDescent="0.2">
      <c r="A886" s="12" t="s">
        <v>4459</v>
      </c>
      <c r="B886" s="13"/>
      <c r="C886" t="e">
        <f t="shared" si="0"/>
        <v>#N/A</v>
      </c>
      <c r="D886" t="b">
        <f t="shared" si="1"/>
        <v>0</v>
      </c>
      <c r="E886">
        <f t="shared" si="2"/>
        <v>0</v>
      </c>
      <c r="F886" s="11"/>
    </row>
    <row r="887" spans="1:6" ht="16" x14ac:dyDescent="0.2">
      <c r="A887" s="12" t="s">
        <v>4460</v>
      </c>
      <c r="B887" s="13"/>
      <c r="C887" t="e">
        <f t="shared" si="0"/>
        <v>#N/A</v>
      </c>
      <c r="D887" t="b">
        <f t="shared" si="1"/>
        <v>0</v>
      </c>
      <c r="E887">
        <f t="shared" si="2"/>
        <v>0</v>
      </c>
      <c r="F887" s="11"/>
    </row>
    <row r="888" spans="1:6" ht="16" x14ac:dyDescent="0.2">
      <c r="A888" s="12" t="s">
        <v>4461</v>
      </c>
      <c r="B888" s="13"/>
      <c r="C888" t="e">
        <f t="shared" si="0"/>
        <v>#N/A</v>
      </c>
      <c r="D888" t="b">
        <f t="shared" si="1"/>
        <v>0</v>
      </c>
      <c r="E888">
        <f t="shared" si="2"/>
        <v>0</v>
      </c>
      <c r="F888" s="11"/>
    </row>
    <row r="889" spans="1:6" ht="16" x14ac:dyDescent="0.2">
      <c r="A889" s="12" t="s">
        <v>4462</v>
      </c>
      <c r="B889" s="13"/>
      <c r="C889" t="e">
        <f t="shared" si="0"/>
        <v>#N/A</v>
      </c>
      <c r="D889" t="b">
        <f t="shared" si="1"/>
        <v>0</v>
      </c>
      <c r="E889">
        <f t="shared" si="2"/>
        <v>0</v>
      </c>
      <c r="F889" s="11"/>
    </row>
    <row r="890" spans="1:6" ht="16" x14ac:dyDescent="0.2">
      <c r="A890" s="12" t="s">
        <v>4463</v>
      </c>
      <c r="B890" s="13"/>
      <c r="C890" t="e">
        <f t="shared" si="0"/>
        <v>#N/A</v>
      </c>
      <c r="D890" t="b">
        <f t="shared" si="1"/>
        <v>0</v>
      </c>
      <c r="E890">
        <f t="shared" si="2"/>
        <v>0</v>
      </c>
      <c r="F890" s="11"/>
    </row>
    <row r="891" spans="1:6" ht="16" x14ac:dyDescent="0.2">
      <c r="A891" s="12" t="s">
        <v>4464</v>
      </c>
      <c r="B891" s="13"/>
      <c r="C891" t="e">
        <f t="shared" si="0"/>
        <v>#N/A</v>
      </c>
      <c r="D891" t="b">
        <f t="shared" si="1"/>
        <v>0</v>
      </c>
      <c r="E891">
        <f t="shared" si="2"/>
        <v>0</v>
      </c>
      <c r="F891" s="11"/>
    </row>
    <row r="892" spans="1:6" ht="16" x14ac:dyDescent="0.2">
      <c r="A892" s="12" t="s">
        <v>4465</v>
      </c>
      <c r="B892" s="13"/>
      <c r="C892" t="e">
        <f t="shared" si="0"/>
        <v>#N/A</v>
      </c>
      <c r="D892" t="b">
        <f t="shared" si="1"/>
        <v>0</v>
      </c>
      <c r="E892">
        <f t="shared" si="2"/>
        <v>0</v>
      </c>
      <c r="F892" s="11"/>
    </row>
    <row r="893" spans="1:6" ht="16" x14ac:dyDescent="0.2">
      <c r="A893" s="12" t="s">
        <v>4466</v>
      </c>
      <c r="B893" s="13"/>
      <c r="C893" t="e">
        <f t="shared" si="0"/>
        <v>#N/A</v>
      </c>
      <c r="D893" t="b">
        <f t="shared" si="1"/>
        <v>0</v>
      </c>
      <c r="E893">
        <f t="shared" si="2"/>
        <v>0</v>
      </c>
      <c r="F893" s="11"/>
    </row>
    <row r="894" spans="1:6" ht="16" x14ac:dyDescent="0.2">
      <c r="A894" s="12" t="s">
        <v>4467</v>
      </c>
      <c r="B894" s="13"/>
      <c r="C894" t="e">
        <f t="shared" si="0"/>
        <v>#N/A</v>
      </c>
      <c r="D894" t="b">
        <f t="shared" si="1"/>
        <v>0</v>
      </c>
      <c r="E894">
        <f t="shared" si="2"/>
        <v>0</v>
      </c>
      <c r="F894" s="11"/>
    </row>
    <row r="895" spans="1:6" ht="16" x14ac:dyDescent="0.2">
      <c r="A895" s="12" t="s">
        <v>4468</v>
      </c>
      <c r="B895" s="13"/>
      <c r="C895" t="e">
        <f t="shared" si="0"/>
        <v>#N/A</v>
      </c>
      <c r="D895" t="b">
        <f t="shared" si="1"/>
        <v>0</v>
      </c>
      <c r="E895">
        <f t="shared" si="2"/>
        <v>0</v>
      </c>
      <c r="F895" s="11"/>
    </row>
    <row r="896" spans="1:6" ht="16" x14ac:dyDescent="0.2">
      <c r="A896" s="12" t="s">
        <v>4469</v>
      </c>
      <c r="B896" s="13"/>
      <c r="C896" t="e">
        <f t="shared" si="0"/>
        <v>#N/A</v>
      </c>
      <c r="D896" t="b">
        <f t="shared" si="1"/>
        <v>0</v>
      </c>
      <c r="E896">
        <f t="shared" si="2"/>
        <v>0</v>
      </c>
      <c r="F896" s="11"/>
    </row>
    <row r="897" spans="1:6" ht="16" x14ac:dyDescent="0.2">
      <c r="A897" s="12" t="s">
        <v>4470</v>
      </c>
      <c r="B897" s="13"/>
      <c r="C897" t="e">
        <f t="shared" si="0"/>
        <v>#N/A</v>
      </c>
      <c r="D897" t="b">
        <f t="shared" si="1"/>
        <v>0</v>
      </c>
      <c r="E897">
        <f t="shared" si="2"/>
        <v>0</v>
      </c>
      <c r="F897" s="11"/>
    </row>
    <row r="898" spans="1:6" ht="16" x14ac:dyDescent="0.2">
      <c r="A898" s="12" t="s">
        <v>4471</v>
      </c>
      <c r="B898" s="13"/>
      <c r="C898" t="e">
        <f t="shared" si="0"/>
        <v>#N/A</v>
      </c>
      <c r="D898" t="b">
        <f t="shared" si="1"/>
        <v>0</v>
      </c>
      <c r="E898">
        <f t="shared" si="2"/>
        <v>0</v>
      </c>
      <c r="F898" s="11"/>
    </row>
    <row r="899" spans="1:6" ht="16" x14ac:dyDescent="0.2">
      <c r="A899" s="12" t="s">
        <v>4472</v>
      </c>
      <c r="B899" s="13"/>
      <c r="C899" t="e">
        <f t="shared" si="0"/>
        <v>#N/A</v>
      </c>
      <c r="D899" t="b">
        <f t="shared" si="1"/>
        <v>0</v>
      </c>
      <c r="E899">
        <f t="shared" si="2"/>
        <v>0</v>
      </c>
      <c r="F899" s="11"/>
    </row>
    <row r="900" spans="1:6" ht="16" x14ac:dyDescent="0.2">
      <c r="A900" s="12" t="s">
        <v>4473</v>
      </c>
      <c r="B900" s="13"/>
      <c r="C900" t="e">
        <f t="shared" si="0"/>
        <v>#N/A</v>
      </c>
      <c r="D900" t="b">
        <f t="shared" si="1"/>
        <v>0</v>
      </c>
      <c r="E900">
        <f t="shared" si="2"/>
        <v>0</v>
      </c>
      <c r="F900" s="11"/>
    </row>
    <row r="901" spans="1:6" ht="16" x14ac:dyDescent="0.2">
      <c r="A901" s="12" t="s">
        <v>4474</v>
      </c>
      <c r="B901" s="13"/>
      <c r="C901" t="e">
        <f t="shared" si="0"/>
        <v>#N/A</v>
      </c>
      <c r="D901" t="b">
        <f t="shared" si="1"/>
        <v>0</v>
      </c>
      <c r="E901">
        <f t="shared" si="2"/>
        <v>0</v>
      </c>
      <c r="F901" s="11"/>
    </row>
    <row r="902" spans="1:6" ht="16" x14ac:dyDescent="0.2">
      <c r="A902" s="12" t="s">
        <v>4475</v>
      </c>
      <c r="B902" s="13"/>
      <c r="C902" t="e">
        <f t="shared" si="0"/>
        <v>#N/A</v>
      </c>
      <c r="D902" t="b">
        <f t="shared" si="1"/>
        <v>0</v>
      </c>
      <c r="E902">
        <f t="shared" si="2"/>
        <v>0</v>
      </c>
      <c r="F902" s="11"/>
    </row>
    <row r="903" spans="1:6" ht="16" x14ac:dyDescent="0.2">
      <c r="A903" s="12" t="s">
        <v>4476</v>
      </c>
      <c r="B903" s="13"/>
      <c r="C903" t="e">
        <f t="shared" si="0"/>
        <v>#N/A</v>
      </c>
      <c r="D903" t="b">
        <f t="shared" si="1"/>
        <v>0</v>
      </c>
      <c r="E903">
        <f t="shared" si="2"/>
        <v>0</v>
      </c>
      <c r="F903" s="11"/>
    </row>
    <row r="904" spans="1:6" ht="16" x14ac:dyDescent="0.2">
      <c r="A904" s="12" t="s">
        <v>4477</v>
      </c>
      <c r="B904" s="13"/>
      <c r="C904" t="e">
        <f t="shared" si="0"/>
        <v>#N/A</v>
      </c>
      <c r="D904" t="b">
        <f t="shared" si="1"/>
        <v>0</v>
      </c>
      <c r="E904">
        <f t="shared" si="2"/>
        <v>0</v>
      </c>
      <c r="F904" s="11"/>
    </row>
    <row r="905" spans="1:6" ht="16" x14ac:dyDescent="0.2">
      <c r="A905" s="12" t="s">
        <v>4478</v>
      </c>
      <c r="B905" s="13"/>
      <c r="C905" t="e">
        <f t="shared" si="0"/>
        <v>#N/A</v>
      </c>
      <c r="D905" t="b">
        <f t="shared" si="1"/>
        <v>0</v>
      </c>
      <c r="E905">
        <f t="shared" si="2"/>
        <v>0</v>
      </c>
      <c r="F905" s="11"/>
    </row>
    <row r="906" spans="1:6" ht="16" x14ac:dyDescent="0.2">
      <c r="A906" s="12" t="s">
        <v>4479</v>
      </c>
      <c r="B906" s="13"/>
      <c r="C906" t="e">
        <f t="shared" si="0"/>
        <v>#N/A</v>
      </c>
      <c r="D906" t="b">
        <f t="shared" si="1"/>
        <v>0</v>
      </c>
      <c r="E906">
        <f t="shared" si="2"/>
        <v>0</v>
      </c>
      <c r="F906" s="11"/>
    </row>
    <row r="907" spans="1:6" ht="16" x14ac:dyDescent="0.2">
      <c r="A907" s="12" t="s">
        <v>4480</v>
      </c>
      <c r="B907" s="13"/>
      <c r="C907" t="e">
        <f t="shared" si="0"/>
        <v>#N/A</v>
      </c>
      <c r="D907" t="b">
        <f t="shared" si="1"/>
        <v>0</v>
      </c>
      <c r="E907">
        <f t="shared" si="2"/>
        <v>0</v>
      </c>
      <c r="F907" s="11"/>
    </row>
    <row r="908" spans="1:6" ht="16" x14ac:dyDescent="0.2">
      <c r="A908" s="12" t="s">
        <v>4481</v>
      </c>
      <c r="B908" s="13"/>
      <c r="C908" t="e">
        <f t="shared" si="0"/>
        <v>#N/A</v>
      </c>
      <c r="D908" t="b">
        <f t="shared" si="1"/>
        <v>0</v>
      </c>
      <c r="E908">
        <f t="shared" si="2"/>
        <v>0</v>
      </c>
      <c r="F908" s="11"/>
    </row>
    <row r="909" spans="1:6" ht="16" x14ac:dyDescent="0.2">
      <c r="A909" s="12" t="s">
        <v>4482</v>
      </c>
      <c r="B909" s="13"/>
      <c r="C909" t="e">
        <f t="shared" si="0"/>
        <v>#N/A</v>
      </c>
      <c r="D909" t="b">
        <f t="shared" si="1"/>
        <v>0</v>
      </c>
      <c r="E909">
        <f t="shared" si="2"/>
        <v>0</v>
      </c>
      <c r="F909" s="11"/>
    </row>
    <row r="910" spans="1:6" ht="16" x14ac:dyDescent="0.2">
      <c r="A910" s="12" t="s">
        <v>4483</v>
      </c>
      <c r="B910" s="13"/>
      <c r="C910" t="e">
        <f t="shared" si="0"/>
        <v>#N/A</v>
      </c>
      <c r="D910" t="b">
        <f t="shared" si="1"/>
        <v>0</v>
      </c>
      <c r="E910">
        <f t="shared" si="2"/>
        <v>0</v>
      </c>
      <c r="F910" s="11"/>
    </row>
    <row r="911" spans="1:6" ht="16" x14ac:dyDescent="0.2">
      <c r="A911" s="12" t="s">
        <v>4484</v>
      </c>
      <c r="B911" s="13"/>
      <c r="C911" t="e">
        <f t="shared" si="0"/>
        <v>#N/A</v>
      </c>
      <c r="D911" t="b">
        <f t="shared" si="1"/>
        <v>0</v>
      </c>
      <c r="E911">
        <f t="shared" si="2"/>
        <v>0</v>
      </c>
      <c r="F911" s="11"/>
    </row>
    <row r="912" spans="1:6" ht="16" x14ac:dyDescent="0.2">
      <c r="A912" s="12" t="s">
        <v>4485</v>
      </c>
      <c r="B912" s="13"/>
      <c r="C912" t="e">
        <f t="shared" si="0"/>
        <v>#N/A</v>
      </c>
      <c r="D912" t="b">
        <f t="shared" si="1"/>
        <v>0</v>
      </c>
      <c r="E912">
        <f t="shared" si="2"/>
        <v>0</v>
      </c>
      <c r="F912" s="11"/>
    </row>
    <row r="913" spans="1:6" ht="16" x14ac:dyDescent="0.2">
      <c r="A913" s="12" t="s">
        <v>4486</v>
      </c>
      <c r="B913" s="13"/>
      <c r="C913" t="e">
        <f t="shared" si="0"/>
        <v>#N/A</v>
      </c>
      <c r="D913" t="b">
        <f t="shared" si="1"/>
        <v>0</v>
      </c>
      <c r="E913">
        <f t="shared" si="2"/>
        <v>0</v>
      </c>
      <c r="F913" s="11"/>
    </row>
    <row r="914" spans="1:6" ht="16" x14ac:dyDescent="0.2">
      <c r="A914" s="12" t="s">
        <v>4487</v>
      </c>
      <c r="B914" s="13"/>
      <c r="C914" t="e">
        <f t="shared" si="0"/>
        <v>#N/A</v>
      </c>
      <c r="D914" t="b">
        <f t="shared" si="1"/>
        <v>0</v>
      </c>
      <c r="E914">
        <f t="shared" si="2"/>
        <v>0</v>
      </c>
      <c r="F914" s="11"/>
    </row>
    <row r="915" spans="1:6" ht="16" x14ac:dyDescent="0.2">
      <c r="A915" s="12" t="s">
        <v>4488</v>
      </c>
      <c r="B915" s="13"/>
      <c r="C915" t="e">
        <f t="shared" si="0"/>
        <v>#N/A</v>
      </c>
      <c r="D915" t="b">
        <f t="shared" si="1"/>
        <v>0</v>
      </c>
      <c r="E915">
        <f t="shared" si="2"/>
        <v>0</v>
      </c>
      <c r="F915" s="11"/>
    </row>
    <row r="916" spans="1:6" ht="16" x14ac:dyDescent="0.2">
      <c r="A916" s="12" t="s">
        <v>4489</v>
      </c>
      <c r="B916" s="13"/>
      <c r="C916" t="e">
        <f t="shared" si="0"/>
        <v>#N/A</v>
      </c>
      <c r="D916" t="b">
        <f t="shared" si="1"/>
        <v>0</v>
      </c>
      <c r="E916">
        <f t="shared" si="2"/>
        <v>0</v>
      </c>
      <c r="F916" s="11"/>
    </row>
    <row r="917" spans="1:6" ht="16" x14ac:dyDescent="0.2">
      <c r="A917" s="12" t="s">
        <v>4490</v>
      </c>
      <c r="B917" s="13"/>
      <c r="C917" t="e">
        <f t="shared" si="0"/>
        <v>#N/A</v>
      </c>
      <c r="D917" t="b">
        <f t="shared" si="1"/>
        <v>0</v>
      </c>
      <c r="E917">
        <f t="shared" si="2"/>
        <v>0</v>
      </c>
      <c r="F917" s="11"/>
    </row>
    <row r="918" spans="1:6" ht="16" x14ac:dyDescent="0.2">
      <c r="A918" s="12" t="s">
        <v>4491</v>
      </c>
      <c r="B918" s="13"/>
      <c r="C918" t="e">
        <f t="shared" si="0"/>
        <v>#N/A</v>
      </c>
      <c r="D918" t="b">
        <f t="shared" si="1"/>
        <v>0</v>
      </c>
      <c r="E918">
        <f t="shared" si="2"/>
        <v>0</v>
      </c>
      <c r="F918" s="11"/>
    </row>
    <row r="919" spans="1:6" ht="16" x14ac:dyDescent="0.2">
      <c r="A919" s="12" t="s">
        <v>4492</v>
      </c>
      <c r="B919" s="13"/>
      <c r="C919" t="e">
        <f t="shared" si="0"/>
        <v>#N/A</v>
      </c>
      <c r="D919" t="b">
        <f t="shared" si="1"/>
        <v>0</v>
      </c>
      <c r="E919">
        <f t="shared" si="2"/>
        <v>0</v>
      </c>
      <c r="F919" s="11"/>
    </row>
    <row r="920" spans="1:6" ht="16" x14ac:dyDescent="0.2">
      <c r="A920" s="12" t="s">
        <v>4493</v>
      </c>
      <c r="B920" s="13"/>
      <c r="C920" t="e">
        <f t="shared" si="0"/>
        <v>#N/A</v>
      </c>
      <c r="D920" t="b">
        <f t="shared" si="1"/>
        <v>0</v>
      </c>
      <c r="E920">
        <f t="shared" si="2"/>
        <v>0</v>
      </c>
      <c r="F920" s="11"/>
    </row>
    <row r="921" spans="1:6" ht="16" x14ac:dyDescent="0.2">
      <c r="A921" s="12" t="s">
        <v>4494</v>
      </c>
      <c r="B921" s="13"/>
      <c r="C921" t="e">
        <f t="shared" si="0"/>
        <v>#N/A</v>
      </c>
      <c r="D921" t="b">
        <f t="shared" si="1"/>
        <v>0</v>
      </c>
      <c r="E921">
        <f t="shared" si="2"/>
        <v>0</v>
      </c>
      <c r="F921" s="11"/>
    </row>
    <row r="922" spans="1:6" ht="16" x14ac:dyDescent="0.2">
      <c r="A922" s="12" t="s">
        <v>4495</v>
      </c>
      <c r="B922" s="13"/>
      <c r="C922" t="e">
        <f t="shared" si="0"/>
        <v>#N/A</v>
      </c>
      <c r="D922" t="b">
        <f t="shared" si="1"/>
        <v>0</v>
      </c>
      <c r="E922">
        <f t="shared" si="2"/>
        <v>0</v>
      </c>
      <c r="F922" s="11"/>
    </row>
    <row r="923" spans="1:6" ht="16" x14ac:dyDescent="0.2">
      <c r="A923" s="12" t="s">
        <v>4496</v>
      </c>
      <c r="B923" s="13"/>
      <c r="C923" t="e">
        <f t="shared" si="0"/>
        <v>#N/A</v>
      </c>
      <c r="D923" t="b">
        <f t="shared" si="1"/>
        <v>0</v>
      </c>
      <c r="E923">
        <f t="shared" si="2"/>
        <v>0</v>
      </c>
      <c r="F923" s="11"/>
    </row>
    <row r="924" spans="1:6" ht="16" x14ac:dyDescent="0.2">
      <c r="A924" s="12" t="s">
        <v>4496</v>
      </c>
      <c r="B924" s="13"/>
      <c r="C924" t="e">
        <f t="shared" si="0"/>
        <v>#N/A</v>
      </c>
      <c r="D924" t="b">
        <f t="shared" si="1"/>
        <v>0</v>
      </c>
      <c r="E924">
        <f t="shared" si="2"/>
        <v>0</v>
      </c>
      <c r="F924" s="11"/>
    </row>
    <row r="925" spans="1:6" ht="16" x14ac:dyDescent="0.2">
      <c r="A925" s="12" t="s">
        <v>4497</v>
      </c>
      <c r="B925" s="13"/>
      <c r="C925" t="e">
        <f t="shared" si="0"/>
        <v>#N/A</v>
      </c>
      <c r="D925" t="b">
        <f t="shared" si="1"/>
        <v>0</v>
      </c>
      <c r="E925">
        <f t="shared" si="2"/>
        <v>0</v>
      </c>
      <c r="F925" s="11"/>
    </row>
    <row r="926" spans="1:6" ht="16" x14ac:dyDescent="0.2">
      <c r="A926" s="12" t="s">
        <v>4498</v>
      </c>
      <c r="B926" s="13"/>
      <c r="C926" t="e">
        <f t="shared" si="0"/>
        <v>#N/A</v>
      </c>
      <c r="D926" t="b">
        <f t="shared" si="1"/>
        <v>0</v>
      </c>
      <c r="E926">
        <f t="shared" si="2"/>
        <v>0</v>
      </c>
      <c r="F926" s="11"/>
    </row>
    <row r="927" spans="1:6" ht="16" x14ac:dyDescent="0.2">
      <c r="A927" s="12" t="s">
        <v>4499</v>
      </c>
      <c r="B927" s="13"/>
      <c r="C927" t="e">
        <f t="shared" si="0"/>
        <v>#N/A</v>
      </c>
      <c r="D927" t="b">
        <f t="shared" si="1"/>
        <v>0</v>
      </c>
      <c r="E927">
        <f t="shared" si="2"/>
        <v>0</v>
      </c>
      <c r="F927" s="11"/>
    </row>
    <row r="928" spans="1:6" ht="16" x14ac:dyDescent="0.2">
      <c r="A928" s="12" t="s">
        <v>4500</v>
      </c>
      <c r="B928" s="13"/>
      <c r="C928" t="e">
        <f t="shared" si="0"/>
        <v>#N/A</v>
      </c>
      <c r="D928" t="b">
        <f t="shared" si="1"/>
        <v>0</v>
      </c>
      <c r="E928">
        <f t="shared" si="2"/>
        <v>0</v>
      </c>
      <c r="F928" s="11"/>
    </row>
    <row r="929" spans="1:6" ht="16" x14ac:dyDescent="0.2">
      <c r="A929" s="12" t="s">
        <v>4501</v>
      </c>
      <c r="B929" s="13"/>
      <c r="C929" t="e">
        <f t="shared" si="0"/>
        <v>#N/A</v>
      </c>
      <c r="D929" t="b">
        <f t="shared" si="1"/>
        <v>0</v>
      </c>
      <c r="E929">
        <f t="shared" si="2"/>
        <v>0</v>
      </c>
      <c r="F929" s="11"/>
    </row>
    <row r="930" spans="1:6" ht="16" x14ac:dyDescent="0.2">
      <c r="A930" s="12" t="s">
        <v>4502</v>
      </c>
      <c r="B930" s="13"/>
      <c r="C930" t="e">
        <f t="shared" si="0"/>
        <v>#N/A</v>
      </c>
      <c r="D930" t="b">
        <f t="shared" si="1"/>
        <v>0</v>
      </c>
      <c r="E930">
        <f t="shared" si="2"/>
        <v>0</v>
      </c>
      <c r="F930" s="11"/>
    </row>
    <row r="931" spans="1:6" ht="16" x14ac:dyDescent="0.2">
      <c r="A931" s="12" t="s">
        <v>4503</v>
      </c>
      <c r="B931" s="13"/>
      <c r="C931" t="e">
        <f t="shared" si="0"/>
        <v>#N/A</v>
      </c>
      <c r="D931" t="b">
        <f t="shared" si="1"/>
        <v>0</v>
      </c>
      <c r="E931">
        <f t="shared" si="2"/>
        <v>0</v>
      </c>
      <c r="F931" s="11"/>
    </row>
    <row r="932" spans="1:6" ht="16" x14ac:dyDescent="0.2">
      <c r="A932" s="12" t="s">
        <v>4504</v>
      </c>
      <c r="B932" s="13"/>
      <c r="C932" t="e">
        <f t="shared" si="0"/>
        <v>#N/A</v>
      </c>
      <c r="D932" t="b">
        <f t="shared" si="1"/>
        <v>0</v>
      </c>
      <c r="E932">
        <f t="shared" si="2"/>
        <v>0</v>
      </c>
      <c r="F932" s="11"/>
    </row>
    <row r="933" spans="1:6" ht="16" x14ac:dyDescent="0.2">
      <c r="A933" s="12" t="s">
        <v>4505</v>
      </c>
      <c r="B933" s="13"/>
      <c r="C933" t="e">
        <f t="shared" si="0"/>
        <v>#N/A</v>
      </c>
      <c r="D933" t="b">
        <f t="shared" si="1"/>
        <v>0</v>
      </c>
      <c r="E933">
        <f t="shared" si="2"/>
        <v>0</v>
      </c>
      <c r="F933" s="11"/>
    </row>
    <row r="934" spans="1:6" ht="16" x14ac:dyDescent="0.2">
      <c r="A934" s="12" t="s">
        <v>4506</v>
      </c>
      <c r="B934" s="13"/>
      <c r="C934" t="e">
        <f t="shared" si="0"/>
        <v>#N/A</v>
      </c>
      <c r="D934" t="b">
        <f t="shared" si="1"/>
        <v>0</v>
      </c>
      <c r="E934">
        <f t="shared" si="2"/>
        <v>0</v>
      </c>
      <c r="F934" s="11"/>
    </row>
    <row r="935" spans="1:6" ht="16" x14ac:dyDescent="0.2">
      <c r="A935" s="12" t="s">
        <v>4506</v>
      </c>
      <c r="B935" s="13"/>
      <c r="C935" t="e">
        <f t="shared" si="0"/>
        <v>#N/A</v>
      </c>
      <c r="D935" t="b">
        <f t="shared" si="1"/>
        <v>0</v>
      </c>
      <c r="E935">
        <f t="shared" si="2"/>
        <v>0</v>
      </c>
      <c r="F935" s="11"/>
    </row>
    <row r="936" spans="1:6" ht="16" x14ac:dyDescent="0.2">
      <c r="A936" s="12" t="s">
        <v>4507</v>
      </c>
      <c r="B936" s="13"/>
      <c r="C936" t="e">
        <f t="shared" si="0"/>
        <v>#N/A</v>
      </c>
      <c r="D936" t="b">
        <f t="shared" si="1"/>
        <v>0</v>
      </c>
      <c r="E936">
        <f t="shared" si="2"/>
        <v>0</v>
      </c>
      <c r="F936" s="11"/>
    </row>
    <row r="937" spans="1:6" ht="16" x14ac:dyDescent="0.2">
      <c r="A937" s="12" t="s">
        <v>4508</v>
      </c>
      <c r="B937" s="13"/>
      <c r="C937" t="e">
        <f t="shared" si="0"/>
        <v>#N/A</v>
      </c>
      <c r="D937" t="b">
        <f t="shared" si="1"/>
        <v>0</v>
      </c>
      <c r="E937">
        <f t="shared" si="2"/>
        <v>0</v>
      </c>
      <c r="F937" s="11"/>
    </row>
    <row r="938" spans="1:6" ht="16" x14ac:dyDescent="0.2">
      <c r="A938" s="12" t="s">
        <v>4509</v>
      </c>
      <c r="B938" s="13"/>
      <c r="C938" t="e">
        <f t="shared" si="0"/>
        <v>#N/A</v>
      </c>
      <c r="D938" t="b">
        <f t="shared" si="1"/>
        <v>0</v>
      </c>
      <c r="E938">
        <f t="shared" si="2"/>
        <v>0</v>
      </c>
      <c r="F938" s="11"/>
    </row>
    <row r="939" spans="1:6" ht="16" x14ac:dyDescent="0.2">
      <c r="A939" s="12" t="s">
        <v>4510</v>
      </c>
      <c r="B939" s="13"/>
      <c r="C939" t="e">
        <f t="shared" si="0"/>
        <v>#N/A</v>
      </c>
      <c r="D939" t="b">
        <f t="shared" si="1"/>
        <v>0</v>
      </c>
      <c r="E939">
        <f t="shared" si="2"/>
        <v>0</v>
      </c>
      <c r="F939" s="11"/>
    </row>
    <row r="940" spans="1:6" ht="16" x14ac:dyDescent="0.2">
      <c r="A940" s="12" t="s">
        <v>4510</v>
      </c>
      <c r="B940" s="13"/>
      <c r="C940" t="e">
        <f t="shared" si="0"/>
        <v>#N/A</v>
      </c>
      <c r="D940" t="b">
        <f t="shared" si="1"/>
        <v>0</v>
      </c>
      <c r="E940">
        <f t="shared" si="2"/>
        <v>0</v>
      </c>
      <c r="F940" s="11"/>
    </row>
    <row r="941" spans="1:6" ht="16" x14ac:dyDescent="0.2">
      <c r="A941" s="12" t="s">
        <v>4511</v>
      </c>
      <c r="B941" s="13"/>
      <c r="C941" t="e">
        <f t="shared" si="0"/>
        <v>#N/A</v>
      </c>
      <c r="D941" t="b">
        <f t="shared" si="1"/>
        <v>0</v>
      </c>
      <c r="E941">
        <f t="shared" si="2"/>
        <v>0</v>
      </c>
      <c r="F941" s="11"/>
    </row>
    <row r="942" spans="1:6" ht="16" x14ac:dyDescent="0.2">
      <c r="A942" s="12" t="s">
        <v>4512</v>
      </c>
      <c r="B942" s="13"/>
      <c r="C942" t="e">
        <f t="shared" si="0"/>
        <v>#N/A</v>
      </c>
      <c r="D942" t="b">
        <f t="shared" si="1"/>
        <v>0</v>
      </c>
      <c r="E942">
        <f t="shared" si="2"/>
        <v>0</v>
      </c>
      <c r="F942" s="11"/>
    </row>
    <row r="943" spans="1:6" ht="16" x14ac:dyDescent="0.2">
      <c r="A943" s="12" t="s">
        <v>4513</v>
      </c>
      <c r="B943" s="13"/>
      <c r="C943" t="e">
        <f t="shared" si="0"/>
        <v>#N/A</v>
      </c>
      <c r="D943" t="b">
        <f t="shared" si="1"/>
        <v>0</v>
      </c>
      <c r="E943">
        <f t="shared" si="2"/>
        <v>0</v>
      </c>
      <c r="F943" s="11"/>
    </row>
    <row r="944" spans="1:6" ht="16" x14ac:dyDescent="0.2">
      <c r="A944" s="12" t="s">
        <v>4514</v>
      </c>
      <c r="B944" s="13"/>
      <c r="C944" t="e">
        <f t="shared" si="0"/>
        <v>#N/A</v>
      </c>
      <c r="D944" t="b">
        <f t="shared" si="1"/>
        <v>0</v>
      </c>
      <c r="E944">
        <f t="shared" si="2"/>
        <v>0</v>
      </c>
      <c r="F944" s="11"/>
    </row>
    <row r="945" spans="1:6" ht="16" x14ac:dyDescent="0.2">
      <c r="A945" s="12" t="s">
        <v>4515</v>
      </c>
      <c r="B945" s="13"/>
      <c r="C945" t="e">
        <f t="shared" si="0"/>
        <v>#N/A</v>
      </c>
      <c r="D945" t="b">
        <f t="shared" si="1"/>
        <v>0</v>
      </c>
      <c r="E945">
        <f t="shared" si="2"/>
        <v>0</v>
      </c>
      <c r="F945" s="11"/>
    </row>
    <row r="946" spans="1:6" ht="16" x14ac:dyDescent="0.2">
      <c r="A946" s="12" t="s">
        <v>4516</v>
      </c>
      <c r="B946" s="13"/>
      <c r="C946" t="e">
        <f t="shared" si="0"/>
        <v>#N/A</v>
      </c>
      <c r="D946" t="b">
        <f t="shared" si="1"/>
        <v>0</v>
      </c>
      <c r="E946">
        <f t="shared" si="2"/>
        <v>0</v>
      </c>
      <c r="F946" s="11"/>
    </row>
    <row r="947" spans="1:6" ht="16" x14ac:dyDescent="0.2">
      <c r="A947" s="12" t="s">
        <v>4517</v>
      </c>
      <c r="B947" s="13"/>
      <c r="C947" t="e">
        <f t="shared" si="0"/>
        <v>#N/A</v>
      </c>
      <c r="D947" t="b">
        <f t="shared" si="1"/>
        <v>0</v>
      </c>
      <c r="E947">
        <f t="shared" si="2"/>
        <v>0</v>
      </c>
      <c r="F947" s="11"/>
    </row>
    <row r="948" spans="1:6" ht="16" x14ac:dyDescent="0.2">
      <c r="A948" s="12" t="s">
        <v>4518</v>
      </c>
      <c r="B948" s="13"/>
      <c r="C948" t="e">
        <f t="shared" si="0"/>
        <v>#N/A</v>
      </c>
      <c r="D948" t="b">
        <f t="shared" si="1"/>
        <v>0</v>
      </c>
      <c r="E948">
        <f t="shared" si="2"/>
        <v>0</v>
      </c>
      <c r="F948" s="11"/>
    </row>
    <row r="949" spans="1:6" ht="16" x14ac:dyDescent="0.2">
      <c r="A949" s="12" t="s">
        <v>4519</v>
      </c>
      <c r="B949" s="13"/>
      <c r="C949" t="e">
        <f t="shared" si="0"/>
        <v>#N/A</v>
      </c>
      <c r="D949" t="b">
        <f t="shared" si="1"/>
        <v>0</v>
      </c>
      <c r="E949">
        <f t="shared" si="2"/>
        <v>0</v>
      </c>
      <c r="F949" s="11"/>
    </row>
    <row r="950" spans="1:6" ht="16" x14ac:dyDescent="0.2">
      <c r="A950" s="12" t="s">
        <v>4520</v>
      </c>
      <c r="B950" s="13"/>
      <c r="C950" t="e">
        <f t="shared" si="0"/>
        <v>#N/A</v>
      </c>
      <c r="D950" t="b">
        <f t="shared" si="1"/>
        <v>0</v>
      </c>
      <c r="E950">
        <f t="shared" si="2"/>
        <v>0</v>
      </c>
      <c r="F950" s="11"/>
    </row>
    <row r="951" spans="1:6" ht="16" x14ac:dyDescent="0.2">
      <c r="A951" s="12" t="s">
        <v>4520</v>
      </c>
      <c r="B951" s="13"/>
      <c r="C951" t="e">
        <f t="shared" si="0"/>
        <v>#N/A</v>
      </c>
      <c r="D951" t="b">
        <f t="shared" si="1"/>
        <v>0</v>
      </c>
      <c r="E951">
        <f t="shared" si="2"/>
        <v>0</v>
      </c>
      <c r="F951" s="11"/>
    </row>
    <row r="952" spans="1:6" ht="16" x14ac:dyDescent="0.2">
      <c r="A952" s="12" t="s">
        <v>4521</v>
      </c>
      <c r="B952" s="13"/>
      <c r="C952" t="e">
        <f t="shared" si="0"/>
        <v>#N/A</v>
      </c>
      <c r="D952" t="b">
        <f t="shared" si="1"/>
        <v>0</v>
      </c>
      <c r="E952">
        <f t="shared" si="2"/>
        <v>0</v>
      </c>
      <c r="F952" s="11"/>
    </row>
    <row r="953" spans="1:6" ht="16" x14ac:dyDescent="0.2">
      <c r="A953" s="12" t="s">
        <v>4522</v>
      </c>
      <c r="B953" s="13"/>
      <c r="C953" t="e">
        <f t="shared" si="0"/>
        <v>#N/A</v>
      </c>
      <c r="D953" t="b">
        <f t="shared" si="1"/>
        <v>0</v>
      </c>
      <c r="E953">
        <f t="shared" si="2"/>
        <v>0</v>
      </c>
      <c r="F953" s="11"/>
    </row>
    <row r="954" spans="1:6" ht="16" x14ac:dyDescent="0.2">
      <c r="A954" s="12" t="s">
        <v>4523</v>
      </c>
      <c r="B954" s="13"/>
      <c r="C954" t="e">
        <f t="shared" si="0"/>
        <v>#N/A</v>
      </c>
      <c r="D954" t="b">
        <f t="shared" si="1"/>
        <v>0</v>
      </c>
      <c r="E954">
        <f t="shared" si="2"/>
        <v>0</v>
      </c>
      <c r="F954" s="11"/>
    </row>
    <row r="955" spans="1:6" ht="16" x14ac:dyDescent="0.2">
      <c r="A955" s="12" t="s">
        <v>4524</v>
      </c>
      <c r="B955" s="13"/>
      <c r="C955" t="e">
        <f t="shared" si="0"/>
        <v>#N/A</v>
      </c>
      <c r="D955" t="b">
        <f t="shared" si="1"/>
        <v>0</v>
      </c>
      <c r="E955">
        <f t="shared" si="2"/>
        <v>0</v>
      </c>
      <c r="F955" s="11"/>
    </row>
    <row r="956" spans="1:6" ht="16" x14ac:dyDescent="0.2">
      <c r="A956" s="12" t="s">
        <v>4525</v>
      </c>
      <c r="B956" s="13"/>
      <c r="C956" t="e">
        <f t="shared" si="0"/>
        <v>#N/A</v>
      </c>
      <c r="D956" t="b">
        <f t="shared" si="1"/>
        <v>0</v>
      </c>
      <c r="E956">
        <f t="shared" si="2"/>
        <v>0</v>
      </c>
      <c r="F956" s="11"/>
    </row>
    <row r="957" spans="1:6" ht="16" x14ac:dyDescent="0.2">
      <c r="A957" s="12" t="s">
        <v>4526</v>
      </c>
      <c r="B957" s="13"/>
      <c r="C957" t="e">
        <f t="shared" si="0"/>
        <v>#N/A</v>
      </c>
      <c r="D957" t="b">
        <f t="shared" si="1"/>
        <v>0</v>
      </c>
      <c r="E957">
        <f t="shared" si="2"/>
        <v>0</v>
      </c>
      <c r="F957" s="11"/>
    </row>
    <row r="958" spans="1:6" ht="16" x14ac:dyDescent="0.2">
      <c r="A958" s="12" t="s">
        <v>4527</v>
      </c>
      <c r="B958" s="13"/>
      <c r="C958" t="e">
        <f t="shared" si="0"/>
        <v>#N/A</v>
      </c>
      <c r="D958" t="b">
        <f t="shared" si="1"/>
        <v>0</v>
      </c>
      <c r="E958">
        <f t="shared" si="2"/>
        <v>0</v>
      </c>
      <c r="F958" s="11"/>
    </row>
    <row r="959" spans="1:6" ht="16" x14ac:dyDescent="0.2">
      <c r="A959" s="12" t="s">
        <v>4528</v>
      </c>
      <c r="B959" s="13"/>
      <c r="C959" t="e">
        <f t="shared" si="0"/>
        <v>#N/A</v>
      </c>
      <c r="D959" t="b">
        <f t="shared" si="1"/>
        <v>0</v>
      </c>
      <c r="E959">
        <f t="shared" si="2"/>
        <v>0</v>
      </c>
      <c r="F959" s="11"/>
    </row>
    <row r="960" spans="1:6" ht="16" x14ac:dyDescent="0.2">
      <c r="A960" s="12" t="s">
        <v>4529</v>
      </c>
      <c r="B960" s="13"/>
      <c r="C960" t="e">
        <f t="shared" si="0"/>
        <v>#N/A</v>
      </c>
      <c r="D960" t="b">
        <f t="shared" si="1"/>
        <v>0</v>
      </c>
      <c r="E960">
        <f t="shared" si="2"/>
        <v>0</v>
      </c>
      <c r="F960" s="11"/>
    </row>
    <row r="961" spans="1:6" ht="16" x14ac:dyDescent="0.2">
      <c r="A961" s="12" t="s">
        <v>4530</v>
      </c>
      <c r="B961" s="13"/>
      <c r="C961" t="e">
        <f t="shared" si="0"/>
        <v>#N/A</v>
      </c>
      <c r="D961" t="b">
        <f t="shared" si="1"/>
        <v>0</v>
      </c>
      <c r="E961">
        <f t="shared" si="2"/>
        <v>0</v>
      </c>
      <c r="F961" s="11"/>
    </row>
    <row r="962" spans="1:6" ht="16" x14ac:dyDescent="0.2">
      <c r="A962" s="12" t="s">
        <v>4531</v>
      </c>
      <c r="B962" s="13"/>
      <c r="C962" t="e">
        <f t="shared" si="0"/>
        <v>#N/A</v>
      </c>
      <c r="D962" t="b">
        <f t="shared" si="1"/>
        <v>0</v>
      </c>
      <c r="E962">
        <f t="shared" si="2"/>
        <v>0</v>
      </c>
      <c r="F962" s="11"/>
    </row>
    <row r="963" spans="1:6" ht="16" x14ac:dyDescent="0.2">
      <c r="A963" s="12" t="s">
        <v>4532</v>
      </c>
      <c r="B963" s="13"/>
      <c r="C963" t="e">
        <f t="shared" si="0"/>
        <v>#N/A</v>
      </c>
      <c r="D963" t="b">
        <f t="shared" si="1"/>
        <v>0</v>
      </c>
      <c r="E963">
        <f t="shared" si="2"/>
        <v>0</v>
      </c>
      <c r="F963" s="11"/>
    </row>
    <row r="964" spans="1:6" ht="16" x14ac:dyDescent="0.2">
      <c r="A964" s="12" t="s">
        <v>4533</v>
      </c>
      <c r="B964" s="13"/>
      <c r="C964" t="e">
        <f t="shared" si="0"/>
        <v>#N/A</v>
      </c>
      <c r="D964" t="b">
        <f t="shared" si="1"/>
        <v>0</v>
      </c>
      <c r="E964">
        <f t="shared" si="2"/>
        <v>0</v>
      </c>
      <c r="F964" s="11"/>
    </row>
    <row r="965" spans="1:6" ht="16" x14ac:dyDescent="0.2">
      <c r="A965" s="12" t="s">
        <v>4534</v>
      </c>
      <c r="B965" s="13"/>
      <c r="C965" t="e">
        <f t="shared" si="0"/>
        <v>#N/A</v>
      </c>
      <c r="D965" t="b">
        <f t="shared" si="1"/>
        <v>0</v>
      </c>
      <c r="E965">
        <f t="shared" si="2"/>
        <v>0</v>
      </c>
      <c r="F965" s="11"/>
    </row>
    <row r="966" spans="1:6" ht="16" x14ac:dyDescent="0.2">
      <c r="A966" s="12" t="s">
        <v>4535</v>
      </c>
      <c r="B966" s="13"/>
      <c r="C966" t="e">
        <f t="shared" si="0"/>
        <v>#N/A</v>
      </c>
      <c r="D966" t="b">
        <f t="shared" si="1"/>
        <v>0</v>
      </c>
      <c r="E966">
        <f t="shared" si="2"/>
        <v>0</v>
      </c>
      <c r="F966" s="11"/>
    </row>
    <row r="967" spans="1:6" ht="16" x14ac:dyDescent="0.2">
      <c r="A967" s="12" t="s">
        <v>4536</v>
      </c>
      <c r="B967" s="13"/>
      <c r="C967" t="e">
        <f t="shared" si="0"/>
        <v>#N/A</v>
      </c>
      <c r="D967" t="b">
        <f t="shared" si="1"/>
        <v>0</v>
      </c>
      <c r="E967">
        <f t="shared" si="2"/>
        <v>0</v>
      </c>
      <c r="F967" s="11"/>
    </row>
    <row r="968" spans="1:6" ht="16" x14ac:dyDescent="0.2">
      <c r="A968" s="12" t="s">
        <v>4537</v>
      </c>
      <c r="B968" s="13"/>
      <c r="C968" t="e">
        <f t="shared" si="0"/>
        <v>#N/A</v>
      </c>
      <c r="D968" t="b">
        <f t="shared" si="1"/>
        <v>0</v>
      </c>
      <c r="E968">
        <f t="shared" si="2"/>
        <v>0</v>
      </c>
      <c r="F968" s="11"/>
    </row>
    <row r="969" spans="1:6" ht="16" x14ac:dyDescent="0.2">
      <c r="A969" s="12" t="s">
        <v>4538</v>
      </c>
      <c r="B969" s="13"/>
      <c r="C969" t="e">
        <f t="shared" si="0"/>
        <v>#N/A</v>
      </c>
      <c r="D969" t="b">
        <f t="shared" si="1"/>
        <v>0</v>
      </c>
      <c r="E969">
        <f t="shared" si="2"/>
        <v>0</v>
      </c>
      <c r="F969" s="11"/>
    </row>
    <row r="970" spans="1:6" ht="16" x14ac:dyDescent="0.2">
      <c r="A970" s="12" t="s">
        <v>4539</v>
      </c>
      <c r="B970" s="13"/>
      <c r="C970" t="e">
        <f t="shared" si="0"/>
        <v>#N/A</v>
      </c>
      <c r="D970" t="b">
        <f t="shared" si="1"/>
        <v>0</v>
      </c>
      <c r="E970">
        <f t="shared" si="2"/>
        <v>0</v>
      </c>
      <c r="F970" s="11"/>
    </row>
    <row r="971" spans="1:6" ht="16" x14ac:dyDescent="0.2">
      <c r="A971" s="12" t="s">
        <v>4540</v>
      </c>
      <c r="B971" s="13"/>
      <c r="C971" t="e">
        <f t="shared" si="0"/>
        <v>#N/A</v>
      </c>
      <c r="D971" t="b">
        <f t="shared" si="1"/>
        <v>0</v>
      </c>
      <c r="E971">
        <f t="shared" si="2"/>
        <v>0</v>
      </c>
      <c r="F971" s="11"/>
    </row>
    <row r="972" spans="1:6" ht="16" x14ac:dyDescent="0.2">
      <c r="A972" s="12" t="s">
        <v>4541</v>
      </c>
      <c r="B972" s="13"/>
      <c r="C972" t="e">
        <f t="shared" si="0"/>
        <v>#N/A</v>
      </c>
      <c r="D972" t="b">
        <f t="shared" si="1"/>
        <v>0</v>
      </c>
      <c r="E972">
        <f t="shared" si="2"/>
        <v>0</v>
      </c>
      <c r="F972" s="11"/>
    </row>
    <row r="973" spans="1:6" ht="16" x14ac:dyDescent="0.2">
      <c r="A973" s="12" t="s">
        <v>4542</v>
      </c>
      <c r="B973" s="13"/>
      <c r="C973" t="e">
        <f t="shared" si="0"/>
        <v>#N/A</v>
      </c>
      <c r="D973" t="b">
        <f t="shared" si="1"/>
        <v>0</v>
      </c>
      <c r="E973">
        <f t="shared" si="2"/>
        <v>0</v>
      </c>
      <c r="F973" s="11"/>
    </row>
    <row r="974" spans="1:6" ht="16" x14ac:dyDescent="0.2">
      <c r="A974" s="14" t="s">
        <v>4543</v>
      </c>
      <c r="B974" s="13"/>
      <c r="C974" t="e">
        <f t="shared" si="0"/>
        <v>#N/A</v>
      </c>
      <c r="D974" t="b">
        <f t="shared" si="1"/>
        <v>0</v>
      </c>
      <c r="E974">
        <f t="shared" si="2"/>
        <v>0</v>
      </c>
      <c r="F974" s="11"/>
    </row>
    <row r="975" spans="1:6" ht="16" x14ac:dyDescent="0.2">
      <c r="A975" s="12" t="s">
        <v>4544</v>
      </c>
      <c r="B975" s="13"/>
      <c r="C975" t="e">
        <f t="shared" si="0"/>
        <v>#N/A</v>
      </c>
      <c r="D975" t="b">
        <f t="shared" si="1"/>
        <v>0</v>
      </c>
      <c r="E975">
        <f t="shared" si="2"/>
        <v>0</v>
      </c>
      <c r="F975" s="11"/>
    </row>
    <row r="976" spans="1:6" ht="16" x14ac:dyDescent="0.2">
      <c r="A976" s="12" t="s">
        <v>4545</v>
      </c>
      <c r="B976" s="13"/>
      <c r="C976" t="e">
        <f t="shared" si="0"/>
        <v>#N/A</v>
      </c>
      <c r="D976" t="b">
        <f t="shared" si="1"/>
        <v>0</v>
      </c>
      <c r="E976">
        <f t="shared" si="2"/>
        <v>0</v>
      </c>
      <c r="F976" s="11"/>
    </row>
    <row r="977" spans="1:6" ht="16" x14ac:dyDescent="0.2">
      <c r="A977" s="12" t="s">
        <v>4546</v>
      </c>
      <c r="B977" s="13"/>
      <c r="C977" t="e">
        <f t="shared" si="0"/>
        <v>#N/A</v>
      </c>
      <c r="D977" t="b">
        <f t="shared" si="1"/>
        <v>0</v>
      </c>
      <c r="E977">
        <f t="shared" si="2"/>
        <v>0</v>
      </c>
      <c r="F977" s="11"/>
    </row>
    <row r="978" spans="1:6" ht="16" x14ac:dyDescent="0.2">
      <c r="A978" s="12" t="s">
        <v>4547</v>
      </c>
      <c r="B978" s="13"/>
      <c r="C978" t="e">
        <f t="shared" si="0"/>
        <v>#N/A</v>
      </c>
      <c r="D978" t="b">
        <f t="shared" si="1"/>
        <v>0</v>
      </c>
      <c r="E978">
        <f t="shared" si="2"/>
        <v>0</v>
      </c>
      <c r="F978" s="11"/>
    </row>
    <row r="979" spans="1:6" ht="16" x14ac:dyDescent="0.2">
      <c r="A979" s="12" t="s">
        <v>4548</v>
      </c>
      <c r="B979" s="13"/>
      <c r="C979" t="e">
        <f t="shared" si="0"/>
        <v>#N/A</v>
      </c>
      <c r="D979" t="b">
        <f t="shared" si="1"/>
        <v>0</v>
      </c>
      <c r="E979">
        <f t="shared" si="2"/>
        <v>0</v>
      </c>
      <c r="F979" s="11"/>
    </row>
    <row r="980" spans="1:6" ht="16" x14ac:dyDescent="0.2">
      <c r="A980" s="12" t="s">
        <v>4549</v>
      </c>
      <c r="B980" s="13"/>
      <c r="C980" t="e">
        <f t="shared" si="0"/>
        <v>#N/A</v>
      </c>
      <c r="D980" t="b">
        <f t="shared" si="1"/>
        <v>0</v>
      </c>
      <c r="E980">
        <f t="shared" si="2"/>
        <v>0</v>
      </c>
      <c r="F980" s="11"/>
    </row>
    <row r="981" spans="1:6" ht="16" x14ac:dyDescent="0.2">
      <c r="A981" s="12" t="s">
        <v>4550</v>
      </c>
      <c r="B981" s="13"/>
      <c r="C981" t="e">
        <f t="shared" si="0"/>
        <v>#N/A</v>
      </c>
      <c r="D981" t="b">
        <f t="shared" si="1"/>
        <v>0</v>
      </c>
      <c r="E981">
        <f t="shared" si="2"/>
        <v>0</v>
      </c>
      <c r="F981" s="11"/>
    </row>
    <row r="982" spans="1:6" ht="16" x14ac:dyDescent="0.2">
      <c r="A982" s="12" t="s">
        <v>4551</v>
      </c>
      <c r="B982" s="13"/>
      <c r="C982" t="e">
        <f t="shared" si="0"/>
        <v>#N/A</v>
      </c>
      <c r="D982" t="b">
        <f t="shared" si="1"/>
        <v>0</v>
      </c>
      <c r="E982">
        <f t="shared" si="2"/>
        <v>0</v>
      </c>
      <c r="F982" s="11"/>
    </row>
    <row r="983" spans="1:6" ht="16" x14ac:dyDescent="0.2">
      <c r="A983" s="12" t="s">
        <v>4552</v>
      </c>
      <c r="B983" s="13"/>
      <c r="C983" t="e">
        <f t="shared" si="0"/>
        <v>#N/A</v>
      </c>
      <c r="D983" t="b">
        <f t="shared" si="1"/>
        <v>0</v>
      </c>
      <c r="E983">
        <f t="shared" si="2"/>
        <v>0</v>
      </c>
      <c r="F983" s="11"/>
    </row>
    <row r="984" spans="1:6" ht="16" x14ac:dyDescent="0.2">
      <c r="A984" s="12" t="s">
        <v>4553</v>
      </c>
      <c r="B984" s="13"/>
      <c r="C984" t="e">
        <f t="shared" si="0"/>
        <v>#N/A</v>
      </c>
      <c r="D984" t="b">
        <f t="shared" si="1"/>
        <v>0</v>
      </c>
      <c r="E984">
        <f t="shared" si="2"/>
        <v>0</v>
      </c>
      <c r="F984" s="11"/>
    </row>
    <row r="985" spans="1:6" ht="16" x14ac:dyDescent="0.2">
      <c r="A985" s="12" t="s">
        <v>4553</v>
      </c>
      <c r="B985" s="13"/>
      <c r="C985" t="e">
        <f t="shared" si="0"/>
        <v>#N/A</v>
      </c>
      <c r="D985" t="b">
        <f t="shared" si="1"/>
        <v>0</v>
      </c>
      <c r="E985">
        <f t="shared" si="2"/>
        <v>0</v>
      </c>
      <c r="F985" s="11"/>
    </row>
    <row r="986" spans="1:6" ht="16" x14ac:dyDescent="0.2">
      <c r="A986" s="12" t="s">
        <v>4554</v>
      </c>
      <c r="B986" s="13"/>
      <c r="C986" t="e">
        <f t="shared" si="0"/>
        <v>#N/A</v>
      </c>
      <c r="D986" t="b">
        <f t="shared" si="1"/>
        <v>0</v>
      </c>
      <c r="E986">
        <f t="shared" si="2"/>
        <v>0</v>
      </c>
      <c r="F986" s="11"/>
    </row>
    <row r="987" spans="1:6" ht="16" x14ac:dyDescent="0.2">
      <c r="A987" s="12" t="s">
        <v>4555</v>
      </c>
      <c r="B987" s="13"/>
      <c r="C987" t="e">
        <f t="shared" si="0"/>
        <v>#N/A</v>
      </c>
      <c r="D987" t="b">
        <f t="shared" si="1"/>
        <v>0</v>
      </c>
      <c r="E987">
        <f t="shared" si="2"/>
        <v>0</v>
      </c>
      <c r="F987" s="11"/>
    </row>
    <row r="988" spans="1:6" ht="16" x14ac:dyDescent="0.2">
      <c r="A988" s="12" t="s">
        <v>4556</v>
      </c>
      <c r="B988" s="13"/>
      <c r="C988" t="e">
        <f t="shared" si="0"/>
        <v>#N/A</v>
      </c>
      <c r="D988" t="b">
        <f t="shared" si="1"/>
        <v>0</v>
      </c>
      <c r="E988">
        <f t="shared" si="2"/>
        <v>0</v>
      </c>
      <c r="F988" s="11"/>
    </row>
    <row r="989" spans="1:6" ht="16" x14ac:dyDescent="0.2">
      <c r="A989" s="12" t="s">
        <v>4557</v>
      </c>
      <c r="B989" s="13"/>
      <c r="C989" t="e">
        <f t="shared" si="0"/>
        <v>#N/A</v>
      </c>
      <c r="D989" t="b">
        <f t="shared" si="1"/>
        <v>0</v>
      </c>
      <c r="E989">
        <f t="shared" si="2"/>
        <v>0</v>
      </c>
      <c r="F989" s="11"/>
    </row>
    <row r="990" spans="1:6" ht="16" x14ac:dyDescent="0.2">
      <c r="A990" s="12" t="s">
        <v>4558</v>
      </c>
      <c r="B990" s="13"/>
      <c r="C990" t="e">
        <f t="shared" si="0"/>
        <v>#N/A</v>
      </c>
      <c r="D990" t="b">
        <f t="shared" si="1"/>
        <v>0</v>
      </c>
      <c r="E990">
        <f t="shared" si="2"/>
        <v>0</v>
      </c>
      <c r="F990" s="11"/>
    </row>
    <row r="991" spans="1:6" ht="16" x14ac:dyDescent="0.2">
      <c r="A991" s="12" t="s">
        <v>4559</v>
      </c>
      <c r="B991" s="13"/>
      <c r="C991" t="e">
        <f t="shared" si="0"/>
        <v>#N/A</v>
      </c>
      <c r="D991" t="b">
        <f t="shared" si="1"/>
        <v>0</v>
      </c>
      <c r="E991">
        <f t="shared" si="2"/>
        <v>0</v>
      </c>
      <c r="F991" s="11"/>
    </row>
    <row r="992" spans="1:6" ht="16" x14ac:dyDescent="0.2">
      <c r="A992" s="12" t="s">
        <v>4560</v>
      </c>
      <c r="B992" s="13"/>
      <c r="C992" t="e">
        <f t="shared" si="0"/>
        <v>#N/A</v>
      </c>
      <c r="D992" t="b">
        <f t="shared" si="1"/>
        <v>0</v>
      </c>
      <c r="E992">
        <f t="shared" si="2"/>
        <v>0</v>
      </c>
      <c r="F992" s="11"/>
    </row>
    <row r="993" spans="1:6" ht="16" x14ac:dyDescent="0.2">
      <c r="A993" s="12" t="s">
        <v>4561</v>
      </c>
      <c r="B993" s="13"/>
      <c r="C993" t="e">
        <f t="shared" si="0"/>
        <v>#N/A</v>
      </c>
      <c r="D993" t="b">
        <f t="shared" si="1"/>
        <v>0</v>
      </c>
      <c r="E993">
        <f t="shared" si="2"/>
        <v>0</v>
      </c>
      <c r="F993" s="11"/>
    </row>
    <row r="994" spans="1:6" ht="16" x14ac:dyDescent="0.2">
      <c r="A994" s="12" t="s">
        <v>4562</v>
      </c>
      <c r="B994" s="13"/>
      <c r="C994" t="e">
        <f t="shared" si="0"/>
        <v>#N/A</v>
      </c>
      <c r="D994" t="b">
        <f t="shared" si="1"/>
        <v>0</v>
      </c>
      <c r="E994">
        <f t="shared" si="2"/>
        <v>0</v>
      </c>
      <c r="F994" s="11"/>
    </row>
    <row r="995" spans="1:6" ht="16" x14ac:dyDescent="0.2">
      <c r="A995" s="12" t="s">
        <v>4563</v>
      </c>
      <c r="B995" s="13"/>
      <c r="C995" t="e">
        <f t="shared" si="0"/>
        <v>#N/A</v>
      </c>
      <c r="D995" t="b">
        <f t="shared" si="1"/>
        <v>0</v>
      </c>
      <c r="E995">
        <f t="shared" si="2"/>
        <v>0</v>
      </c>
      <c r="F995" s="11"/>
    </row>
    <row r="996" spans="1:6" ht="16" x14ac:dyDescent="0.2">
      <c r="A996" s="12" t="s">
        <v>4564</v>
      </c>
      <c r="B996" s="13"/>
      <c r="C996" t="e">
        <f t="shared" si="0"/>
        <v>#N/A</v>
      </c>
      <c r="D996" t="b">
        <f t="shared" si="1"/>
        <v>0</v>
      </c>
      <c r="E996">
        <f t="shared" si="2"/>
        <v>0</v>
      </c>
      <c r="F996" s="11"/>
    </row>
    <row r="997" spans="1:6" ht="16" x14ac:dyDescent="0.2">
      <c r="A997" s="12" t="s">
        <v>4565</v>
      </c>
      <c r="B997" s="13"/>
      <c r="C997" t="e">
        <f t="shared" si="0"/>
        <v>#N/A</v>
      </c>
      <c r="D997" t="b">
        <f t="shared" si="1"/>
        <v>0</v>
      </c>
      <c r="E997">
        <f t="shared" si="2"/>
        <v>0</v>
      </c>
      <c r="F997" s="11"/>
    </row>
    <row r="998" spans="1:6" ht="16" x14ac:dyDescent="0.2">
      <c r="A998" s="12" t="s">
        <v>4566</v>
      </c>
      <c r="B998" s="13"/>
      <c r="C998" t="e">
        <f t="shared" si="0"/>
        <v>#N/A</v>
      </c>
      <c r="D998" t="b">
        <f t="shared" si="1"/>
        <v>0</v>
      </c>
      <c r="E998">
        <f t="shared" si="2"/>
        <v>0</v>
      </c>
      <c r="F998" s="11"/>
    </row>
    <row r="999" spans="1:6" ht="16" x14ac:dyDescent="0.2">
      <c r="A999" s="12" t="s">
        <v>4567</v>
      </c>
      <c r="B999" s="13"/>
      <c r="C999" t="e">
        <f t="shared" si="0"/>
        <v>#N/A</v>
      </c>
      <c r="D999" t="b">
        <f t="shared" si="1"/>
        <v>0</v>
      </c>
      <c r="E999">
        <f t="shared" si="2"/>
        <v>0</v>
      </c>
      <c r="F999" s="11"/>
    </row>
    <row r="1000" spans="1:6" ht="16" x14ac:dyDescent="0.2">
      <c r="A1000" s="12" t="s">
        <v>4568</v>
      </c>
      <c r="B1000" s="13"/>
      <c r="C1000" t="e">
        <f t="shared" si="0"/>
        <v>#N/A</v>
      </c>
      <c r="D1000" t="b">
        <f t="shared" si="1"/>
        <v>0</v>
      </c>
      <c r="E1000">
        <f t="shared" si="2"/>
        <v>0</v>
      </c>
      <c r="F1000" s="11"/>
    </row>
    <row r="1001" spans="1:6" ht="16" x14ac:dyDescent="0.2">
      <c r="A1001" s="12" t="s">
        <v>4569</v>
      </c>
      <c r="B1001" s="13"/>
      <c r="C1001" t="e">
        <f t="shared" si="0"/>
        <v>#N/A</v>
      </c>
      <c r="D1001" t="b">
        <f t="shared" si="1"/>
        <v>0</v>
      </c>
      <c r="E1001">
        <f t="shared" si="2"/>
        <v>0</v>
      </c>
      <c r="F1001" s="11"/>
    </row>
    <row r="1002" spans="1:6" ht="16" x14ac:dyDescent="0.2">
      <c r="A1002" s="12" t="s">
        <v>4570</v>
      </c>
      <c r="B1002" s="13"/>
      <c r="C1002" t="e">
        <f t="shared" si="0"/>
        <v>#N/A</v>
      </c>
      <c r="D1002" t="b">
        <f t="shared" si="1"/>
        <v>0</v>
      </c>
      <c r="E1002">
        <f t="shared" si="2"/>
        <v>0</v>
      </c>
      <c r="F1002" s="11"/>
    </row>
    <row r="1003" spans="1:6" ht="16" x14ac:dyDescent="0.2">
      <c r="A1003" s="12" t="s">
        <v>4571</v>
      </c>
      <c r="B1003" s="13"/>
      <c r="C1003" t="e">
        <f t="shared" si="0"/>
        <v>#N/A</v>
      </c>
      <c r="D1003" t="b">
        <f t="shared" si="1"/>
        <v>0</v>
      </c>
      <c r="E1003">
        <f t="shared" si="2"/>
        <v>0</v>
      </c>
      <c r="F1003" s="11"/>
    </row>
    <row r="1004" spans="1:6" ht="16" x14ac:dyDescent="0.2">
      <c r="A1004" s="12" t="s">
        <v>4572</v>
      </c>
      <c r="B1004" s="13"/>
      <c r="C1004" t="e">
        <f t="shared" si="0"/>
        <v>#N/A</v>
      </c>
      <c r="D1004" t="b">
        <f t="shared" si="1"/>
        <v>0</v>
      </c>
      <c r="E1004">
        <f t="shared" si="2"/>
        <v>0</v>
      </c>
      <c r="F1004" s="11"/>
    </row>
    <row r="1005" spans="1:6" ht="16" x14ac:dyDescent="0.2">
      <c r="A1005" s="12" t="s">
        <v>4573</v>
      </c>
      <c r="B1005" s="13"/>
      <c r="C1005" t="e">
        <f t="shared" si="0"/>
        <v>#N/A</v>
      </c>
      <c r="D1005" t="b">
        <f t="shared" si="1"/>
        <v>0</v>
      </c>
      <c r="E1005">
        <f t="shared" si="2"/>
        <v>0</v>
      </c>
      <c r="F1005" s="11"/>
    </row>
    <row r="1006" spans="1:6" ht="16" x14ac:dyDescent="0.2">
      <c r="A1006" s="12" t="s">
        <v>4574</v>
      </c>
      <c r="B1006" s="13"/>
      <c r="C1006" t="e">
        <f t="shared" si="0"/>
        <v>#N/A</v>
      </c>
      <c r="D1006" t="b">
        <f t="shared" si="1"/>
        <v>0</v>
      </c>
      <c r="E1006">
        <f t="shared" si="2"/>
        <v>0</v>
      </c>
      <c r="F1006" s="11"/>
    </row>
    <row r="1007" spans="1:6" ht="16" x14ac:dyDescent="0.2">
      <c r="A1007" s="12" t="s">
        <v>4575</v>
      </c>
      <c r="B1007" s="13"/>
      <c r="C1007" t="e">
        <f t="shared" si="0"/>
        <v>#N/A</v>
      </c>
      <c r="D1007" t="b">
        <f t="shared" si="1"/>
        <v>0</v>
      </c>
      <c r="E1007">
        <f t="shared" si="2"/>
        <v>0</v>
      </c>
      <c r="F1007" s="11"/>
    </row>
    <row r="1008" spans="1:6" ht="16" x14ac:dyDescent="0.2">
      <c r="A1008" s="12" t="s">
        <v>4576</v>
      </c>
      <c r="B1008" s="13"/>
      <c r="C1008" t="e">
        <f t="shared" si="0"/>
        <v>#N/A</v>
      </c>
      <c r="D1008" t="b">
        <f t="shared" si="1"/>
        <v>0</v>
      </c>
      <c r="E1008">
        <f t="shared" si="2"/>
        <v>0</v>
      </c>
      <c r="F1008" s="11"/>
    </row>
    <row r="1009" spans="1:6" ht="16" x14ac:dyDescent="0.2">
      <c r="A1009" s="12" t="s">
        <v>4577</v>
      </c>
      <c r="B1009" s="13"/>
      <c r="C1009" t="e">
        <f t="shared" si="0"/>
        <v>#N/A</v>
      </c>
      <c r="D1009" t="b">
        <f t="shared" si="1"/>
        <v>0</v>
      </c>
      <c r="E1009">
        <f t="shared" si="2"/>
        <v>0</v>
      </c>
      <c r="F1009" s="11"/>
    </row>
    <row r="1010" spans="1:6" ht="16" x14ac:dyDescent="0.2">
      <c r="A1010" s="12" t="s">
        <v>4578</v>
      </c>
      <c r="B1010" s="13"/>
      <c r="C1010" t="e">
        <f t="shared" si="0"/>
        <v>#N/A</v>
      </c>
      <c r="D1010" t="b">
        <f t="shared" si="1"/>
        <v>0</v>
      </c>
      <c r="E1010">
        <f t="shared" si="2"/>
        <v>0</v>
      </c>
      <c r="F1010" s="11"/>
    </row>
    <row r="1011" spans="1:6" ht="16" x14ac:dyDescent="0.2">
      <c r="A1011" s="12" t="s">
        <v>4579</v>
      </c>
      <c r="B1011" s="13"/>
      <c r="C1011" t="e">
        <f t="shared" si="0"/>
        <v>#N/A</v>
      </c>
      <c r="D1011" t="b">
        <f t="shared" si="1"/>
        <v>0</v>
      </c>
      <c r="E1011">
        <f t="shared" si="2"/>
        <v>0</v>
      </c>
      <c r="F1011" s="11"/>
    </row>
    <row r="1012" spans="1:6" ht="16" x14ac:dyDescent="0.2">
      <c r="A1012" s="12" t="s">
        <v>4580</v>
      </c>
      <c r="B1012" s="13"/>
      <c r="C1012" t="e">
        <f t="shared" si="0"/>
        <v>#N/A</v>
      </c>
      <c r="D1012" t="b">
        <f t="shared" si="1"/>
        <v>0</v>
      </c>
      <c r="E1012">
        <f t="shared" si="2"/>
        <v>0</v>
      </c>
      <c r="F1012" s="11"/>
    </row>
    <row r="1013" spans="1:6" ht="16" x14ac:dyDescent="0.2">
      <c r="A1013" s="12" t="s">
        <v>4581</v>
      </c>
      <c r="B1013" s="13"/>
      <c r="C1013" t="e">
        <f t="shared" si="0"/>
        <v>#N/A</v>
      </c>
      <c r="D1013" t="b">
        <f t="shared" si="1"/>
        <v>0</v>
      </c>
      <c r="E1013">
        <f t="shared" si="2"/>
        <v>0</v>
      </c>
      <c r="F1013" s="11"/>
    </row>
    <row r="1014" spans="1:6" ht="16" x14ac:dyDescent="0.2">
      <c r="A1014" s="12" t="s">
        <v>4582</v>
      </c>
      <c r="B1014" s="13"/>
      <c r="C1014" t="e">
        <f t="shared" si="0"/>
        <v>#N/A</v>
      </c>
      <c r="D1014" t="b">
        <f t="shared" si="1"/>
        <v>0</v>
      </c>
      <c r="E1014">
        <f t="shared" si="2"/>
        <v>0</v>
      </c>
      <c r="F1014" s="11"/>
    </row>
    <row r="1015" spans="1:6" ht="16" x14ac:dyDescent="0.2">
      <c r="A1015" s="12" t="s">
        <v>4583</v>
      </c>
      <c r="B1015" s="13"/>
      <c r="C1015" t="e">
        <f t="shared" si="0"/>
        <v>#N/A</v>
      </c>
      <c r="D1015" t="b">
        <f t="shared" si="1"/>
        <v>0</v>
      </c>
      <c r="E1015">
        <f t="shared" si="2"/>
        <v>0</v>
      </c>
      <c r="F1015" s="11"/>
    </row>
    <row r="1016" spans="1:6" ht="16" x14ac:dyDescent="0.2">
      <c r="A1016" s="12" t="s">
        <v>4584</v>
      </c>
      <c r="B1016" s="13"/>
      <c r="C1016" t="e">
        <f t="shared" si="0"/>
        <v>#N/A</v>
      </c>
      <c r="D1016" t="b">
        <f t="shared" si="1"/>
        <v>0</v>
      </c>
      <c r="E1016">
        <f t="shared" si="2"/>
        <v>0</v>
      </c>
      <c r="F1016" s="11"/>
    </row>
    <row r="1017" spans="1:6" ht="16" x14ac:dyDescent="0.2">
      <c r="A1017" s="12" t="s">
        <v>4585</v>
      </c>
      <c r="B1017" s="13"/>
      <c r="C1017" t="e">
        <f t="shared" si="0"/>
        <v>#N/A</v>
      </c>
      <c r="D1017" t="b">
        <f t="shared" si="1"/>
        <v>0</v>
      </c>
      <c r="E1017">
        <f t="shared" si="2"/>
        <v>0</v>
      </c>
      <c r="F1017" s="11"/>
    </row>
    <row r="1018" spans="1:6" ht="16" x14ac:dyDescent="0.2">
      <c r="A1018" s="12" t="s">
        <v>4586</v>
      </c>
      <c r="B1018" s="13"/>
      <c r="C1018" t="e">
        <f t="shared" si="0"/>
        <v>#N/A</v>
      </c>
      <c r="D1018" t="b">
        <f t="shared" si="1"/>
        <v>0</v>
      </c>
      <c r="E1018">
        <f t="shared" si="2"/>
        <v>0</v>
      </c>
      <c r="F1018" s="11"/>
    </row>
    <row r="1019" spans="1:6" ht="16" x14ac:dyDescent="0.2">
      <c r="A1019" s="12" t="s">
        <v>4586</v>
      </c>
      <c r="B1019" s="13"/>
      <c r="C1019" t="e">
        <f t="shared" si="0"/>
        <v>#N/A</v>
      </c>
      <c r="D1019" t="b">
        <f t="shared" si="1"/>
        <v>0</v>
      </c>
      <c r="E1019">
        <f t="shared" si="2"/>
        <v>0</v>
      </c>
      <c r="F1019" s="11"/>
    </row>
    <row r="1020" spans="1:6" ht="16" x14ac:dyDescent="0.2">
      <c r="A1020" s="12" t="s">
        <v>4587</v>
      </c>
      <c r="B1020" s="13"/>
      <c r="C1020" t="e">
        <f t="shared" si="0"/>
        <v>#N/A</v>
      </c>
      <c r="D1020" t="b">
        <f t="shared" si="1"/>
        <v>0</v>
      </c>
      <c r="E1020">
        <f t="shared" si="2"/>
        <v>0</v>
      </c>
      <c r="F1020" s="11"/>
    </row>
    <row r="1021" spans="1:6" ht="16" x14ac:dyDescent="0.2">
      <c r="A1021" s="12" t="s">
        <v>4588</v>
      </c>
      <c r="B1021" s="13"/>
      <c r="C1021" t="e">
        <f t="shared" si="0"/>
        <v>#N/A</v>
      </c>
      <c r="D1021" t="b">
        <f t="shared" si="1"/>
        <v>0</v>
      </c>
      <c r="E1021">
        <f t="shared" si="2"/>
        <v>0</v>
      </c>
      <c r="F1021" s="11"/>
    </row>
    <row r="1022" spans="1:6" ht="16" x14ac:dyDescent="0.2">
      <c r="A1022" s="12" t="s">
        <v>4589</v>
      </c>
      <c r="B1022" s="13"/>
      <c r="C1022" t="e">
        <f t="shared" si="0"/>
        <v>#N/A</v>
      </c>
      <c r="D1022" t="b">
        <f t="shared" si="1"/>
        <v>0</v>
      </c>
      <c r="E1022">
        <f t="shared" si="2"/>
        <v>0</v>
      </c>
      <c r="F1022" s="11"/>
    </row>
    <row r="1023" spans="1:6" ht="16" x14ac:dyDescent="0.2">
      <c r="A1023" s="12" t="s">
        <v>4590</v>
      </c>
      <c r="B1023" s="13"/>
      <c r="C1023" t="e">
        <f t="shared" si="0"/>
        <v>#N/A</v>
      </c>
      <c r="D1023" t="b">
        <f t="shared" si="1"/>
        <v>0</v>
      </c>
      <c r="E1023">
        <f t="shared" si="2"/>
        <v>0</v>
      </c>
      <c r="F1023" s="11"/>
    </row>
    <row r="1024" spans="1:6" ht="16" x14ac:dyDescent="0.2">
      <c r="A1024" s="12" t="s">
        <v>4591</v>
      </c>
      <c r="B1024" s="13"/>
      <c r="C1024" t="e">
        <f t="shared" si="0"/>
        <v>#N/A</v>
      </c>
      <c r="D1024" t="b">
        <f t="shared" si="1"/>
        <v>0</v>
      </c>
      <c r="E1024">
        <f t="shared" si="2"/>
        <v>0</v>
      </c>
      <c r="F1024" s="11"/>
    </row>
    <row r="1025" spans="1:6" ht="16" x14ac:dyDescent="0.2">
      <c r="A1025" s="12" t="s">
        <v>4592</v>
      </c>
      <c r="B1025" s="13"/>
      <c r="C1025" t="e">
        <f t="shared" si="0"/>
        <v>#N/A</v>
      </c>
      <c r="D1025" t="b">
        <f t="shared" si="1"/>
        <v>0</v>
      </c>
      <c r="E1025">
        <f t="shared" si="2"/>
        <v>0</v>
      </c>
      <c r="F1025" s="11"/>
    </row>
    <row r="1026" spans="1:6" ht="16" x14ac:dyDescent="0.2">
      <c r="A1026" s="12" t="s">
        <v>4593</v>
      </c>
      <c r="B1026" s="13"/>
      <c r="C1026" t="e">
        <f t="shared" si="0"/>
        <v>#N/A</v>
      </c>
      <c r="D1026" t="b">
        <f t="shared" si="1"/>
        <v>0</v>
      </c>
      <c r="E1026">
        <f t="shared" si="2"/>
        <v>0</v>
      </c>
      <c r="F1026" s="11"/>
    </row>
    <row r="1027" spans="1:6" ht="16" x14ac:dyDescent="0.2">
      <c r="A1027" s="12" t="s">
        <v>4594</v>
      </c>
      <c r="B1027" s="13"/>
      <c r="C1027" t="e">
        <f t="shared" si="0"/>
        <v>#N/A</v>
      </c>
      <c r="D1027" t="b">
        <f t="shared" si="1"/>
        <v>0</v>
      </c>
      <c r="E1027">
        <f t="shared" si="2"/>
        <v>0</v>
      </c>
      <c r="F1027" s="11"/>
    </row>
    <row r="1028" spans="1:6" ht="16" x14ac:dyDescent="0.2">
      <c r="A1028" s="12" t="s">
        <v>4595</v>
      </c>
      <c r="B1028" s="13"/>
      <c r="C1028" t="e">
        <f t="shared" si="0"/>
        <v>#N/A</v>
      </c>
      <c r="D1028" t="b">
        <f t="shared" si="1"/>
        <v>0</v>
      </c>
      <c r="E1028">
        <f t="shared" si="2"/>
        <v>0</v>
      </c>
      <c r="F1028" s="11"/>
    </row>
    <row r="1029" spans="1:6" ht="16" x14ac:dyDescent="0.2">
      <c r="A1029" s="12" t="s">
        <v>4596</v>
      </c>
      <c r="B1029" s="13"/>
      <c r="C1029" t="e">
        <f t="shared" si="0"/>
        <v>#N/A</v>
      </c>
      <c r="D1029" t="b">
        <f t="shared" si="1"/>
        <v>0</v>
      </c>
      <c r="E1029">
        <f t="shared" si="2"/>
        <v>0</v>
      </c>
      <c r="F1029" s="11"/>
    </row>
    <row r="1030" spans="1:6" ht="16" x14ac:dyDescent="0.2">
      <c r="A1030" s="12" t="s">
        <v>4597</v>
      </c>
      <c r="B1030" s="13"/>
      <c r="C1030" t="e">
        <f t="shared" si="0"/>
        <v>#N/A</v>
      </c>
      <c r="D1030" t="b">
        <f t="shared" si="1"/>
        <v>0</v>
      </c>
      <c r="E1030">
        <f t="shared" si="2"/>
        <v>0</v>
      </c>
      <c r="F1030" s="11"/>
    </row>
    <row r="1031" spans="1:6" ht="16" x14ac:dyDescent="0.2">
      <c r="A1031" s="12" t="s">
        <v>4598</v>
      </c>
      <c r="B1031" s="13"/>
      <c r="C1031" t="e">
        <f t="shared" si="0"/>
        <v>#N/A</v>
      </c>
      <c r="D1031" t="b">
        <f t="shared" si="1"/>
        <v>0</v>
      </c>
      <c r="E1031">
        <f t="shared" si="2"/>
        <v>0</v>
      </c>
      <c r="F1031" s="11"/>
    </row>
    <row r="1032" spans="1:6" ht="16" x14ac:dyDescent="0.2">
      <c r="A1032" s="12" t="s">
        <v>4599</v>
      </c>
      <c r="B1032" s="13"/>
      <c r="C1032" t="e">
        <f t="shared" si="0"/>
        <v>#N/A</v>
      </c>
      <c r="D1032" t="b">
        <f t="shared" si="1"/>
        <v>0</v>
      </c>
      <c r="E1032">
        <f t="shared" si="2"/>
        <v>0</v>
      </c>
      <c r="F1032" s="11"/>
    </row>
    <row r="1033" spans="1:6" ht="16" x14ac:dyDescent="0.2">
      <c r="A1033" s="12" t="s">
        <v>4600</v>
      </c>
      <c r="B1033" s="13"/>
      <c r="C1033" t="e">
        <f t="shared" si="0"/>
        <v>#N/A</v>
      </c>
      <c r="D1033" t="b">
        <f t="shared" si="1"/>
        <v>0</v>
      </c>
      <c r="E1033">
        <f t="shared" si="2"/>
        <v>0</v>
      </c>
      <c r="F1033" s="11"/>
    </row>
    <row r="1034" spans="1:6" ht="16" x14ac:dyDescent="0.2">
      <c r="A1034" s="12" t="s">
        <v>4601</v>
      </c>
      <c r="B1034" s="13"/>
      <c r="C1034" t="e">
        <f t="shared" si="0"/>
        <v>#N/A</v>
      </c>
      <c r="D1034" t="b">
        <f t="shared" si="1"/>
        <v>0</v>
      </c>
      <c r="E1034">
        <f t="shared" si="2"/>
        <v>0</v>
      </c>
      <c r="F1034" s="11"/>
    </row>
    <row r="1035" spans="1:6" ht="16" x14ac:dyDescent="0.2">
      <c r="A1035" s="12" t="s">
        <v>4602</v>
      </c>
      <c r="B1035" s="13"/>
      <c r="C1035" t="e">
        <f t="shared" si="0"/>
        <v>#N/A</v>
      </c>
      <c r="D1035" t="b">
        <f t="shared" si="1"/>
        <v>0</v>
      </c>
      <c r="E1035">
        <f t="shared" si="2"/>
        <v>0</v>
      </c>
      <c r="F1035" s="11"/>
    </row>
    <row r="1036" spans="1:6" ht="16" x14ac:dyDescent="0.2">
      <c r="A1036" s="12" t="s">
        <v>4603</v>
      </c>
      <c r="B1036" s="13"/>
      <c r="C1036" t="e">
        <f t="shared" si="0"/>
        <v>#N/A</v>
      </c>
      <c r="D1036" t="b">
        <f t="shared" si="1"/>
        <v>0</v>
      </c>
      <c r="E1036">
        <f t="shared" si="2"/>
        <v>0</v>
      </c>
      <c r="F1036" s="11"/>
    </row>
    <row r="1037" spans="1:6" ht="16" x14ac:dyDescent="0.2">
      <c r="A1037" s="12" t="s">
        <v>4604</v>
      </c>
      <c r="B1037" s="13"/>
      <c r="C1037" t="e">
        <f t="shared" si="0"/>
        <v>#N/A</v>
      </c>
      <c r="D1037" t="b">
        <f t="shared" si="1"/>
        <v>0</v>
      </c>
      <c r="E1037">
        <f t="shared" si="2"/>
        <v>0</v>
      </c>
      <c r="F1037" s="11"/>
    </row>
    <row r="1038" spans="1:6" ht="16" x14ac:dyDescent="0.2">
      <c r="A1038" s="12" t="s">
        <v>4605</v>
      </c>
      <c r="B1038" s="13"/>
      <c r="C1038" t="e">
        <f t="shared" si="0"/>
        <v>#N/A</v>
      </c>
      <c r="D1038" t="b">
        <f t="shared" si="1"/>
        <v>0</v>
      </c>
      <c r="E1038">
        <f t="shared" si="2"/>
        <v>0</v>
      </c>
      <c r="F1038" s="11"/>
    </row>
    <row r="1039" spans="1:6" ht="16" x14ac:dyDescent="0.2">
      <c r="A1039" s="12" t="s">
        <v>4606</v>
      </c>
      <c r="B1039" s="13"/>
      <c r="C1039" t="e">
        <f t="shared" si="0"/>
        <v>#N/A</v>
      </c>
      <c r="D1039" t="b">
        <f t="shared" si="1"/>
        <v>0</v>
      </c>
      <c r="E1039">
        <f t="shared" si="2"/>
        <v>0</v>
      </c>
      <c r="F1039" s="11"/>
    </row>
    <row r="1040" spans="1:6" ht="16" x14ac:dyDescent="0.2">
      <c r="A1040" s="12" t="s">
        <v>4607</v>
      </c>
      <c r="B1040" s="13"/>
      <c r="C1040" t="e">
        <f t="shared" si="0"/>
        <v>#N/A</v>
      </c>
      <c r="D1040" t="b">
        <f t="shared" si="1"/>
        <v>0</v>
      </c>
      <c r="E1040">
        <f t="shared" si="2"/>
        <v>0</v>
      </c>
      <c r="F1040" s="11"/>
    </row>
    <row r="1041" spans="1:6" ht="16" x14ac:dyDescent="0.2">
      <c r="A1041" s="12" t="s">
        <v>4608</v>
      </c>
      <c r="B1041" s="13"/>
      <c r="C1041" t="e">
        <f t="shared" si="0"/>
        <v>#N/A</v>
      </c>
      <c r="D1041" t="b">
        <f t="shared" si="1"/>
        <v>0</v>
      </c>
      <c r="E1041">
        <f t="shared" si="2"/>
        <v>0</v>
      </c>
      <c r="F1041" s="11"/>
    </row>
    <row r="1042" spans="1:6" ht="16" x14ac:dyDescent="0.2">
      <c r="A1042" s="12" t="s">
        <v>4609</v>
      </c>
      <c r="B1042" s="13"/>
      <c r="C1042" t="e">
        <f t="shared" si="0"/>
        <v>#N/A</v>
      </c>
      <c r="D1042" t="b">
        <f t="shared" si="1"/>
        <v>0</v>
      </c>
      <c r="E1042">
        <f t="shared" si="2"/>
        <v>0</v>
      </c>
      <c r="F1042" s="11"/>
    </row>
    <row r="1043" spans="1:6" ht="16" x14ac:dyDescent="0.2">
      <c r="A1043" s="12" t="s">
        <v>4610</v>
      </c>
      <c r="B1043" s="13"/>
      <c r="C1043" t="e">
        <f t="shared" si="0"/>
        <v>#N/A</v>
      </c>
      <c r="D1043" t="b">
        <f t="shared" si="1"/>
        <v>0</v>
      </c>
      <c r="E1043">
        <f t="shared" si="2"/>
        <v>0</v>
      </c>
      <c r="F1043" s="11"/>
    </row>
    <row r="1044" spans="1:6" ht="16" x14ac:dyDescent="0.2">
      <c r="A1044" s="12" t="s">
        <v>4611</v>
      </c>
      <c r="B1044" s="13"/>
      <c r="C1044" t="e">
        <f t="shared" si="0"/>
        <v>#N/A</v>
      </c>
      <c r="D1044" t="b">
        <f t="shared" si="1"/>
        <v>0</v>
      </c>
      <c r="E1044">
        <f t="shared" si="2"/>
        <v>0</v>
      </c>
      <c r="F1044" s="11"/>
    </row>
    <row r="1045" spans="1:6" ht="16" x14ac:dyDescent="0.2">
      <c r="A1045" s="12" t="s">
        <v>4612</v>
      </c>
      <c r="B1045" s="13"/>
      <c r="C1045" t="e">
        <f t="shared" si="0"/>
        <v>#N/A</v>
      </c>
      <c r="D1045" t="b">
        <f t="shared" si="1"/>
        <v>0</v>
      </c>
      <c r="E1045">
        <f t="shared" si="2"/>
        <v>0</v>
      </c>
      <c r="F1045" s="11"/>
    </row>
    <row r="1046" spans="1:6" ht="16" x14ac:dyDescent="0.2">
      <c r="A1046" s="12" t="s">
        <v>4613</v>
      </c>
      <c r="B1046" s="13"/>
      <c r="C1046" t="e">
        <f t="shared" si="0"/>
        <v>#N/A</v>
      </c>
      <c r="D1046" t="b">
        <f t="shared" si="1"/>
        <v>0</v>
      </c>
      <c r="E1046">
        <f t="shared" si="2"/>
        <v>0</v>
      </c>
      <c r="F1046" s="11"/>
    </row>
    <row r="1047" spans="1:6" ht="16" x14ac:dyDescent="0.2">
      <c r="A1047" s="12" t="s">
        <v>4614</v>
      </c>
      <c r="B1047" s="13"/>
      <c r="C1047" t="e">
        <f t="shared" si="0"/>
        <v>#N/A</v>
      </c>
      <c r="D1047" t="b">
        <f t="shared" si="1"/>
        <v>0</v>
      </c>
      <c r="E1047">
        <f t="shared" si="2"/>
        <v>0</v>
      </c>
      <c r="F1047" s="11"/>
    </row>
    <row r="1048" spans="1:6" ht="16" x14ac:dyDescent="0.2">
      <c r="A1048" s="12" t="s">
        <v>4615</v>
      </c>
      <c r="B1048" s="13"/>
      <c r="C1048" t="e">
        <f t="shared" si="0"/>
        <v>#N/A</v>
      </c>
      <c r="D1048" t="b">
        <f t="shared" si="1"/>
        <v>0</v>
      </c>
      <c r="E1048">
        <f t="shared" si="2"/>
        <v>0</v>
      </c>
      <c r="F1048" s="11"/>
    </row>
    <row r="1049" spans="1:6" ht="16" x14ac:dyDescent="0.2">
      <c r="A1049" s="12" t="s">
        <v>4616</v>
      </c>
      <c r="B1049" s="13"/>
      <c r="C1049" t="e">
        <f t="shared" si="0"/>
        <v>#N/A</v>
      </c>
      <c r="D1049" t="b">
        <f t="shared" si="1"/>
        <v>0</v>
      </c>
      <c r="E1049">
        <f t="shared" si="2"/>
        <v>0</v>
      </c>
      <c r="F1049" s="11"/>
    </row>
    <row r="1050" spans="1:6" ht="16" x14ac:dyDescent="0.2">
      <c r="A1050" s="12" t="s">
        <v>4617</v>
      </c>
      <c r="B1050" s="13"/>
      <c r="C1050" t="e">
        <f t="shared" si="0"/>
        <v>#N/A</v>
      </c>
      <c r="D1050" t="b">
        <f t="shared" si="1"/>
        <v>0</v>
      </c>
      <c r="E1050">
        <f t="shared" si="2"/>
        <v>0</v>
      </c>
      <c r="F1050" s="11"/>
    </row>
    <row r="1051" spans="1:6" ht="16" x14ac:dyDescent="0.2">
      <c r="A1051" s="12" t="s">
        <v>4618</v>
      </c>
      <c r="B1051" s="13"/>
      <c r="C1051" t="e">
        <f t="shared" si="0"/>
        <v>#N/A</v>
      </c>
      <c r="D1051" t="b">
        <f t="shared" si="1"/>
        <v>0</v>
      </c>
      <c r="E1051">
        <f t="shared" si="2"/>
        <v>0</v>
      </c>
      <c r="F1051" s="11"/>
    </row>
    <row r="1052" spans="1:6" ht="16" x14ac:dyDescent="0.2">
      <c r="A1052" s="12" t="s">
        <v>4619</v>
      </c>
      <c r="B1052" s="13"/>
      <c r="C1052" t="e">
        <f t="shared" si="0"/>
        <v>#N/A</v>
      </c>
      <c r="D1052" t="b">
        <f t="shared" si="1"/>
        <v>0</v>
      </c>
      <c r="E1052">
        <f t="shared" si="2"/>
        <v>0</v>
      </c>
      <c r="F1052" s="11"/>
    </row>
    <row r="1053" spans="1:6" ht="16" x14ac:dyDescent="0.2">
      <c r="A1053" s="12" t="s">
        <v>4620</v>
      </c>
      <c r="B1053" s="13"/>
      <c r="C1053" t="e">
        <f t="shared" si="0"/>
        <v>#N/A</v>
      </c>
      <c r="D1053" t="b">
        <f t="shared" si="1"/>
        <v>0</v>
      </c>
      <c r="E1053">
        <f t="shared" si="2"/>
        <v>0</v>
      </c>
      <c r="F1053" s="11"/>
    </row>
    <row r="1054" spans="1:6" ht="16" x14ac:dyDescent="0.2">
      <c r="A1054" s="12" t="s">
        <v>4621</v>
      </c>
      <c r="B1054" s="13"/>
      <c r="C1054" t="e">
        <f t="shared" si="0"/>
        <v>#N/A</v>
      </c>
      <c r="D1054" t="b">
        <f t="shared" si="1"/>
        <v>0</v>
      </c>
      <c r="E1054">
        <f t="shared" si="2"/>
        <v>0</v>
      </c>
      <c r="F1054" s="11"/>
    </row>
    <row r="1055" spans="1:6" ht="16" x14ac:dyDescent="0.2">
      <c r="A1055" s="12" t="s">
        <v>4622</v>
      </c>
      <c r="B1055" s="13"/>
      <c r="C1055" t="e">
        <f t="shared" si="0"/>
        <v>#N/A</v>
      </c>
      <c r="D1055" t="b">
        <f t="shared" si="1"/>
        <v>0</v>
      </c>
      <c r="E1055">
        <f t="shared" si="2"/>
        <v>0</v>
      </c>
      <c r="F1055" s="11"/>
    </row>
    <row r="1056" spans="1:6" ht="16" x14ac:dyDescent="0.2">
      <c r="A1056" s="12" t="s">
        <v>4623</v>
      </c>
      <c r="B1056" s="13"/>
      <c r="C1056" t="e">
        <f t="shared" si="0"/>
        <v>#N/A</v>
      </c>
      <c r="D1056" t="b">
        <f t="shared" si="1"/>
        <v>0</v>
      </c>
      <c r="E1056">
        <f t="shared" si="2"/>
        <v>0</v>
      </c>
      <c r="F1056" s="11"/>
    </row>
    <row r="1057" spans="1:6" ht="16" x14ac:dyDescent="0.2">
      <c r="A1057" s="12" t="s">
        <v>4624</v>
      </c>
      <c r="B1057" s="13"/>
      <c r="C1057" t="e">
        <f t="shared" si="0"/>
        <v>#N/A</v>
      </c>
      <c r="D1057" t="b">
        <f t="shared" si="1"/>
        <v>0</v>
      </c>
      <c r="E1057">
        <f t="shared" si="2"/>
        <v>0</v>
      </c>
      <c r="F1057" s="11"/>
    </row>
    <row r="1058" spans="1:6" ht="16" x14ac:dyDescent="0.2">
      <c r="A1058" s="12" t="s">
        <v>4625</v>
      </c>
      <c r="B1058" s="13"/>
      <c r="C1058" t="e">
        <f t="shared" si="0"/>
        <v>#N/A</v>
      </c>
      <c r="D1058" t="b">
        <f t="shared" si="1"/>
        <v>0</v>
      </c>
      <c r="E1058">
        <f t="shared" si="2"/>
        <v>0</v>
      </c>
      <c r="F1058" s="11"/>
    </row>
    <row r="1059" spans="1:6" ht="16" x14ac:dyDescent="0.2">
      <c r="A1059" s="14" t="s">
        <v>4626</v>
      </c>
      <c r="B1059" s="13"/>
      <c r="C1059" t="e">
        <f t="shared" si="0"/>
        <v>#N/A</v>
      </c>
      <c r="D1059" t="b">
        <f t="shared" si="1"/>
        <v>0</v>
      </c>
      <c r="E1059">
        <f t="shared" si="2"/>
        <v>0</v>
      </c>
      <c r="F1059" s="11"/>
    </row>
    <row r="1060" spans="1:6" ht="16" x14ac:dyDescent="0.2">
      <c r="A1060" s="12" t="s">
        <v>4627</v>
      </c>
      <c r="B1060" s="13"/>
      <c r="C1060" t="e">
        <f t="shared" si="0"/>
        <v>#N/A</v>
      </c>
      <c r="D1060" t="b">
        <f t="shared" si="1"/>
        <v>0</v>
      </c>
      <c r="E1060">
        <f t="shared" si="2"/>
        <v>0</v>
      </c>
      <c r="F1060" s="11"/>
    </row>
    <row r="1061" spans="1:6" ht="16" x14ac:dyDescent="0.2">
      <c r="A1061" s="12" t="s">
        <v>4628</v>
      </c>
      <c r="B1061" s="13"/>
      <c r="C1061" t="e">
        <f t="shared" si="0"/>
        <v>#N/A</v>
      </c>
      <c r="D1061" t="b">
        <f t="shared" si="1"/>
        <v>0</v>
      </c>
      <c r="E1061">
        <f t="shared" si="2"/>
        <v>0</v>
      </c>
      <c r="F1061" s="11"/>
    </row>
    <row r="1062" spans="1:6" ht="16" x14ac:dyDescent="0.2">
      <c r="A1062" s="12" t="s">
        <v>4629</v>
      </c>
      <c r="B1062" s="13"/>
      <c r="C1062" t="e">
        <f t="shared" si="0"/>
        <v>#N/A</v>
      </c>
      <c r="D1062" t="b">
        <f t="shared" si="1"/>
        <v>0</v>
      </c>
      <c r="E1062">
        <f t="shared" si="2"/>
        <v>0</v>
      </c>
      <c r="F1062" s="11"/>
    </row>
    <row r="1063" spans="1:6" ht="16" x14ac:dyDescent="0.2">
      <c r="A1063" s="12" t="s">
        <v>4630</v>
      </c>
      <c r="B1063" s="13"/>
      <c r="C1063" t="e">
        <f t="shared" si="0"/>
        <v>#N/A</v>
      </c>
      <c r="D1063" t="b">
        <f t="shared" si="1"/>
        <v>0</v>
      </c>
      <c r="E1063">
        <f t="shared" si="2"/>
        <v>0</v>
      </c>
      <c r="F1063" s="11"/>
    </row>
    <row r="1064" spans="1:6" ht="16" x14ac:dyDescent="0.2">
      <c r="A1064" s="12" t="s">
        <v>4631</v>
      </c>
      <c r="B1064" s="13"/>
      <c r="C1064" t="e">
        <f t="shared" si="0"/>
        <v>#N/A</v>
      </c>
      <c r="D1064" t="b">
        <f t="shared" si="1"/>
        <v>0</v>
      </c>
      <c r="E1064">
        <f t="shared" si="2"/>
        <v>0</v>
      </c>
      <c r="F1064" s="11"/>
    </row>
    <row r="1065" spans="1:6" ht="16" x14ac:dyDescent="0.2">
      <c r="A1065" s="12" t="s">
        <v>4632</v>
      </c>
      <c r="B1065" s="13"/>
      <c r="C1065" t="e">
        <f t="shared" si="0"/>
        <v>#N/A</v>
      </c>
      <c r="D1065" t="b">
        <f t="shared" si="1"/>
        <v>0</v>
      </c>
      <c r="E1065">
        <f t="shared" si="2"/>
        <v>0</v>
      </c>
      <c r="F1065" s="11"/>
    </row>
    <row r="1066" spans="1:6" ht="16" x14ac:dyDescent="0.2">
      <c r="A1066" s="12" t="s">
        <v>4633</v>
      </c>
      <c r="B1066" s="13"/>
      <c r="C1066" t="e">
        <f t="shared" si="0"/>
        <v>#N/A</v>
      </c>
      <c r="D1066" t="b">
        <f t="shared" si="1"/>
        <v>0</v>
      </c>
      <c r="E1066">
        <f t="shared" si="2"/>
        <v>0</v>
      </c>
      <c r="F1066" s="11"/>
    </row>
    <row r="1067" spans="1:6" ht="16" x14ac:dyDescent="0.2">
      <c r="A1067" s="12" t="s">
        <v>4634</v>
      </c>
      <c r="B1067" s="13"/>
      <c r="C1067" t="e">
        <f t="shared" si="0"/>
        <v>#N/A</v>
      </c>
      <c r="D1067" t="b">
        <f t="shared" si="1"/>
        <v>0</v>
      </c>
      <c r="E1067">
        <f t="shared" si="2"/>
        <v>0</v>
      </c>
      <c r="F1067" s="11"/>
    </row>
    <row r="1068" spans="1:6" ht="16" x14ac:dyDescent="0.2">
      <c r="A1068" s="12" t="s">
        <v>4635</v>
      </c>
      <c r="B1068" s="13"/>
      <c r="C1068" t="e">
        <f t="shared" si="0"/>
        <v>#N/A</v>
      </c>
      <c r="D1068" t="b">
        <f t="shared" si="1"/>
        <v>0</v>
      </c>
      <c r="E1068">
        <f t="shared" si="2"/>
        <v>0</v>
      </c>
      <c r="F1068" s="11"/>
    </row>
    <row r="1069" spans="1:6" ht="16" x14ac:dyDescent="0.2">
      <c r="A1069" s="12" t="s">
        <v>4636</v>
      </c>
      <c r="B1069" s="13"/>
      <c r="C1069" t="e">
        <f t="shared" si="0"/>
        <v>#N/A</v>
      </c>
      <c r="D1069" t="b">
        <f t="shared" si="1"/>
        <v>0</v>
      </c>
      <c r="E1069">
        <f t="shared" si="2"/>
        <v>0</v>
      </c>
      <c r="F1069" s="11"/>
    </row>
    <row r="1070" spans="1:6" ht="16" x14ac:dyDescent="0.2">
      <c r="A1070" s="12" t="s">
        <v>4637</v>
      </c>
      <c r="B1070" s="13"/>
      <c r="C1070" t="e">
        <f t="shared" si="0"/>
        <v>#N/A</v>
      </c>
      <c r="D1070" t="b">
        <f t="shared" si="1"/>
        <v>0</v>
      </c>
      <c r="E1070">
        <f t="shared" si="2"/>
        <v>0</v>
      </c>
      <c r="F1070" s="11"/>
    </row>
    <row r="1071" spans="1:6" ht="16" x14ac:dyDescent="0.2">
      <c r="A1071" s="12" t="s">
        <v>4638</v>
      </c>
      <c r="B1071" s="13"/>
      <c r="C1071" t="e">
        <f t="shared" si="0"/>
        <v>#N/A</v>
      </c>
      <c r="D1071" t="b">
        <f t="shared" si="1"/>
        <v>0</v>
      </c>
      <c r="E1071">
        <f t="shared" si="2"/>
        <v>0</v>
      </c>
      <c r="F1071" s="11"/>
    </row>
    <row r="1072" spans="1:6" ht="16" x14ac:dyDescent="0.2">
      <c r="A1072" s="12" t="s">
        <v>4639</v>
      </c>
      <c r="B1072" s="13"/>
      <c r="C1072" t="e">
        <f t="shared" si="0"/>
        <v>#N/A</v>
      </c>
      <c r="D1072" t="b">
        <f t="shared" si="1"/>
        <v>0</v>
      </c>
      <c r="E1072">
        <f t="shared" si="2"/>
        <v>0</v>
      </c>
      <c r="F1072" s="11"/>
    </row>
    <row r="1073" spans="1:6" ht="16" x14ac:dyDescent="0.2">
      <c r="A1073" s="12" t="s">
        <v>4640</v>
      </c>
      <c r="B1073" s="13"/>
      <c r="C1073" t="e">
        <f t="shared" si="0"/>
        <v>#N/A</v>
      </c>
      <c r="D1073" t="b">
        <f t="shared" si="1"/>
        <v>0</v>
      </c>
      <c r="E1073">
        <f t="shared" si="2"/>
        <v>0</v>
      </c>
      <c r="F1073" s="11"/>
    </row>
    <row r="1074" spans="1:6" ht="16" x14ac:dyDescent="0.2">
      <c r="A1074" s="12" t="s">
        <v>4641</v>
      </c>
      <c r="B1074" s="13"/>
      <c r="C1074" t="e">
        <f t="shared" si="0"/>
        <v>#N/A</v>
      </c>
      <c r="D1074" t="b">
        <f t="shared" si="1"/>
        <v>0</v>
      </c>
      <c r="E1074">
        <f t="shared" si="2"/>
        <v>0</v>
      </c>
      <c r="F1074" s="11"/>
    </row>
    <row r="1075" spans="1:6" ht="16" x14ac:dyDescent="0.2">
      <c r="A1075" s="12" t="s">
        <v>4642</v>
      </c>
      <c r="B1075" s="13"/>
      <c r="C1075" t="e">
        <f t="shared" si="0"/>
        <v>#N/A</v>
      </c>
      <c r="D1075" t="b">
        <f t="shared" si="1"/>
        <v>0</v>
      </c>
      <c r="E1075">
        <f t="shared" si="2"/>
        <v>0</v>
      </c>
      <c r="F1075" s="11"/>
    </row>
    <row r="1076" spans="1:6" ht="16" x14ac:dyDescent="0.2">
      <c r="A1076" s="12" t="s">
        <v>4643</v>
      </c>
      <c r="B1076" s="13"/>
      <c r="C1076" t="e">
        <f t="shared" si="0"/>
        <v>#N/A</v>
      </c>
      <c r="D1076" t="b">
        <f t="shared" si="1"/>
        <v>0</v>
      </c>
      <c r="E1076">
        <f t="shared" si="2"/>
        <v>0</v>
      </c>
      <c r="F1076" s="11"/>
    </row>
    <row r="1077" spans="1:6" ht="16" x14ac:dyDescent="0.2">
      <c r="A1077" s="12" t="s">
        <v>4644</v>
      </c>
      <c r="B1077" s="13"/>
      <c r="C1077" t="e">
        <f t="shared" si="0"/>
        <v>#N/A</v>
      </c>
      <c r="D1077" t="b">
        <f t="shared" si="1"/>
        <v>0</v>
      </c>
      <c r="E1077">
        <f t="shared" si="2"/>
        <v>0</v>
      </c>
      <c r="F1077" s="11"/>
    </row>
    <row r="1078" spans="1:6" ht="16" x14ac:dyDescent="0.2">
      <c r="A1078" s="12" t="s">
        <v>4645</v>
      </c>
      <c r="B1078" s="13"/>
      <c r="C1078" t="e">
        <f t="shared" si="0"/>
        <v>#N/A</v>
      </c>
      <c r="D1078" t="b">
        <f t="shared" si="1"/>
        <v>0</v>
      </c>
      <c r="E1078">
        <f t="shared" si="2"/>
        <v>0</v>
      </c>
      <c r="F1078" s="11"/>
    </row>
    <row r="1079" spans="1:6" ht="16" x14ac:dyDescent="0.2">
      <c r="A1079" s="12" t="s">
        <v>4646</v>
      </c>
      <c r="B1079" s="13"/>
      <c r="C1079" t="e">
        <f t="shared" si="0"/>
        <v>#N/A</v>
      </c>
      <c r="D1079" t="b">
        <f t="shared" si="1"/>
        <v>0</v>
      </c>
      <c r="E1079">
        <f t="shared" si="2"/>
        <v>0</v>
      </c>
      <c r="F1079" s="11"/>
    </row>
    <row r="1080" spans="1:6" ht="16" x14ac:dyDescent="0.2">
      <c r="A1080" s="12" t="s">
        <v>4647</v>
      </c>
      <c r="B1080" s="13"/>
      <c r="C1080" t="e">
        <f t="shared" si="0"/>
        <v>#N/A</v>
      </c>
      <c r="D1080" t="b">
        <f t="shared" si="1"/>
        <v>0</v>
      </c>
      <c r="E1080">
        <f t="shared" si="2"/>
        <v>0</v>
      </c>
      <c r="F1080" s="11"/>
    </row>
    <row r="1081" spans="1:6" ht="16" x14ac:dyDescent="0.2">
      <c r="A1081" s="12" t="s">
        <v>4648</v>
      </c>
      <c r="B1081" s="13"/>
      <c r="C1081" t="e">
        <f t="shared" si="0"/>
        <v>#N/A</v>
      </c>
      <c r="D1081" t="b">
        <f t="shared" si="1"/>
        <v>0</v>
      </c>
      <c r="E1081">
        <f t="shared" si="2"/>
        <v>0</v>
      </c>
      <c r="F1081" s="11"/>
    </row>
    <row r="1082" spans="1:6" ht="16" x14ac:dyDescent="0.2">
      <c r="A1082" s="12" t="s">
        <v>4649</v>
      </c>
      <c r="B1082" s="13"/>
      <c r="C1082" t="e">
        <f t="shared" si="0"/>
        <v>#N/A</v>
      </c>
      <c r="D1082" t="b">
        <f t="shared" si="1"/>
        <v>0</v>
      </c>
      <c r="E1082">
        <f t="shared" si="2"/>
        <v>0</v>
      </c>
      <c r="F1082" s="11"/>
    </row>
    <row r="1083" spans="1:6" ht="16" x14ac:dyDescent="0.2">
      <c r="A1083" s="12" t="s">
        <v>4650</v>
      </c>
      <c r="B1083" s="13"/>
      <c r="C1083" t="e">
        <f t="shared" si="0"/>
        <v>#N/A</v>
      </c>
      <c r="D1083" t="b">
        <f t="shared" si="1"/>
        <v>0</v>
      </c>
      <c r="E1083">
        <f t="shared" si="2"/>
        <v>0</v>
      </c>
      <c r="F1083" s="11"/>
    </row>
    <row r="1084" spans="1:6" ht="16" x14ac:dyDescent="0.2">
      <c r="A1084" s="12" t="s">
        <v>4651</v>
      </c>
      <c r="B1084" s="13"/>
      <c r="C1084" t="e">
        <f t="shared" si="0"/>
        <v>#N/A</v>
      </c>
      <c r="D1084" t="b">
        <f t="shared" si="1"/>
        <v>0</v>
      </c>
      <c r="E1084">
        <f t="shared" si="2"/>
        <v>0</v>
      </c>
      <c r="F1084" s="11"/>
    </row>
    <row r="1085" spans="1:6" ht="16" x14ac:dyDescent="0.2">
      <c r="A1085" s="12" t="s">
        <v>4652</v>
      </c>
      <c r="B1085" s="13"/>
      <c r="C1085" t="e">
        <f t="shared" si="0"/>
        <v>#N/A</v>
      </c>
      <c r="D1085" t="b">
        <f t="shared" si="1"/>
        <v>0</v>
      </c>
      <c r="E1085">
        <f t="shared" si="2"/>
        <v>0</v>
      </c>
      <c r="F1085" s="11"/>
    </row>
    <row r="1086" spans="1:6" ht="16" x14ac:dyDescent="0.2">
      <c r="A1086" s="12" t="s">
        <v>4653</v>
      </c>
      <c r="B1086" s="13"/>
      <c r="C1086" t="e">
        <f t="shared" si="0"/>
        <v>#N/A</v>
      </c>
      <c r="D1086" t="b">
        <f t="shared" si="1"/>
        <v>0</v>
      </c>
      <c r="E1086">
        <f t="shared" si="2"/>
        <v>0</v>
      </c>
      <c r="F1086" s="11"/>
    </row>
    <row r="1087" spans="1:6" ht="16" x14ac:dyDescent="0.2">
      <c r="A1087" s="12" t="s">
        <v>4654</v>
      </c>
      <c r="B1087" s="13"/>
      <c r="C1087" t="e">
        <f t="shared" si="0"/>
        <v>#N/A</v>
      </c>
      <c r="D1087" t="b">
        <f t="shared" si="1"/>
        <v>0</v>
      </c>
      <c r="E1087">
        <f t="shared" si="2"/>
        <v>0</v>
      </c>
      <c r="F1087" s="11"/>
    </row>
    <row r="1088" spans="1:6" ht="16" x14ac:dyDescent="0.2">
      <c r="A1088" s="12" t="s">
        <v>4655</v>
      </c>
      <c r="B1088" s="13"/>
      <c r="C1088" t="e">
        <f t="shared" si="0"/>
        <v>#N/A</v>
      </c>
      <c r="D1088" t="b">
        <f t="shared" si="1"/>
        <v>0</v>
      </c>
      <c r="E1088">
        <f t="shared" si="2"/>
        <v>0</v>
      </c>
      <c r="F1088" s="11"/>
    </row>
    <row r="1089" spans="1:6" ht="16" x14ac:dyDescent="0.2">
      <c r="A1089" s="12" t="s">
        <v>4656</v>
      </c>
      <c r="B1089" s="13"/>
      <c r="C1089" t="e">
        <f t="shared" si="0"/>
        <v>#N/A</v>
      </c>
      <c r="D1089" t="b">
        <f t="shared" si="1"/>
        <v>0</v>
      </c>
      <c r="E1089">
        <f t="shared" si="2"/>
        <v>0</v>
      </c>
      <c r="F1089" s="11"/>
    </row>
    <row r="1090" spans="1:6" ht="16" x14ac:dyDescent="0.2">
      <c r="A1090" s="12" t="s">
        <v>4657</v>
      </c>
      <c r="B1090" s="13"/>
      <c r="C1090" t="e">
        <f t="shared" si="0"/>
        <v>#N/A</v>
      </c>
      <c r="D1090" t="b">
        <f t="shared" si="1"/>
        <v>0</v>
      </c>
      <c r="E1090">
        <f t="shared" si="2"/>
        <v>0</v>
      </c>
      <c r="F1090" s="11"/>
    </row>
    <row r="1091" spans="1:6" ht="16" x14ac:dyDescent="0.2">
      <c r="A1091" s="12" t="s">
        <v>4658</v>
      </c>
      <c r="B1091" s="13"/>
      <c r="C1091" t="e">
        <f t="shared" si="0"/>
        <v>#N/A</v>
      </c>
      <c r="D1091" t="b">
        <f t="shared" si="1"/>
        <v>0</v>
      </c>
      <c r="E1091">
        <f t="shared" si="2"/>
        <v>0</v>
      </c>
      <c r="F1091" s="11"/>
    </row>
    <row r="1092" spans="1:6" ht="16" x14ac:dyDescent="0.2">
      <c r="A1092" s="12" t="s">
        <v>4659</v>
      </c>
      <c r="B1092" s="13"/>
      <c r="C1092" t="e">
        <f t="shared" si="0"/>
        <v>#N/A</v>
      </c>
      <c r="D1092" t="b">
        <f t="shared" si="1"/>
        <v>0</v>
      </c>
      <c r="E1092">
        <f t="shared" si="2"/>
        <v>0</v>
      </c>
      <c r="F1092" s="11"/>
    </row>
    <row r="1093" spans="1:6" ht="16" x14ac:dyDescent="0.2">
      <c r="A1093" s="12" t="s">
        <v>4660</v>
      </c>
      <c r="B1093" s="13"/>
      <c r="C1093" t="e">
        <f t="shared" si="0"/>
        <v>#N/A</v>
      </c>
      <c r="D1093" t="b">
        <f t="shared" si="1"/>
        <v>0</v>
      </c>
      <c r="E1093">
        <f t="shared" si="2"/>
        <v>0</v>
      </c>
      <c r="F1093" s="11"/>
    </row>
    <row r="1094" spans="1:6" ht="16" x14ac:dyDescent="0.2">
      <c r="A1094" s="12" t="s">
        <v>4661</v>
      </c>
      <c r="B1094" s="13"/>
      <c r="C1094" t="e">
        <f t="shared" si="0"/>
        <v>#N/A</v>
      </c>
      <c r="D1094" t="b">
        <f t="shared" si="1"/>
        <v>0</v>
      </c>
      <c r="E1094">
        <f t="shared" si="2"/>
        <v>0</v>
      </c>
      <c r="F1094" s="11"/>
    </row>
    <row r="1095" spans="1:6" ht="16" x14ac:dyDescent="0.2">
      <c r="A1095" s="12" t="s">
        <v>4662</v>
      </c>
      <c r="B1095" s="13"/>
      <c r="C1095" t="e">
        <f t="shared" si="0"/>
        <v>#N/A</v>
      </c>
      <c r="D1095" t="b">
        <f t="shared" si="1"/>
        <v>0</v>
      </c>
      <c r="E1095">
        <f t="shared" si="2"/>
        <v>0</v>
      </c>
      <c r="F1095" s="11"/>
    </row>
    <row r="1096" spans="1:6" ht="16" x14ac:dyDescent="0.2">
      <c r="A1096" s="12" t="s">
        <v>4662</v>
      </c>
      <c r="B1096" s="13"/>
      <c r="C1096" t="e">
        <f t="shared" si="0"/>
        <v>#N/A</v>
      </c>
      <c r="D1096" t="b">
        <f t="shared" si="1"/>
        <v>0</v>
      </c>
      <c r="E1096">
        <f t="shared" si="2"/>
        <v>0</v>
      </c>
      <c r="F1096" s="11"/>
    </row>
    <row r="1097" spans="1:6" ht="16" x14ac:dyDescent="0.2">
      <c r="A1097" s="12" t="s">
        <v>4663</v>
      </c>
      <c r="B1097" s="13"/>
      <c r="C1097" t="e">
        <f t="shared" si="0"/>
        <v>#N/A</v>
      </c>
      <c r="D1097" t="b">
        <f t="shared" si="1"/>
        <v>0</v>
      </c>
      <c r="E1097">
        <f t="shared" si="2"/>
        <v>0</v>
      </c>
      <c r="F1097" s="11"/>
    </row>
    <row r="1098" spans="1:6" ht="16" x14ac:dyDescent="0.2">
      <c r="A1098" s="12" t="s">
        <v>4664</v>
      </c>
      <c r="B1098" s="13"/>
      <c r="C1098" t="e">
        <f t="shared" si="0"/>
        <v>#N/A</v>
      </c>
      <c r="D1098" t="b">
        <f t="shared" si="1"/>
        <v>0</v>
      </c>
      <c r="E1098">
        <f t="shared" si="2"/>
        <v>0</v>
      </c>
      <c r="F1098" s="11"/>
    </row>
    <row r="1099" spans="1:6" ht="16" x14ac:dyDescent="0.2">
      <c r="A1099" s="12" t="s">
        <v>4665</v>
      </c>
      <c r="B1099" s="13"/>
      <c r="C1099" t="e">
        <f t="shared" si="0"/>
        <v>#N/A</v>
      </c>
      <c r="D1099" t="b">
        <f t="shared" si="1"/>
        <v>0</v>
      </c>
      <c r="E1099">
        <f t="shared" si="2"/>
        <v>0</v>
      </c>
      <c r="F1099" s="11"/>
    </row>
    <row r="1100" spans="1:6" ht="16" x14ac:dyDescent="0.2">
      <c r="A1100" s="14" t="s">
        <v>4666</v>
      </c>
      <c r="B1100" s="13"/>
      <c r="C1100" t="e">
        <f t="shared" si="0"/>
        <v>#N/A</v>
      </c>
      <c r="D1100" t="b">
        <f t="shared" si="1"/>
        <v>0</v>
      </c>
      <c r="E1100">
        <f t="shared" si="2"/>
        <v>0</v>
      </c>
      <c r="F1100" s="11"/>
    </row>
    <row r="1101" spans="1:6" ht="16" x14ac:dyDescent="0.2">
      <c r="A1101" s="12" t="s">
        <v>4667</v>
      </c>
      <c r="B1101" s="13"/>
      <c r="C1101" t="e">
        <f t="shared" si="0"/>
        <v>#N/A</v>
      </c>
      <c r="D1101" t="b">
        <f t="shared" si="1"/>
        <v>0</v>
      </c>
      <c r="E1101">
        <f t="shared" si="2"/>
        <v>0</v>
      </c>
      <c r="F1101" s="11"/>
    </row>
    <row r="1102" spans="1:6" ht="16" x14ac:dyDescent="0.2">
      <c r="A1102" s="12" t="s">
        <v>4668</v>
      </c>
      <c r="B1102" s="13"/>
      <c r="C1102" t="e">
        <f t="shared" si="0"/>
        <v>#N/A</v>
      </c>
      <c r="D1102" t="b">
        <f t="shared" si="1"/>
        <v>0</v>
      </c>
      <c r="E1102">
        <f t="shared" si="2"/>
        <v>0</v>
      </c>
      <c r="F1102" s="11"/>
    </row>
    <row r="1103" spans="1:6" ht="16" x14ac:dyDescent="0.2">
      <c r="A1103" s="12" t="s">
        <v>4669</v>
      </c>
      <c r="B1103" s="13"/>
      <c r="C1103" t="e">
        <f t="shared" si="0"/>
        <v>#N/A</v>
      </c>
      <c r="D1103" t="b">
        <f t="shared" si="1"/>
        <v>0</v>
      </c>
      <c r="E1103">
        <f t="shared" si="2"/>
        <v>0</v>
      </c>
      <c r="F1103" s="11"/>
    </row>
    <row r="1104" spans="1:6" ht="16" x14ac:dyDescent="0.2">
      <c r="A1104" s="12" t="s">
        <v>4670</v>
      </c>
      <c r="B1104" s="13"/>
      <c r="C1104" t="e">
        <f t="shared" si="0"/>
        <v>#N/A</v>
      </c>
      <c r="D1104" t="b">
        <f t="shared" si="1"/>
        <v>0</v>
      </c>
      <c r="E1104">
        <f t="shared" si="2"/>
        <v>0</v>
      </c>
      <c r="F1104" s="11"/>
    </row>
    <row r="1105" spans="1:6" ht="16" x14ac:dyDescent="0.2">
      <c r="A1105" s="12" t="s">
        <v>4671</v>
      </c>
      <c r="B1105" s="13"/>
      <c r="C1105" t="e">
        <f t="shared" si="0"/>
        <v>#N/A</v>
      </c>
      <c r="D1105" t="b">
        <f t="shared" si="1"/>
        <v>0</v>
      </c>
      <c r="E1105">
        <f t="shared" si="2"/>
        <v>0</v>
      </c>
      <c r="F1105" s="11"/>
    </row>
    <row r="1106" spans="1:6" ht="16" x14ac:dyDescent="0.2">
      <c r="A1106" s="12" t="s">
        <v>4672</v>
      </c>
      <c r="B1106" s="13"/>
      <c r="C1106" t="e">
        <f t="shared" si="0"/>
        <v>#N/A</v>
      </c>
      <c r="D1106" t="b">
        <f t="shared" si="1"/>
        <v>0</v>
      </c>
      <c r="E1106">
        <f t="shared" si="2"/>
        <v>0</v>
      </c>
      <c r="F1106" s="11"/>
    </row>
    <row r="1107" spans="1:6" ht="16" x14ac:dyDescent="0.2">
      <c r="A1107" s="12" t="s">
        <v>4673</v>
      </c>
      <c r="B1107" s="13"/>
      <c r="C1107" t="e">
        <f t="shared" si="0"/>
        <v>#N/A</v>
      </c>
      <c r="D1107" t="b">
        <f t="shared" si="1"/>
        <v>0</v>
      </c>
      <c r="E1107">
        <f t="shared" si="2"/>
        <v>0</v>
      </c>
      <c r="F1107" s="11"/>
    </row>
    <row r="1108" spans="1:6" ht="16" x14ac:dyDescent="0.2">
      <c r="A1108" s="12" t="s">
        <v>4674</v>
      </c>
      <c r="B1108" s="13"/>
      <c r="C1108" t="e">
        <f t="shared" si="0"/>
        <v>#N/A</v>
      </c>
      <c r="D1108" t="b">
        <f t="shared" si="1"/>
        <v>0</v>
      </c>
      <c r="E1108">
        <f t="shared" si="2"/>
        <v>0</v>
      </c>
      <c r="F1108" s="11"/>
    </row>
    <row r="1109" spans="1:6" ht="16" x14ac:dyDescent="0.2">
      <c r="A1109" s="12" t="s">
        <v>4675</v>
      </c>
      <c r="B1109" s="13"/>
      <c r="C1109" t="e">
        <f t="shared" si="0"/>
        <v>#N/A</v>
      </c>
      <c r="D1109" t="b">
        <f t="shared" si="1"/>
        <v>0</v>
      </c>
      <c r="E1109">
        <f t="shared" si="2"/>
        <v>0</v>
      </c>
      <c r="F1109" s="11"/>
    </row>
    <row r="1110" spans="1:6" ht="16" x14ac:dyDescent="0.2">
      <c r="A1110" s="12" t="s">
        <v>4676</v>
      </c>
      <c r="B1110" s="13"/>
      <c r="C1110" t="e">
        <f t="shared" si="0"/>
        <v>#N/A</v>
      </c>
      <c r="D1110" t="b">
        <f t="shared" si="1"/>
        <v>0</v>
      </c>
      <c r="E1110">
        <f t="shared" si="2"/>
        <v>0</v>
      </c>
      <c r="F1110" s="11"/>
    </row>
    <row r="1111" spans="1:6" ht="16" x14ac:dyDescent="0.2">
      <c r="A1111" s="12" t="s">
        <v>4677</v>
      </c>
      <c r="B1111" s="13"/>
      <c r="C1111" t="e">
        <f t="shared" si="0"/>
        <v>#N/A</v>
      </c>
      <c r="D1111" t="b">
        <f t="shared" si="1"/>
        <v>0</v>
      </c>
      <c r="E1111">
        <f t="shared" si="2"/>
        <v>0</v>
      </c>
      <c r="F1111" s="11"/>
    </row>
    <row r="1112" spans="1:6" ht="16" x14ac:dyDescent="0.2">
      <c r="A1112" s="12" t="s">
        <v>4678</v>
      </c>
      <c r="B1112" s="13"/>
      <c r="C1112" t="e">
        <f t="shared" si="0"/>
        <v>#N/A</v>
      </c>
      <c r="D1112" t="b">
        <f t="shared" si="1"/>
        <v>0</v>
      </c>
      <c r="E1112">
        <f t="shared" si="2"/>
        <v>0</v>
      </c>
      <c r="F1112" s="11"/>
    </row>
    <row r="1113" spans="1:6" ht="16" x14ac:dyDescent="0.2">
      <c r="A1113" s="12" t="s">
        <v>4679</v>
      </c>
      <c r="B1113" s="13"/>
      <c r="C1113" t="e">
        <f t="shared" si="0"/>
        <v>#N/A</v>
      </c>
      <c r="D1113" t="b">
        <f t="shared" si="1"/>
        <v>0</v>
      </c>
      <c r="E1113">
        <f t="shared" si="2"/>
        <v>0</v>
      </c>
      <c r="F1113" s="11"/>
    </row>
    <row r="1114" spans="1:6" ht="16" x14ac:dyDescent="0.2">
      <c r="A1114" s="12" t="s">
        <v>4680</v>
      </c>
      <c r="B1114" s="13"/>
      <c r="C1114" t="e">
        <f t="shared" si="0"/>
        <v>#N/A</v>
      </c>
      <c r="D1114" t="b">
        <f t="shared" si="1"/>
        <v>0</v>
      </c>
      <c r="E1114">
        <f t="shared" si="2"/>
        <v>0</v>
      </c>
      <c r="F1114" s="11"/>
    </row>
    <row r="1115" spans="1:6" ht="16" x14ac:dyDescent="0.2">
      <c r="A1115" s="12" t="s">
        <v>4681</v>
      </c>
      <c r="B1115" s="13"/>
      <c r="C1115" t="e">
        <f t="shared" si="0"/>
        <v>#N/A</v>
      </c>
      <c r="D1115" t="b">
        <f t="shared" si="1"/>
        <v>0</v>
      </c>
      <c r="E1115">
        <f t="shared" si="2"/>
        <v>0</v>
      </c>
      <c r="F1115" s="11"/>
    </row>
    <row r="1116" spans="1:6" ht="16" x14ac:dyDescent="0.2">
      <c r="A1116" s="12" t="s">
        <v>4682</v>
      </c>
      <c r="B1116" s="13"/>
      <c r="C1116" t="e">
        <f t="shared" si="0"/>
        <v>#N/A</v>
      </c>
      <c r="D1116" t="b">
        <f t="shared" si="1"/>
        <v>0</v>
      </c>
      <c r="E1116">
        <f t="shared" si="2"/>
        <v>0</v>
      </c>
      <c r="F1116" s="11"/>
    </row>
    <row r="1117" spans="1:6" ht="16" x14ac:dyDescent="0.2">
      <c r="A1117" s="12" t="s">
        <v>4683</v>
      </c>
      <c r="B1117" s="13"/>
      <c r="C1117" t="e">
        <f t="shared" si="0"/>
        <v>#N/A</v>
      </c>
      <c r="D1117" t="b">
        <f t="shared" si="1"/>
        <v>0</v>
      </c>
      <c r="E1117">
        <f t="shared" si="2"/>
        <v>0</v>
      </c>
      <c r="F1117" s="11"/>
    </row>
    <row r="1118" spans="1:6" ht="16" x14ac:dyDescent="0.2">
      <c r="A1118" s="12" t="s">
        <v>4684</v>
      </c>
      <c r="B1118" s="13"/>
      <c r="C1118" t="e">
        <f t="shared" si="0"/>
        <v>#N/A</v>
      </c>
      <c r="D1118" t="b">
        <f t="shared" si="1"/>
        <v>0</v>
      </c>
      <c r="E1118">
        <f t="shared" si="2"/>
        <v>0</v>
      </c>
      <c r="F1118" s="11"/>
    </row>
    <row r="1119" spans="1:6" ht="16" x14ac:dyDescent="0.2">
      <c r="A1119" s="12" t="s">
        <v>4685</v>
      </c>
      <c r="B1119" s="13"/>
      <c r="C1119" t="e">
        <f t="shared" si="0"/>
        <v>#N/A</v>
      </c>
      <c r="D1119" t="b">
        <f t="shared" si="1"/>
        <v>0</v>
      </c>
      <c r="E1119">
        <f t="shared" si="2"/>
        <v>0</v>
      </c>
      <c r="F1119" s="11"/>
    </row>
    <row r="1120" spans="1:6" ht="16" x14ac:dyDescent="0.2">
      <c r="A1120" s="12" t="s">
        <v>4686</v>
      </c>
      <c r="B1120" s="13"/>
      <c r="C1120" t="e">
        <f t="shared" si="0"/>
        <v>#N/A</v>
      </c>
      <c r="D1120" t="b">
        <f t="shared" si="1"/>
        <v>0</v>
      </c>
      <c r="E1120">
        <f t="shared" si="2"/>
        <v>0</v>
      </c>
      <c r="F1120" s="11"/>
    </row>
    <row r="1121" spans="1:6" ht="16" x14ac:dyDescent="0.2">
      <c r="A1121" s="12" t="s">
        <v>4687</v>
      </c>
      <c r="B1121" s="13"/>
      <c r="C1121" t="e">
        <f t="shared" si="0"/>
        <v>#N/A</v>
      </c>
      <c r="D1121" t="b">
        <f t="shared" si="1"/>
        <v>0</v>
      </c>
      <c r="E1121">
        <f t="shared" si="2"/>
        <v>0</v>
      </c>
      <c r="F1121" s="11"/>
    </row>
    <row r="1122" spans="1:6" ht="16" x14ac:dyDescent="0.2">
      <c r="A1122" s="12" t="s">
        <v>4688</v>
      </c>
      <c r="B1122" s="13"/>
      <c r="C1122" t="e">
        <f t="shared" si="0"/>
        <v>#N/A</v>
      </c>
      <c r="D1122" t="b">
        <f t="shared" si="1"/>
        <v>0</v>
      </c>
      <c r="E1122">
        <f t="shared" si="2"/>
        <v>0</v>
      </c>
      <c r="F1122" s="11"/>
    </row>
    <row r="1123" spans="1:6" ht="16" x14ac:dyDescent="0.2">
      <c r="A1123" s="12" t="s">
        <v>4689</v>
      </c>
      <c r="B1123" s="13"/>
      <c r="C1123" t="e">
        <f t="shared" si="0"/>
        <v>#N/A</v>
      </c>
      <c r="D1123" t="b">
        <f t="shared" si="1"/>
        <v>0</v>
      </c>
      <c r="E1123">
        <f t="shared" si="2"/>
        <v>0</v>
      </c>
      <c r="F1123" s="11"/>
    </row>
    <row r="1124" spans="1:6" ht="16" x14ac:dyDescent="0.2">
      <c r="A1124" s="12" t="s">
        <v>4690</v>
      </c>
      <c r="B1124" s="13"/>
      <c r="C1124" t="e">
        <f t="shared" si="0"/>
        <v>#N/A</v>
      </c>
      <c r="D1124" t="b">
        <f t="shared" si="1"/>
        <v>0</v>
      </c>
      <c r="E1124">
        <f t="shared" si="2"/>
        <v>0</v>
      </c>
      <c r="F1124" s="11"/>
    </row>
    <row r="1125" spans="1:6" ht="16" x14ac:dyDescent="0.2">
      <c r="A1125" s="12" t="s">
        <v>4691</v>
      </c>
      <c r="B1125" s="13"/>
      <c r="C1125" t="e">
        <f t="shared" si="0"/>
        <v>#N/A</v>
      </c>
      <c r="D1125" t="b">
        <f t="shared" si="1"/>
        <v>0</v>
      </c>
      <c r="E1125">
        <f t="shared" si="2"/>
        <v>0</v>
      </c>
      <c r="F1125" s="11"/>
    </row>
    <row r="1126" spans="1:6" ht="16" x14ac:dyDescent="0.2">
      <c r="A1126" s="12" t="s">
        <v>4692</v>
      </c>
      <c r="B1126" s="13"/>
      <c r="C1126" t="e">
        <f t="shared" si="0"/>
        <v>#N/A</v>
      </c>
      <c r="D1126" t="b">
        <f t="shared" si="1"/>
        <v>0</v>
      </c>
      <c r="E1126">
        <f t="shared" si="2"/>
        <v>0</v>
      </c>
      <c r="F1126" s="11"/>
    </row>
    <row r="1127" spans="1:6" ht="16" x14ac:dyDescent="0.2">
      <c r="A1127" s="12" t="s">
        <v>4693</v>
      </c>
      <c r="B1127" s="13"/>
      <c r="C1127" t="e">
        <f t="shared" si="0"/>
        <v>#N/A</v>
      </c>
      <c r="D1127" t="b">
        <f t="shared" si="1"/>
        <v>0</v>
      </c>
      <c r="E1127">
        <f t="shared" si="2"/>
        <v>0</v>
      </c>
      <c r="F1127" s="11"/>
    </row>
    <row r="1128" spans="1:6" ht="16" x14ac:dyDescent="0.2">
      <c r="A1128" s="12" t="s">
        <v>4694</v>
      </c>
      <c r="B1128" s="13"/>
      <c r="C1128" t="e">
        <f t="shared" si="0"/>
        <v>#N/A</v>
      </c>
      <c r="D1128" t="b">
        <f t="shared" si="1"/>
        <v>0</v>
      </c>
      <c r="E1128">
        <f t="shared" si="2"/>
        <v>0</v>
      </c>
      <c r="F1128" s="11"/>
    </row>
    <row r="1129" spans="1:6" ht="16" x14ac:dyDescent="0.2">
      <c r="A1129" s="12" t="s">
        <v>4695</v>
      </c>
      <c r="B1129" s="13"/>
      <c r="C1129" t="e">
        <f t="shared" si="0"/>
        <v>#N/A</v>
      </c>
      <c r="D1129" t="b">
        <f t="shared" si="1"/>
        <v>0</v>
      </c>
      <c r="E1129">
        <f t="shared" si="2"/>
        <v>0</v>
      </c>
      <c r="F1129" s="11"/>
    </row>
    <row r="1130" spans="1:6" ht="16" x14ac:dyDescent="0.2">
      <c r="A1130" s="12" t="s">
        <v>4696</v>
      </c>
      <c r="B1130" s="13"/>
      <c r="C1130" t="e">
        <f t="shared" si="0"/>
        <v>#N/A</v>
      </c>
      <c r="D1130" t="b">
        <f t="shared" si="1"/>
        <v>0</v>
      </c>
      <c r="E1130">
        <f t="shared" si="2"/>
        <v>0</v>
      </c>
      <c r="F1130" s="11"/>
    </row>
    <row r="1131" spans="1:6" ht="16" x14ac:dyDescent="0.2">
      <c r="A1131" s="12" t="s">
        <v>4697</v>
      </c>
      <c r="B1131" s="13"/>
      <c r="C1131" t="e">
        <f t="shared" si="0"/>
        <v>#N/A</v>
      </c>
      <c r="D1131" t="b">
        <f t="shared" si="1"/>
        <v>0</v>
      </c>
      <c r="E1131">
        <f t="shared" si="2"/>
        <v>0</v>
      </c>
      <c r="F1131" s="11"/>
    </row>
    <row r="1132" spans="1:6" ht="16" x14ac:dyDescent="0.2">
      <c r="A1132" s="12" t="s">
        <v>4698</v>
      </c>
      <c r="B1132" s="13"/>
      <c r="C1132" t="e">
        <f t="shared" si="0"/>
        <v>#N/A</v>
      </c>
      <c r="D1132" t="b">
        <f t="shared" si="1"/>
        <v>0</v>
      </c>
      <c r="E1132">
        <f t="shared" si="2"/>
        <v>0</v>
      </c>
      <c r="F1132" s="11"/>
    </row>
    <row r="1133" spans="1:6" ht="16" x14ac:dyDescent="0.2">
      <c r="A1133" s="12" t="s">
        <v>4699</v>
      </c>
      <c r="B1133" s="13"/>
      <c r="C1133" t="e">
        <f t="shared" si="0"/>
        <v>#N/A</v>
      </c>
      <c r="D1133" t="b">
        <f t="shared" si="1"/>
        <v>0</v>
      </c>
      <c r="E1133">
        <f t="shared" si="2"/>
        <v>0</v>
      </c>
      <c r="F1133" s="11"/>
    </row>
    <row r="1134" spans="1:6" ht="16" x14ac:dyDescent="0.2">
      <c r="A1134" s="12" t="s">
        <v>4700</v>
      </c>
      <c r="B1134" s="13"/>
      <c r="C1134" t="e">
        <f t="shared" si="0"/>
        <v>#N/A</v>
      </c>
      <c r="D1134" t="b">
        <f t="shared" si="1"/>
        <v>0</v>
      </c>
      <c r="E1134">
        <f t="shared" si="2"/>
        <v>0</v>
      </c>
      <c r="F1134" s="11"/>
    </row>
    <row r="1135" spans="1:6" ht="16" x14ac:dyDescent="0.2">
      <c r="A1135" s="12" t="s">
        <v>4701</v>
      </c>
      <c r="B1135" s="13"/>
      <c r="C1135" t="e">
        <f t="shared" si="0"/>
        <v>#N/A</v>
      </c>
      <c r="D1135" t="b">
        <f t="shared" si="1"/>
        <v>0</v>
      </c>
      <c r="E1135">
        <f t="shared" si="2"/>
        <v>0</v>
      </c>
      <c r="F1135" s="11"/>
    </row>
    <row r="1136" spans="1:6" ht="16" x14ac:dyDescent="0.2">
      <c r="A1136" s="12" t="s">
        <v>4702</v>
      </c>
      <c r="B1136" s="13"/>
      <c r="C1136" t="e">
        <f t="shared" si="0"/>
        <v>#N/A</v>
      </c>
      <c r="D1136" t="b">
        <f t="shared" si="1"/>
        <v>0</v>
      </c>
      <c r="E1136">
        <f t="shared" si="2"/>
        <v>0</v>
      </c>
      <c r="F1136" s="11"/>
    </row>
    <row r="1137" spans="1:6" ht="16" x14ac:dyDescent="0.2">
      <c r="A1137" s="12" t="s">
        <v>4703</v>
      </c>
      <c r="B1137" s="13"/>
      <c r="C1137" t="e">
        <f t="shared" si="0"/>
        <v>#N/A</v>
      </c>
      <c r="D1137" t="b">
        <f t="shared" si="1"/>
        <v>0</v>
      </c>
      <c r="E1137">
        <f t="shared" si="2"/>
        <v>0</v>
      </c>
      <c r="F1137" s="11"/>
    </row>
    <row r="1138" spans="1:6" ht="16" x14ac:dyDescent="0.2">
      <c r="A1138" s="12" t="s">
        <v>4704</v>
      </c>
      <c r="B1138" s="13"/>
      <c r="C1138" t="e">
        <f t="shared" si="0"/>
        <v>#N/A</v>
      </c>
      <c r="D1138" t="b">
        <f t="shared" si="1"/>
        <v>0</v>
      </c>
      <c r="E1138">
        <f t="shared" si="2"/>
        <v>0</v>
      </c>
      <c r="F1138" s="11"/>
    </row>
    <row r="1139" spans="1:6" ht="16" x14ac:dyDescent="0.2">
      <c r="A1139" s="12" t="s">
        <v>4705</v>
      </c>
      <c r="B1139" s="13"/>
      <c r="C1139" t="e">
        <f t="shared" si="0"/>
        <v>#N/A</v>
      </c>
      <c r="D1139" t="b">
        <f t="shared" si="1"/>
        <v>0</v>
      </c>
      <c r="E1139">
        <f t="shared" si="2"/>
        <v>0</v>
      </c>
      <c r="F1139" s="11"/>
    </row>
    <row r="1140" spans="1:6" ht="16" x14ac:dyDescent="0.2">
      <c r="A1140" s="12" t="s">
        <v>4706</v>
      </c>
      <c r="B1140" s="13"/>
      <c r="C1140" t="e">
        <f t="shared" si="0"/>
        <v>#N/A</v>
      </c>
      <c r="D1140" t="b">
        <f t="shared" si="1"/>
        <v>0</v>
      </c>
      <c r="E1140">
        <f t="shared" si="2"/>
        <v>0</v>
      </c>
      <c r="F1140" s="11"/>
    </row>
    <row r="1141" spans="1:6" ht="16" x14ac:dyDescent="0.2">
      <c r="A1141" s="12" t="s">
        <v>4707</v>
      </c>
      <c r="B1141" s="13"/>
      <c r="C1141" t="e">
        <f t="shared" si="0"/>
        <v>#N/A</v>
      </c>
      <c r="D1141" t="b">
        <f t="shared" si="1"/>
        <v>0</v>
      </c>
      <c r="E1141">
        <f t="shared" si="2"/>
        <v>0</v>
      </c>
      <c r="F1141" s="11"/>
    </row>
    <row r="1142" spans="1:6" ht="16" x14ac:dyDescent="0.2">
      <c r="A1142" s="12" t="s">
        <v>4708</v>
      </c>
      <c r="B1142" s="13"/>
      <c r="C1142" t="e">
        <f t="shared" si="0"/>
        <v>#N/A</v>
      </c>
      <c r="D1142" t="b">
        <f t="shared" si="1"/>
        <v>0</v>
      </c>
      <c r="E1142">
        <f t="shared" si="2"/>
        <v>0</v>
      </c>
      <c r="F1142" s="11"/>
    </row>
    <row r="1143" spans="1:6" ht="16" x14ac:dyDescent="0.2">
      <c r="A1143" s="12" t="s">
        <v>4709</v>
      </c>
      <c r="B1143" s="13"/>
      <c r="C1143" t="e">
        <f t="shared" si="0"/>
        <v>#N/A</v>
      </c>
      <c r="D1143" t="b">
        <f t="shared" si="1"/>
        <v>0</v>
      </c>
      <c r="E1143">
        <f t="shared" si="2"/>
        <v>0</v>
      </c>
      <c r="F1143" s="11"/>
    </row>
    <row r="1144" spans="1:6" ht="16" x14ac:dyDescent="0.2">
      <c r="A1144" s="12" t="s">
        <v>4710</v>
      </c>
      <c r="B1144" s="13"/>
      <c r="C1144" t="e">
        <f t="shared" si="0"/>
        <v>#N/A</v>
      </c>
      <c r="D1144" t="b">
        <f t="shared" si="1"/>
        <v>0</v>
      </c>
      <c r="E1144">
        <f t="shared" si="2"/>
        <v>0</v>
      </c>
      <c r="F1144" s="11"/>
    </row>
    <row r="1145" spans="1:6" ht="16" x14ac:dyDescent="0.2">
      <c r="A1145" s="12" t="s">
        <v>4711</v>
      </c>
      <c r="B1145" s="13"/>
      <c r="C1145" t="e">
        <f t="shared" si="0"/>
        <v>#N/A</v>
      </c>
      <c r="D1145" t="b">
        <f t="shared" si="1"/>
        <v>0</v>
      </c>
      <c r="E1145">
        <f t="shared" si="2"/>
        <v>0</v>
      </c>
      <c r="F1145" s="11"/>
    </row>
    <row r="1146" spans="1:6" ht="16" x14ac:dyDescent="0.2">
      <c r="A1146" s="12" t="s">
        <v>4712</v>
      </c>
      <c r="B1146" s="13"/>
      <c r="C1146" t="e">
        <f t="shared" si="0"/>
        <v>#N/A</v>
      </c>
      <c r="D1146" t="b">
        <f t="shared" si="1"/>
        <v>0</v>
      </c>
      <c r="E1146">
        <f t="shared" si="2"/>
        <v>0</v>
      </c>
      <c r="F1146" s="11"/>
    </row>
    <row r="1147" spans="1:6" ht="16" x14ac:dyDescent="0.2">
      <c r="A1147" s="12" t="s">
        <v>4713</v>
      </c>
      <c r="B1147" s="13"/>
      <c r="C1147" t="e">
        <f t="shared" si="0"/>
        <v>#N/A</v>
      </c>
      <c r="D1147" t="b">
        <f t="shared" si="1"/>
        <v>0</v>
      </c>
      <c r="E1147">
        <f t="shared" si="2"/>
        <v>0</v>
      </c>
      <c r="F1147" s="11"/>
    </row>
    <row r="1148" spans="1:6" ht="16" x14ac:dyDescent="0.2">
      <c r="A1148" s="12" t="s">
        <v>4714</v>
      </c>
      <c r="B1148" s="13"/>
      <c r="C1148" t="e">
        <f t="shared" si="0"/>
        <v>#N/A</v>
      </c>
      <c r="D1148" t="b">
        <f t="shared" si="1"/>
        <v>0</v>
      </c>
      <c r="E1148">
        <f t="shared" si="2"/>
        <v>0</v>
      </c>
      <c r="F1148" s="11"/>
    </row>
    <row r="1149" spans="1:6" ht="16" x14ac:dyDescent="0.2">
      <c r="A1149" s="12" t="s">
        <v>4715</v>
      </c>
      <c r="B1149" s="13"/>
      <c r="C1149" t="e">
        <f t="shared" si="0"/>
        <v>#N/A</v>
      </c>
      <c r="D1149" t="b">
        <f t="shared" si="1"/>
        <v>0</v>
      </c>
      <c r="E1149">
        <f t="shared" si="2"/>
        <v>0</v>
      </c>
      <c r="F1149" s="11"/>
    </row>
    <row r="1150" spans="1:6" ht="16" x14ac:dyDescent="0.2">
      <c r="A1150" s="12" t="s">
        <v>4716</v>
      </c>
      <c r="B1150" s="13"/>
      <c r="C1150" t="e">
        <f t="shared" si="0"/>
        <v>#N/A</v>
      </c>
      <c r="D1150" t="b">
        <f t="shared" si="1"/>
        <v>0</v>
      </c>
      <c r="E1150">
        <f t="shared" si="2"/>
        <v>0</v>
      </c>
      <c r="F1150" s="11"/>
    </row>
    <row r="1151" spans="1:6" ht="16" x14ac:dyDescent="0.2">
      <c r="A1151" s="12" t="s">
        <v>4717</v>
      </c>
      <c r="B1151" s="13"/>
      <c r="C1151" t="e">
        <f t="shared" si="0"/>
        <v>#N/A</v>
      </c>
      <c r="D1151" t="b">
        <f t="shared" si="1"/>
        <v>0</v>
      </c>
      <c r="E1151">
        <f t="shared" si="2"/>
        <v>0</v>
      </c>
      <c r="F1151" s="11"/>
    </row>
    <row r="1152" spans="1:6" ht="16" x14ac:dyDescent="0.2">
      <c r="A1152" s="12" t="s">
        <v>4718</v>
      </c>
      <c r="B1152" s="13"/>
      <c r="C1152" t="e">
        <f t="shared" si="0"/>
        <v>#N/A</v>
      </c>
      <c r="D1152" t="b">
        <f t="shared" si="1"/>
        <v>0</v>
      </c>
      <c r="E1152">
        <f t="shared" si="2"/>
        <v>0</v>
      </c>
      <c r="F1152" s="11"/>
    </row>
    <row r="1153" spans="1:6" ht="16" x14ac:dyDescent="0.2">
      <c r="A1153" s="12" t="s">
        <v>4719</v>
      </c>
      <c r="B1153" s="13"/>
      <c r="C1153" t="e">
        <f t="shared" si="0"/>
        <v>#N/A</v>
      </c>
      <c r="D1153" t="b">
        <f t="shared" si="1"/>
        <v>0</v>
      </c>
      <c r="E1153">
        <f t="shared" si="2"/>
        <v>0</v>
      </c>
      <c r="F1153" s="11"/>
    </row>
    <row r="1154" spans="1:6" ht="16" x14ac:dyDescent="0.2">
      <c r="A1154" s="12" t="s">
        <v>4720</v>
      </c>
      <c r="B1154" s="13"/>
      <c r="C1154" t="e">
        <f t="shared" si="0"/>
        <v>#N/A</v>
      </c>
      <c r="D1154" t="b">
        <f t="shared" si="1"/>
        <v>0</v>
      </c>
      <c r="E1154">
        <f t="shared" si="2"/>
        <v>0</v>
      </c>
      <c r="F1154" s="11"/>
    </row>
    <row r="1155" spans="1:6" ht="16" x14ac:dyDescent="0.2">
      <c r="A1155" s="12" t="s">
        <v>4721</v>
      </c>
      <c r="B1155" s="13"/>
      <c r="C1155" t="e">
        <f t="shared" si="0"/>
        <v>#N/A</v>
      </c>
      <c r="D1155" t="b">
        <f t="shared" si="1"/>
        <v>0</v>
      </c>
      <c r="E1155">
        <f t="shared" si="2"/>
        <v>0</v>
      </c>
      <c r="F1155" s="11"/>
    </row>
    <row r="1156" spans="1:6" ht="16" x14ac:dyDescent="0.2">
      <c r="A1156" s="12" t="s">
        <v>4722</v>
      </c>
      <c r="B1156" s="13"/>
      <c r="C1156" t="e">
        <f t="shared" si="0"/>
        <v>#N/A</v>
      </c>
      <c r="D1156" t="b">
        <f t="shared" si="1"/>
        <v>0</v>
      </c>
      <c r="E1156">
        <f t="shared" si="2"/>
        <v>0</v>
      </c>
      <c r="F1156" s="11"/>
    </row>
    <row r="1157" spans="1:6" ht="16" x14ac:dyDescent="0.2">
      <c r="A1157" s="12" t="s">
        <v>4723</v>
      </c>
      <c r="B1157" s="13"/>
      <c r="C1157" t="e">
        <f t="shared" si="0"/>
        <v>#N/A</v>
      </c>
      <c r="D1157" t="b">
        <f t="shared" si="1"/>
        <v>0</v>
      </c>
      <c r="E1157">
        <f t="shared" si="2"/>
        <v>0</v>
      </c>
      <c r="F1157" s="11"/>
    </row>
    <row r="1158" spans="1:6" ht="16" x14ac:dyDescent="0.2">
      <c r="A1158" s="12" t="s">
        <v>4724</v>
      </c>
      <c r="B1158" s="13"/>
      <c r="C1158" t="e">
        <f t="shared" si="0"/>
        <v>#N/A</v>
      </c>
      <c r="D1158" t="b">
        <f t="shared" si="1"/>
        <v>0</v>
      </c>
      <c r="E1158">
        <f t="shared" si="2"/>
        <v>0</v>
      </c>
      <c r="F1158" s="11"/>
    </row>
    <row r="1159" spans="1:6" ht="16" x14ac:dyDescent="0.2">
      <c r="A1159" s="12" t="s">
        <v>4725</v>
      </c>
      <c r="B1159" s="13"/>
      <c r="C1159" t="e">
        <f t="shared" si="0"/>
        <v>#N/A</v>
      </c>
      <c r="D1159" t="b">
        <f t="shared" si="1"/>
        <v>0</v>
      </c>
      <c r="E1159">
        <f t="shared" si="2"/>
        <v>0</v>
      </c>
      <c r="F1159" s="11"/>
    </row>
    <row r="1160" spans="1:6" ht="16" x14ac:dyDescent="0.2">
      <c r="A1160" s="12" t="s">
        <v>4726</v>
      </c>
      <c r="B1160" s="13"/>
      <c r="C1160" t="e">
        <f t="shared" si="0"/>
        <v>#N/A</v>
      </c>
      <c r="D1160" t="b">
        <f t="shared" si="1"/>
        <v>0</v>
      </c>
      <c r="E1160">
        <f t="shared" si="2"/>
        <v>0</v>
      </c>
      <c r="F1160" s="11"/>
    </row>
    <row r="1161" spans="1:6" ht="16" x14ac:dyDescent="0.2">
      <c r="A1161" s="12" t="s">
        <v>4727</v>
      </c>
      <c r="B1161" s="13"/>
      <c r="C1161" t="e">
        <f t="shared" si="0"/>
        <v>#N/A</v>
      </c>
      <c r="D1161" t="b">
        <f t="shared" si="1"/>
        <v>0</v>
      </c>
      <c r="E1161">
        <f t="shared" si="2"/>
        <v>0</v>
      </c>
      <c r="F1161" s="11"/>
    </row>
    <row r="1162" spans="1:6" ht="16" x14ac:dyDescent="0.2">
      <c r="A1162" s="12" t="s">
        <v>4728</v>
      </c>
      <c r="B1162" s="13"/>
      <c r="C1162" t="e">
        <f t="shared" si="0"/>
        <v>#N/A</v>
      </c>
      <c r="D1162" t="b">
        <f t="shared" si="1"/>
        <v>0</v>
      </c>
      <c r="E1162">
        <f t="shared" si="2"/>
        <v>0</v>
      </c>
      <c r="F1162" s="11"/>
    </row>
    <row r="1163" spans="1:6" ht="16" x14ac:dyDescent="0.2">
      <c r="A1163" s="12" t="s">
        <v>4729</v>
      </c>
      <c r="B1163" s="13"/>
      <c r="C1163" t="e">
        <f t="shared" si="0"/>
        <v>#N/A</v>
      </c>
      <c r="D1163" t="b">
        <f t="shared" si="1"/>
        <v>0</v>
      </c>
      <c r="E1163">
        <f t="shared" si="2"/>
        <v>0</v>
      </c>
      <c r="F1163" s="11"/>
    </row>
    <row r="1164" spans="1:6" ht="16" x14ac:dyDescent="0.2">
      <c r="A1164" s="12" t="s">
        <v>4730</v>
      </c>
      <c r="B1164" s="13"/>
      <c r="C1164" t="e">
        <f t="shared" si="0"/>
        <v>#N/A</v>
      </c>
      <c r="D1164" t="b">
        <f t="shared" si="1"/>
        <v>0</v>
      </c>
      <c r="E1164">
        <f t="shared" si="2"/>
        <v>0</v>
      </c>
      <c r="F1164" s="11"/>
    </row>
    <row r="1165" spans="1:6" ht="16" x14ac:dyDescent="0.2">
      <c r="A1165" s="12" t="s">
        <v>4731</v>
      </c>
      <c r="B1165" s="13"/>
      <c r="C1165" t="e">
        <f t="shared" si="0"/>
        <v>#N/A</v>
      </c>
      <c r="D1165" t="b">
        <f t="shared" si="1"/>
        <v>0</v>
      </c>
      <c r="E1165">
        <f t="shared" si="2"/>
        <v>0</v>
      </c>
      <c r="F1165" s="11"/>
    </row>
    <row r="1166" spans="1:6" ht="16" x14ac:dyDescent="0.2">
      <c r="A1166" s="12" t="s">
        <v>4732</v>
      </c>
      <c r="B1166" s="13"/>
      <c r="C1166" t="e">
        <f t="shared" si="0"/>
        <v>#N/A</v>
      </c>
      <c r="D1166" t="b">
        <f t="shared" si="1"/>
        <v>0</v>
      </c>
      <c r="E1166">
        <f t="shared" si="2"/>
        <v>0</v>
      </c>
      <c r="F1166" s="11"/>
    </row>
    <row r="1167" spans="1:6" ht="16" x14ac:dyDescent="0.2">
      <c r="A1167" s="12" t="s">
        <v>4733</v>
      </c>
      <c r="B1167" s="13"/>
      <c r="C1167" t="e">
        <f t="shared" si="0"/>
        <v>#N/A</v>
      </c>
      <c r="D1167" t="b">
        <f t="shared" si="1"/>
        <v>0</v>
      </c>
      <c r="E1167">
        <f t="shared" si="2"/>
        <v>0</v>
      </c>
      <c r="F1167" s="11"/>
    </row>
    <row r="1168" spans="1:6" ht="16" x14ac:dyDescent="0.2">
      <c r="A1168" s="12" t="s">
        <v>4734</v>
      </c>
      <c r="B1168" s="13"/>
      <c r="C1168" t="e">
        <f t="shared" si="0"/>
        <v>#N/A</v>
      </c>
      <c r="D1168" t="b">
        <f t="shared" si="1"/>
        <v>0</v>
      </c>
      <c r="E1168">
        <f t="shared" si="2"/>
        <v>0</v>
      </c>
      <c r="F1168" s="11"/>
    </row>
    <row r="1169" spans="1:6" ht="16" x14ac:dyDescent="0.2">
      <c r="A1169" s="12" t="s">
        <v>4735</v>
      </c>
      <c r="B1169" s="13"/>
      <c r="C1169" t="e">
        <f t="shared" si="0"/>
        <v>#N/A</v>
      </c>
      <c r="D1169" t="b">
        <f t="shared" si="1"/>
        <v>0</v>
      </c>
      <c r="E1169">
        <f t="shared" si="2"/>
        <v>0</v>
      </c>
      <c r="F1169" s="11"/>
    </row>
    <row r="1170" spans="1:6" ht="16" x14ac:dyDescent="0.2">
      <c r="A1170" s="12" t="s">
        <v>4736</v>
      </c>
      <c r="B1170" s="13"/>
      <c r="C1170" t="e">
        <f t="shared" si="0"/>
        <v>#N/A</v>
      </c>
      <c r="D1170" t="b">
        <f t="shared" si="1"/>
        <v>0</v>
      </c>
      <c r="E1170">
        <f t="shared" si="2"/>
        <v>0</v>
      </c>
      <c r="F1170" s="11"/>
    </row>
    <row r="1171" spans="1:6" ht="16" x14ac:dyDescent="0.2">
      <c r="A1171" s="12" t="s">
        <v>4737</v>
      </c>
      <c r="B1171" s="13"/>
      <c r="C1171" t="e">
        <f t="shared" si="0"/>
        <v>#N/A</v>
      </c>
      <c r="D1171" t="b">
        <f t="shared" si="1"/>
        <v>0</v>
      </c>
      <c r="E1171">
        <f t="shared" si="2"/>
        <v>0</v>
      </c>
      <c r="F1171" s="11"/>
    </row>
    <row r="1172" spans="1:6" ht="16" x14ac:dyDescent="0.2">
      <c r="A1172" s="12" t="s">
        <v>4738</v>
      </c>
      <c r="B1172" s="13"/>
      <c r="C1172" t="e">
        <f t="shared" si="0"/>
        <v>#N/A</v>
      </c>
      <c r="D1172" t="b">
        <f t="shared" si="1"/>
        <v>0</v>
      </c>
      <c r="E1172">
        <f t="shared" si="2"/>
        <v>0</v>
      </c>
      <c r="F1172" s="11"/>
    </row>
    <row r="1173" spans="1:6" ht="16" x14ac:dyDescent="0.2">
      <c r="A1173" s="12" t="s">
        <v>4739</v>
      </c>
      <c r="B1173" s="13"/>
      <c r="C1173" t="e">
        <f t="shared" si="0"/>
        <v>#N/A</v>
      </c>
      <c r="D1173" t="b">
        <f t="shared" si="1"/>
        <v>0</v>
      </c>
      <c r="E1173">
        <f t="shared" si="2"/>
        <v>0</v>
      </c>
      <c r="F1173" s="11"/>
    </row>
    <row r="1174" spans="1:6" ht="16" x14ac:dyDescent="0.2">
      <c r="A1174" s="12" t="s">
        <v>4740</v>
      </c>
      <c r="B1174" s="13"/>
      <c r="C1174" t="e">
        <f t="shared" si="0"/>
        <v>#N/A</v>
      </c>
      <c r="D1174" t="b">
        <f t="shared" si="1"/>
        <v>0</v>
      </c>
      <c r="E1174">
        <f t="shared" si="2"/>
        <v>0</v>
      </c>
      <c r="F1174" s="11"/>
    </row>
    <row r="1175" spans="1:6" ht="16" x14ac:dyDescent="0.2">
      <c r="A1175" s="12" t="s">
        <v>4741</v>
      </c>
      <c r="B1175" s="13"/>
      <c r="C1175" t="e">
        <f t="shared" si="0"/>
        <v>#N/A</v>
      </c>
      <c r="D1175" t="b">
        <f t="shared" si="1"/>
        <v>0</v>
      </c>
      <c r="E1175">
        <f t="shared" si="2"/>
        <v>0</v>
      </c>
      <c r="F1175" s="11"/>
    </row>
    <row r="1176" spans="1:6" ht="16" x14ac:dyDescent="0.2">
      <c r="A1176" s="12" t="s">
        <v>4742</v>
      </c>
      <c r="B1176" s="13"/>
      <c r="C1176" t="e">
        <f t="shared" si="0"/>
        <v>#N/A</v>
      </c>
      <c r="D1176" t="b">
        <f t="shared" si="1"/>
        <v>0</v>
      </c>
      <c r="E1176">
        <f t="shared" si="2"/>
        <v>0</v>
      </c>
      <c r="F1176" s="11"/>
    </row>
    <row r="1177" spans="1:6" ht="16" x14ac:dyDescent="0.2">
      <c r="A1177" s="12" t="s">
        <v>4743</v>
      </c>
      <c r="B1177" s="13"/>
      <c r="C1177" t="e">
        <f t="shared" si="0"/>
        <v>#N/A</v>
      </c>
      <c r="D1177" t="b">
        <f t="shared" si="1"/>
        <v>0</v>
      </c>
      <c r="E1177">
        <f t="shared" si="2"/>
        <v>0</v>
      </c>
      <c r="F1177" s="11"/>
    </row>
    <row r="1178" spans="1:6" ht="16" x14ac:dyDescent="0.2">
      <c r="A1178" s="12" t="s">
        <v>4744</v>
      </c>
      <c r="B1178" s="13"/>
      <c r="C1178" t="e">
        <f t="shared" si="0"/>
        <v>#N/A</v>
      </c>
      <c r="D1178" t="b">
        <f t="shared" si="1"/>
        <v>0</v>
      </c>
      <c r="E1178">
        <f t="shared" si="2"/>
        <v>0</v>
      </c>
      <c r="F1178" s="11"/>
    </row>
    <row r="1179" spans="1:6" ht="16" x14ac:dyDescent="0.2">
      <c r="A1179" s="12" t="s">
        <v>4745</v>
      </c>
      <c r="B1179" s="13"/>
      <c r="C1179" t="e">
        <f t="shared" si="0"/>
        <v>#N/A</v>
      </c>
      <c r="D1179" t="b">
        <f t="shared" si="1"/>
        <v>0</v>
      </c>
      <c r="E1179">
        <f t="shared" si="2"/>
        <v>0</v>
      </c>
      <c r="F1179" s="11"/>
    </row>
    <row r="1180" spans="1:6" ht="16" x14ac:dyDescent="0.2">
      <c r="A1180" s="12" t="s">
        <v>4746</v>
      </c>
      <c r="B1180" s="13"/>
      <c r="C1180" t="e">
        <f t="shared" si="0"/>
        <v>#N/A</v>
      </c>
      <c r="D1180" t="b">
        <f t="shared" si="1"/>
        <v>0</v>
      </c>
      <c r="E1180">
        <f t="shared" si="2"/>
        <v>0</v>
      </c>
      <c r="F1180" s="11"/>
    </row>
    <row r="1181" spans="1:6" ht="16" x14ac:dyDescent="0.2">
      <c r="A1181" s="12" t="s">
        <v>4747</v>
      </c>
      <c r="B1181" s="13"/>
      <c r="C1181" t="e">
        <f t="shared" si="0"/>
        <v>#N/A</v>
      </c>
      <c r="D1181" t="b">
        <f t="shared" si="1"/>
        <v>0</v>
      </c>
      <c r="E1181">
        <f t="shared" si="2"/>
        <v>0</v>
      </c>
      <c r="F1181" s="11"/>
    </row>
    <row r="1182" spans="1:6" ht="16" x14ac:dyDescent="0.2">
      <c r="A1182" s="12" t="s">
        <v>4748</v>
      </c>
      <c r="B1182" s="13"/>
      <c r="C1182" t="e">
        <f t="shared" si="0"/>
        <v>#N/A</v>
      </c>
      <c r="D1182" t="b">
        <f t="shared" si="1"/>
        <v>0</v>
      </c>
      <c r="E1182">
        <f t="shared" si="2"/>
        <v>0</v>
      </c>
      <c r="F1182" s="11"/>
    </row>
    <row r="1183" spans="1:6" ht="16" x14ac:dyDescent="0.2">
      <c r="A1183" s="12" t="s">
        <v>4749</v>
      </c>
      <c r="B1183" s="13"/>
      <c r="C1183" t="e">
        <f t="shared" si="0"/>
        <v>#N/A</v>
      </c>
      <c r="D1183" t="b">
        <f t="shared" si="1"/>
        <v>0</v>
      </c>
      <c r="E1183">
        <f t="shared" si="2"/>
        <v>0</v>
      </c>
      <c r="F1183" s="11"/>
    </row>
    <row r="1184" spans="1:6" ht="16" x14ac:dyDescent="0.2">
      <c r="A1184" s="12" t="s">
        <v>4750</v>
      </c>
      <c r="B1184" s="13"/>
      <c r="C1184" t="e">
        <f t="shared" si="0"/>
        <v>#N/A</v>
      </c>
      <c r="D1184" t="b">
        <f t="shared" si="1"/>
        <v>0</v>
      </c>
      <c r="E1184">
        <f t="shared" si="2"/>
        <v>0</v>
      </c>
      <c r="F1184" s="11"/>
    </row>
    <row r="1185" spans="1:6" ht="16" x14ac:dyDescent="0.2">
      <c r="A1185" s="12" t="s">
        <v>4751</v>
      </c>
      <c r="B1185" s="13"/>
      <c r="C1185" t="e">
        <f t="shared" si="0"/>
        <v>#N/A</v>
      </c>
      <c r="D1185" t="b">
        <f t="shared" si="1"/>
        <v>0</v>
      </c>
      <c r="E1185">
        <f t="shared" si="2"/>
        <v>0</v>
      </c>
      <c r="F1185" s="11"/>
    </row>
    <row r="1186" spans="1:6" ht="16" x14ac:dyDescent="0.2">
      <c r="A1186" s="12" t="s">
        <v>4752</v>
      </c>
      <c r="B1186" s="13"/>
      <c r="C1186" t="e">
        <f t="shared" si="0"/>
        <v>#N/A</v>
      </c>
      <c r="D1186" t="b">
        <f t="shared" si="1"/>
        <v>0</v>
      </c>
      <c r="E1186">
        <f t="shared" si="2"/>
        <v>0</v>
      </c>
      <c r="F1186" s="11"/>
    </row>
    <row r="1187" spans="1:6" ht="16" x14ac:dyDescent="0.2">
      <c r="A1187" s="12" t="s">
        <v>4753</v>
      </c>
      <c r="B1187" s="13"/>
      <c r="C1187" t="e">
        <f t="shared" si="0"/>
        <v>#N/A</v>
      </c>
      <c r="D1187" t="b">
        <f t="shared" si="1"/>
        <v>0</v>
      </c>
      <c r="E1187">
        <f t="shared" si="2"/>
        <v>0</v>
      </c>
      <c r="F1187" s="11"/>
    </row>
    <row r="1188" spans="1:6" ht="16" x14ac:dyDescent="0.2">
      <c r="A1188" s="12" t="s">
        <v>4754</v>
      </c>
      <c r="B1188" s="13"/>
      <c r="C1188" t="e">
        <f t="shared" si="0"/>
        <v>#N/A</v>
      </c>
      <c r="D1188" t="b">
        <f t="shared" si="1"/>
        <v>0</v>
      </c>
      <c r="E1188">
        <f t="shared" si="2"/>
        <v>0</v>
      </c>
      <c r="F1188" s="11"/>
    </row>
    <row r="1189" spans="1:6" ht="16" x14ac:dyDescent="0.2">
      <c r="A1189" s="12" t="s">
        <v>4755</v>
      </c>
      <c r="B1189" s="13"/>
      <c r="C1189" t="e">
        <f t="shared" si="0"/>
        <v>#N/A</v>
      </c>
      <c r="D1189" t="b">
        <f t="shared" si="1"/>
        <v>0</v>
      </c>
      <c r="E1189">
        <f t="shared" si="2"/>
        <v>0</v>
      </c>
      <c r="F1189" s="11"/>
    </row>
    <row r="1190" spans="1:6" ht="16" x14ac:dyDescent="0.2">
      <c r="A1190" s="12" t="s">
        <v>4756</v>
      </c>
      <c r="B1190" s="13"/>
      <c r="C1190" t="e">
        <f t="shared" si="0"/>
        <v>#N/A</v>
      </c>
      <c r="D1190" t="b">
        <f t="shared" si="1"/>
        <v>0</v>
      </c>
      <c r="E1190">
        <f t="shared" si="2"/>
        <v>0</v>
      </c>
      <c r="F1190" s="11"/>
    </row>
    <row r="1191" spans="1:6" ht="16" x14ac:dyDescent="0.2">
      <c r="A1191" s="12" t="s">
        <v>4757</v>
      </c>
      <c r="B1191" s="13"/>
      <c r="C1191" t="e">
        <f t="shared" si="0"/>
        <v>#N/A</v>
      </c>
      <c r="D1191" t="b">
        <f t="shared" si="1"/>
        <v>0</v>
      </c>
      <c r="E1191">
        <f t="shared" si="2"/>
        <v>0</v>
      </c>
      <c r="F1191" s="11"/>
    </row>
    <row r="1192" spans="1:6" ht="16" x14ac:dyDescent="0.2">
      <c r="A1192" s="12" t="s">
        <v>4758</v>
      </c>
      <c r="B1192" s="13"/>
      <c r="C1192" t="e">
        <f t="shared" si="0"/>
        <v>#N/A</v>
      </c>
      <c r="D1192" t="b">
        <f t="shared" si="1"/>
        <v>0</v>
      </c>
      <c r="E1192">
        <f t="shared" si="2"/>
        <v>0</v>
      </c>
      <c r="F1192" s="11"/>
    </row>
    <row r="1193" spans="1:6" ht="16" x14ac:dyDescent="0.2">
      <c r="A1193" s="12" t="s">
        <v>4759</v>
      </c>
      <c r="B1193" s="13"/>
      <c r="C1193" t="e">
        <f t="shared" si="0"/>
        <v>#N/A</v>
      </c>
      <c r="D1193" t="b">
        <f t="shared" si="1"/>
        <v>0</v>
      </c>
      <c r="E1193">
        <f t="shared" si="2"/>
        <v>0</v>
      </c>
      <c r="F1193" s="11"/>
    </row>
    <row r="1194" spans="1:6" ht="16" x14ac:dyDescent="0.2">
      <c r="A1194" s="12" t="s">
        <v>4760</v>
      </c>
      <c r="B1194" s="13"/>
      <c r="C1194" t="e">
        <f t="shared" si="0"/>
        <v>#N/A</v>
      </c>
      <c r="D1194" t="b">
        <f t="shared" si="1"/>
        <v>0</v>
      </c>
      <c r="E1194">
        <f t="shared" si="2"/>
        <v>0</v>
      </c>
      <c r="F1194" s="11"/>
    </row>
    <row r="1195" spans="1:6" ht="16" x14ac:dyDescent="0.2">
      <c r="A1195" s="12" t="s">
        <v>4761</v>
      </c>
      <c r="B1195" s="13"/>
      <c r="C1195" t="e">
        <f t="shared" si="0"/>
        <v>#N/A</v>
      </c>
      <c r="D1195" t="b">
        <f t="shared" si="1"/>
        <v>0</v>
      </c>
      <c r="E1195">
        <f t="shared" si="2"/>
        <v>0</v>
      </c>
      <c r="F1195" s="11"/>
    </row>
    <row r="1196" spans="1:6" ht="16" x14ac:dyDescent="0.2">
      <c r="A1196" s="12" t="s">
        <v>4762</v>
      </c>
      <c r="B1196" s="13"/>
      <c r="C1196" t="e">
        <f t="shared" si="0"/>
        <v>#N/A</v>
      </c>
      <c r="D1196" t="b">
        <f t="shared" si="1"/>
        <v>0</v>
      </c>
      <c r="E1196">
        <f t="shared" si="2"/>
        <v>0</v>
      </c>
      <c r="F1196" s="11"/>
    </row>
    <row r="1197" spans="1:6" ht="16" x14ac:dyDescent="0.2">
      <c r="A1197" s="12" t="s">
        <v>4763</v>
      </c>
      <c r="B1197" s="13"/>
      <c r="C1197" t="e">
        <f t="shared" si="0"/>
        <v>#N/A</v>
      </c>
      <c r="D1197" t="b">
        <f t="shared" si="1"/>
        <v>0</v>
      </c>
      <c r="E1197">
        <f t="shared" si="2"/>
        <v>0</v>
      </c>
      <c r="F1197" s="11"/>
    </row>
    <row r="1198" spans="1:6" ht="16" x14ac:dyDescent="0.2">
      <c r="A1198" s="12" t="s">
        <v>4764</v>
      </c>
      <c r="B1198" s="13"/>
      <c r="C1198" t="e">
        <f t="shared" si="0"/>
        <v>#N/A</v>
      </c>
      <c r="D1198" t="b">
        <f t="shared" si="1"/>
        <v>0</v>
      </c>
      <c r="E1198">
        <f t="shared" si="2"/>
        <v>0</v>
      </c>
      <c r="F1198" s="11"/>
    </row>
    <row r="1199" spans="1:6" ht="16" x14ac:dyDescent="0.2">
      <c r="A1199" s="12" t="s">
        <v>4765</v>
      </c>
      <c r="B1199" s="13"/>
      <c r="C1199" t="e">
        <f t="shared" si="0"/>
        <v>#N/A</v>
      </c>
      <c r="D1199" t="b">
        <f t="shared" si="1"/>
        <v>0</v>
      </c>
      <c r="E1199">
        <f t="shared" si="2"/>
        <v>0</v>
      </c>
      <c r="F1199" s="11"/>
    </row>
    <row r="1200" spans="1:6" ht="16" x14ac:dyDescent="0.2">
      <c r="A1200" s="12" t="s">
        <v>4766</v>
      </c>
      <c r="B1200" s="13"/>
      <c r="C1200" t="e">
        <f t="shared" si="0"/>
        <v>#N/A</v>
      </c>
      <c r="D1200" t="b">
        <f t="shared" si="1"/>
        <v>0</v>
      </c>
      <c r="E1200">
        <f t="shared" si="2"/>
        <v>0</v>
      </c>
      <c r="F1200" s="11"/>
    </row>
    <row r="1201" spans="1:6" ht="16" x14ac:dyDescent="0.2">
      <c r="A1201" s="12" t="s">
        <v>4767</v>
      </c>
      <c r="B1201" s="13"/>
      <c r="C1201" t="e">
        <f t="shared" si="0"/>
        <v>#N/A</v>
      </c>
      <c r="D1201" t="b">
        <f t="shared" si="1"/>
        <v>0</v>
      </c>
      <c r="E1201">
        <f t="shared" si="2"/>
        <v>0</v>
      </c>
      <c r="F1201" s="11"/>
    </row>
    <row r="1202" spans="1:6" ht="16" x14ac:dyDescent="0.2">
      <c r="A1202" s="12" t="s">
        <v>4768</v>
      </c>
      <c r="B1202" s="13"/>
      <c r="C1202" t="e">
        <f t="shared" si="0"/>
        <v>#N/A</v>
      </c>
      <c r="D1202" t="b">
        <f t="shared" si="1"/>
        <v>0</v>
      </c>
      <c r="E1202">
        <f t="shared" si="2"/>
        <v>0</v>
      </c>
      <c r="F1202" s="11"/>
    </row>
    <row r="1203" spans="1:6" ht="16" x14ac:dyDescent="0.2">
      <c r="A1203" s="12" t="s">
        <v>4769</v>
      </c>
      <c r="B1203" s="13"/>
      <c r="C1203" t="e">
        <f t="shared" si="0"/>
        <v>#N/A</v>
      </c>
      <c r="D1203" t="b">
        <f t="shared" si="1"/>
        <v>0</v>
      </c>
      <c r="E1203">
        <f t="shared" si="2"/>
        <v>0</v>
      </c>
      <c r="F1203" s="11"/>
    </row>
    <row r="1204" spans="1:6" ht="16" x14ac:dyDescent="0.2">
      <c r="A1204" s="12" t="s">
        <v>4770</v>
      </c>
      <c r="B1204" s="13"/>
      <c r="C1204" t="e">
        <f t="shared" si="0"/>
        <v>#N/A</v>
      </c>
      <c r="D1204" t="b">
        <f t="shared" si="1"/>
        <v>0</v>
      </c>
      <c r="E1204">
        <f t="shared" si="2"/>
        <v>0</v>
      </c>
      <c r="F1204" s="11"/>
    </row>
    <row r="1205" spans="1:6" ht="16" x14ac:dyDescent="0.2">
      <c r="A1205" s="12" t="s">
        <v>4771</v>
      </c>
      <c r="B1205" s="13"/>
      <c r="C1205" t="e">
        <f t="shared" si="0"/>
        <v>#N/A</v>
      </c>
      <c r="D1205" t="b">
        <f t="shared" si="1"/>
        <v>0</v>
      </c>
      <c r="E1205">
        <f t="shared" si="2"/>
        <v>0</v>
      </c>
      <c r="F1205" s="11"/>
    </row>
    <row r="1206" spans="1:6" ht="16" x14ac:dyDescent="0.2">
      <c r="A1206" s="12" t="s">
        <v>4772</v>
      </c>
      <c r="B1206" s="13"/>
      <c r="C1206" t="e">
        <f t="shared" si="0"/>
        <v>#N/A</v>
      </c>
      <c r="D1206" t="b">
        <f t="shared" si="1"/>
        <v>0</v>
      </c>
      <c r="E1206">
        <f t="shared" si="2"/>
        <v>0</v>
      </c>
      <c r="F1206" s="11"/>
    </row>
    <row r="1207" spans="1:6" ht="16" x14ac:dyDescent="0.2">
      <c r="A1207" s="12" t="s">
        <v>4773</v>
      </c>
      <c r="B1207" s="13"/>
      <c r="C1207" t="e">
        <f t="shared" si="0"/>
        <v>#N/A</v>
      </c>
      <c r="D1207" t="b">
        <f t="shared" si="1"/>
        <v>0</v>
      </c>
      <c r="E1207">
        <f t="shared" si="2"/>
        <v>0</v>
      </c>
      <c r="F1207" s="11"/>
    </row>
    <row r="1208" spans="1:6" ht="16" x14ac:dyDescent="0.2">
      <c r="A1208" s="12" t="s">
        <v>4774</v>
      </c>
      <c r="B1208" s="13"/>
      <c r="C1208" t="e">
        <f t="shared" si="0"/>
        <v>#N/A</v>
      </c>
      <c r="D1208" t="b">
        <f t="shared" si="1"/>
        <v>0</v>
      </c>
      <c r="E1208">
        <f t="shared" si="2"/>
        <v>0</v>
      </c>
      <c r="F1208" s="11"/>
    </row>
    <row r="1209" spans="1:6" ht="16" x14ac:dyDescent="0.2">
      <c r="A1209" s="12" t="s">
        <v>4775</v>
      </c>
      <c r="B1209" s="13"/>
      <c r="C1209" t="e">
        <f t="shared" si="0"/>
        <v>#N/A</v>
      </c>
      <c r="D1209" t="b">
        <f t="shared" si="1"/>
        <v>0</v>
      </c>
      <c r="E1209">
        <f t="shared" si="2"/>
        <v>0</v>
      </c>
      <c r="F1209" s="11"/>
    </row>
    <row r="1210" spans="1:6" ht="16" x14ac:dyDescent="0.2">
      <c r="A1210" s="12" t="s">
        <v>4776</v>
      </c>
      <c r="B1210" s="13"/>
      <c r="C1210" t="e">
        <f t="shared" si="0"/>
        <v>#N/A</v>
      </c>
      <c r="D1210" t="b">
        <f t="shared" si="1"/>
        <v>0</v>
      </c>
      <c r="E1210">
        <f t="shared" si="2"/>
        <v>0</v>
      </c>
      <c r="F1210" s="11"/>
    </row>
    <row r="1211" spans="1:6" ht="16" x14ac:dyDescent="0.2">
      <c r="A1211" s="12" t="s">
        <v>4777</v>
      </c>
      <c r="B1211" s="13"/>
      <c r="C1211" t="e">
        <f t="shared" si="0"/>
        <v>#N/A</v>
      </c>
      <c r="D1211" t="b">
        <f t="shared" si="1"/>
        <v>0</v>
      </c>
      <c r="E1211">
        <f t="shared" si="2"/>
        <v>0</v>
      </c>
      <c r="F1211" s="11"/>
    </row>
    <row r="1212" spans="1:6" ht="16" x14ac:dyDescent="0.2">
      <c r="A1212" s="12" t="s">
        <v>4778</v>
      </c>
      <c r="B1212" s="13"/>
      <c r="C1212" t="e">
        <f t="shared" si="0"/>
        <v>#N/A</v>
      </c>
      <c r="D1212" t="b">
        <f t="shared" si="1"/>
        <v>0</v>
      </c>
      <c r="E1212">
        <f t="shared" si="2"/>
        <v>0</v>
      </c>
      <c r="F1212" s="11"/>
    </row>
    <row r="1213" spans="1:6" ht="16" x14ac:dyDescent="0.2">
      <c r="A1213" s="12" t="s">
        <v>4779</v>
      </c>
      <c r="B1213" s="13"/>
      <c r="C1213" t="e">
        <f t="shared" si="0"/>
        <v>#N/A</v>
      </c>
      <c r="D1213" t="b">
        <f t="shared" si="1"/>
        <v>0</v>
      </c>
      <c r="E1213">
        <f t="shared" si="2"/>
        <v>0</v>
      </c>
      <c r="F1213" s="11"/>
    </row>
    <row r="1214" spans="1:6" ht="16" x14ac:dyDescent="0.2">
      <c r="A1214" s="12" t="s">
        <v>4780</v>
      </c>
      <c r="B1214" s="13"/>
      <c r="C1214" t="e">
        <f t="shared" si="0"/>
        <v>#N/A</v>
      </c>
      <c r="D1214" t="b">
        <f t="shared" si="1"/>
        <v>0</v>
      </c>
      <c r="E1214">
        <f t="shared" si="2"/>
        <v>0</v>
      </c>
      <c r="F1214" s="11"/>
    </row>
    <row r="1215" spans="1:6" ht="16" x14ac:dyDescent="0.2">
      <c r="A1215" s="12" t="s">
        <v>4781</v>
      </c>
      <c r="B1215" s="13"/>
      <c r="C1215" t="e">
        <f t="shared" si="0"/>
        <v>#N/A</v>
      </c>
      <c r="D1215" t="b">
        <f t="shared" si="1"/>
        <v>0</v>
      </c>
      <c r="E1215">
        <f t="shared" si="2"/>
        <v>0</v>
      </c>
      <c r="F1215" s="11"/>
    </row>
    <row r="1216" spans="1:6" ht="16" x14ac:dyDescent="0.2">
      <c r="A1216" s="12" t="s">
        <v>4782</v>
      </c>
      <c r="B1216" s="13"/>
      <c r="C1216" t="e">
        <f t="shared" si="0"/>
        <v>#N/A</v>
      </c>
      <c r="D1216" t="b">
        <f t="shared" si="1"/>
        <v>0</v>
      </c>
      <c r="E1216">
        <f t="shared" si="2"/>
        <v>0</v>
      </c>
      <c r="F1216" s="11"/>
    </row>
    <row r="1217" spans="1:6" ht="16" x14ac:dyDescent="0.2">
      <c r="A1217" s="12" t="s">
        <v>4783</v>
      </c>
      <c r="B1217" s="13"/>
      <c r="C1217" t="e">
        <f t="shared" si="0"/>
        <v>#N/A</v>
      </c>
      <c r="D1217" t="b">
        <f t="shared" si="1"/>
        <v>0</v>
      </c>
      <c r="E1217">
        <f t="shared" si="2"/>
        <v>0</v>
      </c>
      <c r="F1217" s="11"/>
    </row>
    <row r="1218" spans="1:6" ht="16" x14ac:dyDescent="0.2">
      <c r="A1218" s="12" t="s">
        <v>4784</v>
      </c>
      <c r="B1218" s="13"/>
      <c r="C1218" t="e">
        <f t="shared" si="0"/>
        <v>#N/A</v>
      </c>
      <c r="D1218" t="b">
        <f t="shared" si="1"/>
        <v>0</v>
      </c>
      <c r="E1218">
        <f t="shared" si="2"/>
        <v>0</v>
      </c>
      <c r="F1218" s="11"/>
    </row>
    <row r="1219" spans="1:6" ht="16" x14ac:dyDescent="0.2">
      <c r="A1219" s="12" t="s">
        <v>4785</v>
      </c>
      <c r="B1219" s="13"/>
      <c r="C1219" t="e">
        <f t="shared" si="0"/>
        <v>#N/A</v>
      </c>
      <c r="D1219" t="b">
        <f t="shared" si="1"/>
        <v>0</v>
      </c>
      <c r="E1219">
        <f t="shared" si="2"/>
        <v>0</v>
      </c>
      <c r="F1219" s="11"/>
    </row>
    <row r="1220" spans="1:6" ht="16" x14ac:dyDescent="0.2">
      <c r="A1220" s="12" t="s">
        <v>4786</v>
      </c>
      <c r="B1220" s="13"/>
      <c r="C1220" t="e">
        <f t="shared" si="0"/>
        <v>#N/A</v>
      </c>
      <c r="D1220" t="b">
        <f t="shared" si="1"/>
        <v>0</v>
      </c>
      <c r="E1220">
        <f t="shared" si="2"/>
        <v>0</v>
      </c>
      <c r="F1220" s="11"/>
    </row>
    <row r="1221" spans="1:6" ht="16" x14ac:dyDescent="0.2">
      <c r="A1221" s="12" t="s">
        <v>4787</v>
      </c>
      <c r="B1221" s="13"/>
      <c r="C1221" t="e">
        <f t="shared" si="0"/>
        <v>#N/A</v>
      </c>
      <c r="D1221" t="b">
        <f t="shared" si="1"/>
        <v>0</v>
      </c>
      <c r="E1221">
        <f t="shared" si="2"/>
        <v>0</v>
      </c>
      <c r="F1221" s="11"/>
    </row>
    <row r="1222" spans="1:6" ht="16" x14ac:dyDescent="0.2">
      <c r="A1222" s="12" t="s">
        <v>4788</v>
      </c>
      <c r="B1222" s="13"/>
      <c r="C1222" t="e">
        <f t="shared" si="0"/>
        <v>#N/A</v>
      </c>
      <c r="D1222" t="b">
        <f t="shared" si="1"/>
        <v>0</v>
      </c>
      <c r="E1222">
        <f t="shared" si="2"/>
        <v>0</v>
      </c>
      <c r="F1222" s="11"/>
    </row>
    <row r="1223" spans="1:6" ht="16" x14ac:dyDescent="0.2">
      <c r="A1223" s="12" t="s">
        <v>4789</v>
      </c>
      <c r="B1223" s="13"/>
      <c r="C1223" t="e">
        <f t="shared" si="0"/>
        <v>#N/A</v>
      </c>
      <c r="D1223" t="b">
        <f t="shared" si="1"/>
        <v>0</v>
      </c>
      <c r="E1223">
        <f t="shared" si="2"/>
        <v>0</v>
      </c>
      <c r="F1223" s="11"/>
    </row>
    <row r="1224" spans="1:6" ht="16" x14ac:dyDescent="0.2">
      <c r="A1224" s="12" t="s">
        <v>4790</v>
      </c>
      <c r="B1224" s="13"/>
      <c r="C1224" t="e">
        <f t="shared" si="0"/>
        <v>#N/A</v>
      </c>
      <c r="D1224" t="b">
        <f t="shared" si="1"/>
        <v>0</v>
      </c>
      <c r="E1224">
        <f t="shared" si="2"/>
        <v>0</v>
      </c>
      <c r="F1224" s="11"/>
    </row>
    <row r="1225" spans="1:6" ht="16" x14ac:dyDescent="0.2">
      <c r="A1225" s="12" t="s">
        <v>4791</v>
      </c>
      <c r="B1225" s="13"/>
      <c r="C1225" t="e">
        <f t="shared" si="0"/>
        <v>#N/A</v>
      </c>
      <c r="D1225" t="b">
        <f t="shared" si="1"/>
        <v>0</v>
      </c>
      <c r="E1225">
        <f t="shared" si="2"/>
        <v>0</v>
      </c>
      <c r="F1225" s="11"/>
    </row>
    <row r="1226" spans="1:6" ht="16" x14ac:dyDescent="0.2">
      <c r="A1226" s="12" t="s">
        <v>4792</v>
      </c>
      <c r="B1226" s="13"/>
      <c r="C1226" t="e">
        <f t="shared" si="0"/>
        <v>#N/A</v>
      </c>
      <c r="D1226" t="b">
        <f t="shared" si="1"/>
        <v>0</v>
      </c>
      <c r="E1226">
        <f t="shared" si="2"/>
        <v>0</v>
      </c>
      <c r="F1226" s="11"/>
    </row>
    <row r="1227" spans="1:6" ht="16" x14ac:dyDescent="0.2">
      <c r="A1227" s="12" t="s">
        <v>4793</v>
      </c>
      <c r="B1227" s="13"/>
      <c r="C1227" t="e">
        <f t="shared" si="0"/>
        <v>#N/A</v>
      </c>
      <c r="D1227" t="b">
        <f t="shared" si="1"/>
        <v>0</v>
      </c>
      <c r="E1227">
        <f t="shared" si="2"/>
        <v>0</v>
      </c>
      <c r="F1227" s="11"/>
    </row>
    <row r="1228" spans="1:6" ht="16" x14ac:dyDescent="0.2">
      <c r="A1228" s="12" t="s">
        <v>4794</v>
      </c>
      <c r="B1228" s="13"/>
      <c r="C1228" t="e">
        <f t="shared" si="0"/>
        <v>#N/A</v>
      </c>
      <c r="D1228" t="b">
        <f t="shared" si="1"/>
        <v>0</v>
      </c>
      <c r="E1228">
        <f t="shared" si="2"/>
        <v>0</v>
      </c>
      <c r="F1228" s="11"/>
    </row>
    <row r="1229" spans="1:6" ht="16" x14ac:dyDescent="0.2">
      <c r="A1229" s="12" t="s">
        <v>4795</v>
      </c>
      <c r="B1229" s="13"/>
      <c r="C1229" t="e">
        <f t="shared" si="0"/>
        <v>#N/A</v>
      </c>
      <c r="D1229" t="b">
        <f t="shared" si="1"/>
        <v>0</v>
      </c>
      <c r="E1229">
        <f t="shared" si="2"/>
        <v>0</v>
      </c>
      <c r="F1229" s="11"/>
    </row>
    <row r="1230" spans="1:6" ht="16" x14ac:dyDescent="0.2">
      <c r="A1230" s="12" t="s">
        <v>4796</v>
      </c>
      <c r="B1230" s="13"/>
      <c r="C1230" t="e">
        <f t="shared" si="0"/>
        <v>#N/A</v>
      </c>
      <c r="D1230" t="b">
        <f t="shared" si="1"/>
        <v>0</v>
      </c>
      <c r="E1230">
        <f t="shared" si="2"/>
        <v>0</v>
      </c>
      <c r="F1230" s="11"/>
    </row>
    <row r="1231" spans="1:6" ht="16" x14ac:dyDescent="0.2">
      <c r="A1231" s="12" t="s">
        <v>4797</v>
      </c>
      <c r="B1231" s="13"/>
      <c r="C1231" t="e">
        <f t="shared" si="0"/>
        <v>#N/A</v>
      </c>
      <c r="D1231" t="b">
        <f t="shared" si="1"/>
        <v>0</v>
      </c>
      <c r="E1231">
        <f t="shared" si="2"/>
        <v>0</v>
      </c>
      <c r="F1231" s="11"/>
    </row>
    <row r="1232" spans="1:6" ht="16" x14ac:dyDescent="0.2">
      <c r="A1232" s="12" t="s">
        <v>4798</v>
      </c>
      <c r="B1232" s="13"/>
      <c r="C1232" t="e">
        <f t="shared" si="0"/>
        <v>#N/A</v>
      </c>
      <c r="D1232" t="b">
        <f t="shared" si="1"/>
        <v>0</v>
      </c>
      <c r="E1232">
        <f t="shared" si="2"/>
        <v>0</v>
      </c>
      <c r="F1232" s="11"/>
    </row>
    <row r="1233" spans="1:6" ht="16" x14ac:dyDescent="0.2">
      <c r="A1233" s="12" t="s">
        <v>4799</v>
      </c>
      <c r="B1233" s="13"/>
      <c r="C1233" t="e">
        <f t="shared" si="0"/>
        <v>#N/A</v>
      </c>
      <c r="D1233" t="b">
        <f t="shared" si="1"/>
        <v>0</v>
      </c>
      <c r="E1233">
        <f t="shared" si="2"/>
        <v>0</v>
      </c>
      <c r="F1233" s="11"/>
    </row>
    <row r="1234" spans="1:6" ht="16" x14ac:dyDescent="0.2">
      <c r="A1234" s="12" t="s">
        <v>4800</v>
      </c>
      <c r="B1234" s="13"/>
      <c r="C1234" t="e">
        <f t="shared" si="0"/>
        <v>#N/A</v>
      </c>
      <c r="D1234" t="b">
        <f t="shared" si="1"/>
        <v>0</v>
      </c>
      <c r="E1234">
        <f t="shared" si="2"/>
        <v>0</v>
      </c>
      <c r="F1234" s="11"/>
    </row>
    <row r="1235" spans="1:6" ht="16" x14ac:dyDescent="0.2">
      <c r="A1235" s="12" t="s">
        <v>4801</v>
      </c>
      <c r="B1235" s="13"/>
      <c r="C1235" t="e">
        <f t="shared" si="0"/>
        <v>#N/A</v>
      </c>
      <c r="D1235" t="b">
        <f t="shared" si="1"/>
        <v>0</v>
      </c>
      <c r="E1235">
        <f t="shared" si="2"/>
        <v>0</v>
      </c>
      <c r="F1235" s="11"/>
    </row>
    <row r="1236" spans="1:6" ht="16" x14ac:dyDescent="0.2">
      <c r="A1236" s="12" t="s">
        <v>4802</v>
      </c>
      <c r="B1236" s="13"/>
      <c r="C1236" t="e">
        <f t="shared" si="0"/>
        <v>#N/A</v>
      </c>
      <c r="D1236" t="b">
        <f t="shared" si="1"/>
        <v>0</v>
      </c>
      <c r="E1236">
        <f t="shared" si="2"/>
        <v>0</v>
      </c>
      <c r="F1236" s="11"/>
    </row>
    <row r="1237" spans="1:6" ht="16" x14ac:dyDescent="0.2">
      <c r="A1237" s="12" t="s">
        <v>4803</v>
      </c>
      <c r="B1237" s="13"/>
      <c r="C1237" t="e">
        <f t="shared" si="0"/>
        <v>#N/A</v>
      </c>
      <c r="D1237" t="b">
        <f t="shared" si="1"/>
        <v>0</v>
      </c>
      <c r="E1237">
        <f t="shared" si="2"/>
        <v>0</v>
      </c>
      <c r="F1237" s="11"/>
    </row>
    <row r="1238" spans="1:6" ht="16" x14ac:dyDescent="0.2">
      <c r="A1238" s="12" t="s">
        <v>4804</v>
      </c>
      <c r="B1238" s="13"/>
      <c r="C1238" t="e">
        <f t="shared" si="0"/>
        <v>#N/A</v>
      </c>
      <c r="D1238" t="b">
        <f t="shared" si="1"/>
        <v>0</v>
      </c>
      <c r="E1238">
        <f t="shared" si="2"/>
        <v>0</v>
      </c>
      <c r="F1238" s="11"/>
    </row>
    <row r="1239" spans="1:6" ht="16" x14ac:dyDescent="0.2">
      <c r="A1239" s="12" t="s">
        <v>4805</v>
      </c>
      <c r="B1239" s="13"/>
      <c r="C1239" t="e">
        <f t="shared" si="0"/>
        <v>#N/A</v>
      </c>
      <c r="D1239" t="b">
        <f t="shared" si="1"/>
        <v>0</v>
      </c>
      <c r="E1239">
        <f t="shared" si="2"/>
        <v>0</v>
      </c>
      <c r="F1239" s="11"/>
    </row>
    <row r="1240" spans="1:6" ht="16" x14ac:dyDescent="0.2">
      <c r="A1240" s="12" t="s">
        <v>4806</v>
      </c>
      <c r="B1240" s="13"/>
      <c r="C1240" t="e">
        <f t="shared" si="0"/>
        <v>#N/A</v>
      </c>
      <c r="D1240" t="b">
        <f t="shared" si="1"/>
        <v>0</v>
      </c>
      <c r="E1240">
        <f t="shared" si="2"/>
        <v>0</v>
      </c>
      <c r="F1240" s="11"/>
    </row>
    <row r="1241" spans="1:6" ht="16" x14ac:dyDescent="0.2">
      <c r="A1241" s="12" t="s">
        <v>4807</v>
      </c>
      <c r="B1241" s="13"/>
      <c r="C1241" t="e">
        <f t="shared" si="0"/>
        <v>#N/A</v>
      </c>
      <c r="D1241" t="b">
        <f t="shared" si="1"/>
        <v>0</v>
      </c>
      <c r="E1241">
        <f t="shared" si="2"/>
        <v>0</v>
      </c>
      <c r="F1241" s="11"/>
    </row>
    <row r="1242" spans="1:6" ht="16" x14ac:dyDescent="0.2">
      <c r="A1242" s="12" t="s">
        <v>4808</v>
      </c>
      <c r="B1242" s="13"/>
      <c r="C1242" t="e">
        <f t="shared" si="0"/>
        <v>#N/A</v>
      </c>
      <c r="D1242" t="b">
        <f t="shared" si="1"/>
        <v>0</v>
      </c>
      <c r="E1242">
        <f t="shared" si="2"/>
        <v>0</v>
      </c>
      <c r="F1242" s="11"/>
    </row>
    <row r="1243" spans="1:6" ht="16" x14ac:dyDescent="0.2">
      <c r="A1243" s="12" t="s">
        <v>4809</v>
      </c>
      <c r="B1243" s="13"/>
      <c r="C1243" t="e">
        <f t="shared" si="0"/>
        <v>#N/A</v>
      </c>
      <c r="D1243" t="b">
        <f t="shared" si="1"/>
        <v>0</v>
      </c>
      <c r="E1243">
        <f t="shared" si="2"/>
        <v>0</v>
      </c>
      <c r="F1243" s="11"/>
    </row>
    <row r="1244" spans="1:6" ht="16" x14ac:dyDescent="0.2">
      <c r="A1244" s="12" t="s">
        <v>4810</v>
      </c>
      <c r="B1244" s="13"/>
      <c r="C1244" t="e">
        <f t="shared" si="0"/>
        <v>#N/A</v>
      </c>
      <c r="D1244" t="b">
        <f t="shared" si="1"/>
        <v>0</v>
      </c>
      <c r="E1244">
        <f t="shared" si="2"/>
        <v>0</v>
      </c>
      <c r="F1244" s="11"/>
    </row>
    <row r="1245" spans="1:6" ht="16" x14ac:dyDescent="0.2">
      <c r="A1245" s="12" t="s">
        <v>4811</v>
      </c>
      <c r="B1245" s="13"/>
      <c r="C1245" t="e">
        <f t="shared" si="0"/>
        <v>#N/A</v>
      </c>
      <c r="D1245" t="b">
        <f t="shared" si="1"/>
        <v>0</v>
      </c>
      <c r="E1245">
        <f t="shared" si="2"/>
        <v>0</v>
      </c>
      <c r="F1245" s="11"/>
    </row>
    <row r="1246" spans="1:6" ht="16" x14ac:dyDescent="0.2">
      <c r="A1246" s="12" t="s">
        <v>4812</v>
      </c>
      <c r="B1246" s="13"/>
      <c r="C1246" t="e">
        <f t="shared" si="0"/>
        <v>#N/A</v>
      </c>
      <c r="D1246" t="b">
        <f t="shared" si="1"/>
        <v>0</v>
      </c>
      <c r="E1246">
        <f t="shared" si="2"/>
        <v>0</v>
      </c>
      <c r="F1246" s="11"/>
    </row>
    <row r="1247" spans="1:6" ht="16" x14ac:dyDescent="0.2">
      <c r="A1247" s="12" t="s">
        <v>4813</v>
      </c>
      <c r="B1247" s="13"/>
      <c r="C1247" t="e">
        <f t="shared" si="0"/>
        <v>#N/A</v>
      </c>
      <c r="D1247" t="b">
        <f t="shared" si="1"/>
        <v>0</v>
      </c>
      <c r="E1247">
        <f t="shared" si="2"/>
        <v>0</v>
      </c>
      <c r="F1247" s="11"/>
    </row>
    <row r="1248" spans="1:6" ht="16" x14ac:dyDescent="0.2">
      <c r="A1248" s="12" t="s">
        <v>4814</v>
      </c>
      <c r="B1248" s="13"/>
      <c r="C1248" t="e">
        <f t="shared" si="0"/>
        <v>#N/A</v>
      </c>
      <c r="D1248" t="b">
        <f t="shared" si="1"/>
        <v>0</v>
      </c>
      <c r="E1248">
        <f t="shared" si="2"/>
        <v>0</v>
      </c>
      <c r="F1248" s="11"/>
    </row>
    <row r="1249" spans="1:6" ht="16" x14ac:dyDescent="0.2">
      <c r="A1249" s="12" t="s">
        <v>4815</v>
      </c>
      <c r="B1249" s="13"/>
      <c r="C1249" t="e">
        <f t="shared" si="0"/>
        <v>#N/A</v>
      </c>
      <c r="D1249" t="b">
        <f t="shared" si="1"/>
        <v>0</v>
      </c>
      <c r="E1249">
        <f t="shared" si="2"/>
        <v>0</v>
      </c>
      <c r="F1249" s="11"/>
    </row>
    <row r="1250" spans="1:6" ht="16" x14ac:dyDescent="0.2">
      <c r="A1250" s="12" t="s">
        <v>4816</v>
      </c>
      <c r="B1250" s="13"/>
      <c r="C1250" t="e">
        <f t="shared" si="0"/>
        <v>#N/A</v>
      </c>
      <c r="D1250" t="b">
        <f t="shared" si="1"/>
        <v>0</v>
      </c>
      <c r="E1250">
        <f t="shared" si="2"/>
        <v>0</v>
      </c>
      <c r="F1250" s="11"/>
    </row>
    <row r="1251" spans="1:6" ht="16" x14ac:dyDescent="0.2">
      <c r="A1251" s="12" t="s">
        <v>4817</v>
      </c>
      <c r="B1251" s="13"/>
      <c r="C1251" t="e">
        <f t="shared" si="0"/>
        <v>#N/A</v>
      </c>
      <c r="D1251" t="b">
        <f t="shared" si="1"/>
        <v>0</v>
      </c>
      <c r="E1251">
        <f t="shared" si="2"/>
        <v>0</v>
      </c>
      <c r="F1251" s="11"/>
    </row>
    <row r="1252" spans="1:6" ht="16" x14ac:dyDescent="0.2">
      <c r="A1252" s="12" t="s">
        <v>4818</v>
      </c>
      <c r="B1252" s="13"/>
      <c r="C1252" t="e">
        <f t="shared" si="0"/>
        <v>#N/A</v>
      </c>
      <c r="D1252" t="b">
        <f t="shared" si="1"/>
        <v>0</v>
      </c>
      <c r="E1252">
        <f t="shared" si="2"/>
        <v>0</v>
      </c>
      <c r="F1252" s="11"/>
    </row>
    <row r="1253" spans="1:6" ht="16" x14ac:dyDescent="0.2">
      <c r="A1253" s="12" t="s">
        <v>4819</v>
      </c>
      <c r="B1253" s="13"/>
      <c r="C1253" t="e">
        <f t="shared" si="0"/>
        <v>#N/A</v>
      </c>
      <c r="D1253" t="b">
        <f t="shared" si="1"/>
        <v>0</v>
      </c>
      <c r="E1253">
        <f t="shared" si="2"/>
        <v>0</v>
      </c>
      <c r="F1253" s="11"/>
    </row>
    <row r="1254" spans="1:6" ht="16" x14ac:dyDescent="0.2">
      <c r="A1254" s="12" t="s">
        <v>4820</v>
      </c>
      <c r="B1254" s="13"/>
      <c r="C1254" t="e">
        <f t="shared" si="0"/>
        <v>#N/A</v>
      </c>
      <c r="D1254" t="b">
        <f t="shared" si="1"/>
        <v>0</v>
      </c>
      <c r="E1254">
        <f t="shared" si="2"/>
        <v>0</v>
      </c>
      <c r="F1254" s="11"/>
    </row>
    <row r="1255" spans="1:6" ht="16" x14ac:dyDescent="0.2">
      <c r="A1255" s="12" t="s">
        <v>4821</v>
      </c>
      <c r="B1255" s="13"/>
      <c r="C1255" t="e">
        <f t="shared" si="0"/>
        <v>#N/A</v>
      </c>
      <c r="D1255" t="b">
        <f t="shared" si="1"/>
        <v>0</v>
      </c>
      <c r="E1255">
        <f t="shared" si="2"/>
        <v>0</v>
      </c>
      <c r="F1255" s="11"/>
    </row>
    <row r="1256" spans="1:6" ht="16" x14ac:dyDescent="0.2">
      <c r="A1256" s="12" t="s">
        <v>4822</v>
      </c>
      <c r="B1256" s="13"/>
      <c r="C1256" t="e">
        <f t="shared" si="0"/>
        <v>#N/A</v>
      </c>
      <c r="D1256" t="b">
        <f t="shared" si="1"/>
        <v>0</v>
      </c>
      <c r="E1256">
        <f t="shared" si="2"/>
        <v>0</v>
      </c>
      <c r="F1256" s="11"/>
    </row>
    <row r="1257" spans="1:6" ht="16" x14ac:dyDescent="0.2">
      <c r="A1257" s="12" t="s">
        <v>4823</v>
      </c>
      <c r="B1257" s="13"/>
      <c r="C1257" t="e">
        <f t="shared" si="0"/>
        <v>#N/A</v>
      </c>
      <c r="D1257" t="b">
        <f t="shared" si="1"/>
        <v>0</v>
      </c>
      <c r="E1257">
        <f t="shared" si="2"/>
        <v>0</v>
      </c>
      <c r="F1257" s="11"/>
    </row>
    <row r="1258" spans="1:6" ht="16" x14ac:dyDescent="0.2">
      <c r="A1258" s="12" t="s">
        <v>4824</v>
      </c>
      <c r="B1258" s="13"/>
      <c r="C1258" t="e">
        <f t="shared" si="0"/>
        <v>#N/A</v>
      </c>
      <c r="D1258" t="b">
        <f t="shared" si="1"/>
        <v>0</v>
      </c>
      <c r="E1258">
        <f t="shared" si="2"/>
        <v>0</v>
      </c>
      <c r="F1258" s="11"/>
    </row>
    <row r="1259" spans="1:6" ht="16" x14ac:dyDescent="0.2">
      <c r="A1259" s="12" t="s">
        <v>4825</v>
      </c>
      <c r="B1259" s="13"/>
      <c r="C1259" t="e">
        <f t="shared" si="0"/>
        <v>#N/A</v>
      </c>
      <c r="D1259" t="b">
        <f t="shared" si="1"/>
        <v>0</v>
      </c>
      <c r="E1259">
        <f t="shared" si="2"/>
        <v>0</v>
      </c>
      <c r="F1259" s="11"/>
    </row>
    <row r="1260" spans="1:6" ht="16" x14ac:dyDescent="0.2">
      <c r="A1260" s="12" t="s">
        <v>4826</v>
      </c>
      <c r="B1260" s="13"/>
      <c r="C1260" t="e">
        <f t="shared" si="0"/>
        <v>#N/A</v>
      </c>
      <c r="D1260" t="b">
        <f t="shared" si="1"/>
        <v>0</v>
      </c>
      <c r="E1260">
        <f t="shared" si="2"/>
        <v>0</v>
      </c>
      <c r="F1260" s="11"/>
    </row>
    <row r="1261" spans="1:6" ht="16" x14ac:dyDescent="0.2">
      <c r="A1261" s="12" t="s">
        <v>4827</v>
      </c>
      <c r="B1261" s="13"/>
      <c r="C1261" t="e">
        <f t="shared" si="0"/>
        <v>#N/A</v>
      </c>
      <c r="D1261" t="b">
        <f t="shared" si="1"/>
        <v>0</v>
      </c>
      <c r="E1261">
        <f t="shared" si="2"/>
        <v>0</v>
      </c>
      <c r="F1261" s="11"/>
    </row>
    <row r="1262" spans="1:6" ht="16" x14ac:dyDescent="0.2">
      <c r="A1262" s="12" t="s">
        <v>4828</v>
      </c>
      <c r="B1262" s="13"/>
      <c r="C1262" t="e">
        <f t="shared" si="0"/>
        <v>#N/A</v>
      </c>
      <c r="D1262" t="b">
        <f t="shared" si="1"/>
        <v>0</v>
      </c>
      <c r="E1262">
        <f t="shared" si="2"/>
        <v>0</v>
      </c>
      <c r="F1262" s="11"/>
    </row>
    <row r="1263" spans="1:6" ht="16" x14ac:dyDescent="0.2">
      <c r="A1263" s="12" t="s">
        <v>4829</v>
      </c>
      <c r="B1263" s="13"/>
      <c r="C1263" t="e">
        <f t="shared" si="0"/>
        <v>#N/A</v>
      </c>
      <c r="D1263" t="b">
        <f t="shared" si="1"/>
        <v>0</v>
      </c>
      <c r="E1263">
        <f t="shared" si="2"/>
        <v>0</v>
      </c>
      <c r="F1263" s="11"/>
    </row>
    <row r="1264" spans="1:6" ht="16" x14ac:dyDescent="0.2">
      <c r="A1264" s="12" t="s">
        <v>4830</v>
      </c>
      <c r="B1264" s="13"/>
      <c r="C1264" t="e">
        <f t="shared" si="0"/>
        <v>#N/A</v>
      </c>
      <c r="D1264" t="b">
        <f t="shared" si="1"/>
        <v>0</v>
      </c>
      <c r="E1264">
        <f t="shared" si="2"/>
        <v>0</v>
      </c>
      <c r="F1264" s="11"/>
    </row>
    <row r="1265" spans="1:6" ht="16" x14ac:dyDescent="0.2">
      <c r="A1265" s="12" t="s">
        <v>4831</v>
      </c>
      <c r="B1265" s="13"/>
      <c r="C1265" t="e">
        <f t="shared" si="0"/>
        <v>#N/A</v>
      </c>
      <c r="D1265" t="b">
        <f t="shared" si="1"/>
        <v>0</v>
      </c>
      <c r="E1265">
        <f t="shared" si="2"/>
        <v>0</v>
      </c>
      <c r="F1265" s="11"/>
    </row>
    <row r="1266" spans="1:6" ht="16" x14ac:dyDescent="0.2">
      <c r="A1266" s="12" t="s">
        <v>4832</v>
      </c>
      <c r="B1266" s="13"/>
      <c r="C1266" t="e">
        <f t="shared" si="0"/>
        <v>#N/A</v>
      </c>
      <c r="D1266" t="b">
        <f t="shared" si="1"/>
        <v>0</v>
      </c>
      <c r="E1266">
        <f t="shared" si="2"/>
        <v>0</v>
      </c>
      <c r="F1266" s="11"/>
    </row>
    <row r="1267" spans="1:6" ht="16" x14ac:dyDescent="0.2">
      <c r="A1267" s="12" t="s">
        <v>4833</v>
      </c>
      <c r="B1267" s="13"/>
      <c r="C1267" t="e">
        <f t="shared" si="0"/>
        <v>#N/A</v>
      </c>
      <c r="D1267" t="b">
        <f t="shared" si="1"/>
        <v>0</v>
      </c>
      <c r="E1267">
        <f t="shared" si="2"/>
        <v>0</v>
      </c>
      <c r="F1267" s="11"/>
    </row>
    <row r="1268" spans="1:6" ht="16" x14ac:dyDescent="0.2">
      <c r="A1268" s="12" t="s">
        <v>4834</v>
      </c>
      <c r="B1268" s="13"/>
      <c r="C1268" t="e">
        <f t="shared" si="0"/>
        <v>#N/A</v>
      </c>
      <c r="D1268" t="b">
        <f t="shared" si="1"/>
        <v>0</v>
      </c>
      <c r="E1268">
        <f t="shared" si="2"/>
        <v>0</v>
      </c>
      <c r="F1268" s="11"/>
    </row>
    <row r="1269" spans="1:6" ht="16" x14ac:dyDescent="0.2">
      <c r="A1269" s="12" t="s">
        <v>4835</v>
      </c>
      <c r="B1269" s="13"/>
      <c r="C1269" t="e">
        <f t="shared" si="0"/>
        <v>#N/A</v>
      </c>
      <c r="D1269" t="b">
        <f t="shared" si="1"/>
        <v>0</v>
      </c>
      <c r="E1269">
        <f t="shared" si="2"/>
        <v>0</v>
      </c>
      <c r="F1269" s="11"/>
    </row>
    <row r="1270" spans="1:6" ht="16" x14ac:dyDescent="0.2">
      <c r="A1270" s="12" t="s">
        <v>4836</v>
      </c>
      <c r="B1270" s="13"/>
      <c r="C1270" t="e">
        <f t="shared" si="0"/>
        <v>#N/A</v>
      </c>
      <c r="D1270" t="b">
        <f t="shared" si="1"/>
        <v>0</v>
      </c>
      <c r="E1270">
        <f t="shared" si="2"/>
        <v>0</v>
      </c>
      <c r="F1270" s="11"/>
    </row>
    <row r="1271" spans="1:6" ht="16" x14ac:dyDescent="0.2">
      <c r="A1271" s="12" t="s">
        <v>4837</v>
      </c>
      <c r="B1271" s="13"/>
      <c r="C1271" t="e">
        <f t="shared" si="0"/>
        <v>#N/A</v>
      </c>
      <c r="D1271" t="b">
        <f t="shared" si="1"/>
        <v>0</v>
      </c>
      <c r="E1271">
        <f t="shared" si="2"/>
        <v>0</v>
      </c>
      <c r="F1271" s="11"/>
    </row>
    <row r="1272" spans="1:6" ht="16" x14ac:dyDescent="0.2">
      <c r="A1272" s="12" t="s">
        <v>4838</v>
      </c>
      <c r="B1272" s="13"/>
      <c r="C1272" t="e">
        <f t="shared" si="0"/>
        <v>#N/A</v>
      </c>
      <c r="D1272" t="b">
        <f t="shared" si="1"/>
        <v>0</v>
      </c>
      <c r="E1272">
        <f t="shared" si="2"/>
        <v>0</v>
      </c>
      <c r="F1272" s="11"/>
    </row>
    <row r="1273" spans="1:6" ht="16" x14ac:dyDescent="0.2">
      <c r="A1273" s="12" t="s">
        <v>4839</v>
      </c>
      <c r="B1273" s="13"/>
      <c r="C1273" t="e">
        <f t="shared" si="0"/>
        <v>#N/A</v>
      </c>
      <c r="D1273" t="b">
        <f t="shared" si="1"/>
        <v>0</v>
      </c>
      <c r="E1273">
        <f t="shared" si="2"/>
        <v>0</v>
      </c>
      <c r="F1273" s="11"/>
    </row>
    <row r="1274" spans="1:6" ht="16" x14ac:dyDescent="0.2">
      <c r="A1274" s="12" t="s">
        <v>4840</v>
      </c>
      <c r="B1274" s="13"/>
      <c r="C1274" t="e">
        <f t="shared" si="0"/>
        <v>#N/A</v>
      </c>
      <c r="D1274" t="b">
        <f t="shared" si="1"/>
        <v>0</v>
      </c>
      <c r="E1274">
        <f t="shared" si="2"/>
        <v>0</v>
      </c>
      <c r="F1274" s="11"/>
    </row>
    <row r="1275" spans="1:6" ht="16" x14ac:dyDescent="0.2">
      <c r="A1275" s="12" t="s">
        <v>4841</v>
      </c>
      <c r="B1275" s="13"/>
      <c r="C1275" t="e">
        <f t="shared" si="0"/>
        <v>#N/A</v>
      </c>
      <c r="D1275" t="b">
        <f t="shared" si="1"/>
        <v>0</v>
      </c>
      <c r="E1275">
        <f t="shared" si="2"/>
        <v>0</v>
      </c>
      <c r="F1275" s="11"/>
    </row>
    <row r="1276" spans="1:6" ht="16" x14ac:dyDescent="0.2">
      <c r="A1276" s="12" t="s">
        <v>4842</v>
      </c>
      <c r="B1276" s="13"/>
      <c r="C1276" t="e">
        <f t="shared" si="0"/>
        <v>#N/A</v>
      </c>
      <c r="D1276" t="b">
        <f t="shared" si="1"/>
        <v>0</v>
      </c>
      <c r="E1276">
        <f t="shared" si="2"/>
        <v>0</v>
      </c>
      <c r="F1276" s="11"/>
    </row>
    <row r="1277" spans="1:6" ht="16" x14ac:dyDescent="0.2">
      <c r="A1277" s="12" t="s">
        <v>4843</v>
      </c>
      <c r="B1277" s="13"/>
      <c r="C1277" t="e">
        <f t="shared" si="0"/>
        <v>#N/A</v>
      </c>
      <c r="D1277" t="b">
        <f t="shared" si="1"/>
        <v>0</v>
      </c>
      <c r="E1277">
        <f t="shared" si="2"/>
        <v>0</v>
      </c>
      <c r="F1277" s="11"/>
    </row>
    <row r="1278" spans="1:6" ht="16" x14ac:dyDescent="0.2">
      <c r="A1278" s="12" t="s">
        <v>4844</v>
      </c>
      <c r="B1278" s="13"/>
      <c r="C1278" t="e">
        <f t="shared" si="0"/>
        <v>#N/A</v>
      </c>
      <c r="D1278" t="b">
        <f t="shared" si="1"/>
        <v>0</v>
      </c>
      <c r="E1278">
        <f t="shared" si="2"/>
        <v>0</v>
      </c>
      <c r="F1278" s="11"/>
    </row>
    <row r="1279" spans="1:6" ht="16" x14ac:dyDescent="0.2">
      <c r="A1279" s="12" t="s">
        <v>4845</v>
      </c>
      <c r="B1279" s="13"/>
      <c r="C1279" t="e">
        <f t="shared" si="0"/>
        <v>#N/A</v>
      </c>
      <c r="D1279" t="b">
        <f t="shared" si="1"/>
        <v>0</v>
      </c>
      <c r="E1279">
        <f t="shared" si="2"/>
        <v>0</v>
      </c>
      <c r="F1279" s="11"/>
    </row>
    <row r="1280" spans="1:6" ht="16" x14ac:dyDescent="0.2">
      <c r="A1280" s="12" t="s">
        <v>4846</v>
      </c>
      <c r="B1280" s="13"/>
      <c r="C1280" t="e">
        <f t="shared" si="0"/>
        <v>#N/A</v>
      </c>
      <c r="D1280" t="b">
        <f t="shared" si="1"/>
        <v>0</v>
      </c>
      <c r="E1280">
        <f t="shared" si="2"/>
        <v>0</v>
      </c>
      <c r="F1280" s="11"/>
    </row>
    <row r="1281" spans="1:6" ht="16" x14ac:dyDescent="0.2">
      <c r="A1281" s="12" t="s">
        <v>4847</v>
      </c>
      <c r="B1281" s="13"/>
      <c r="C1281" t="e">
        <f t="shared" si="0"/>
        <v>#N/A</v>
      </c>
      <c r="D1281" t="b">
        <f t="shared" si="1"/>
        <v>0</v>
      </c>
      <c r="E1281">
        <f t="shared" si="2"/>
        <v>0</v>
      </c>
      <c r="F1281" s="11"/>
    </row>
    <row r="1282" spans="1:6" ht="16" x14ac:dyDescent="0.2">
      <c r="A1282" s="12" t="s">
        <v>4848</v>
      </c>
      <c r="B1282" s="13"/>
      <c r="C1282" t="e">
        <f t="shared" si="0"/>
        <v>#N/A</v>
      </c>
      <c r="D1282" t="b">
        <f t="shared" si="1"/>
        <v>0</v>
      </c>
      <c r="E1282">
        <f t="shared" si="2"/>
        <v>0</v>
      </c>
      <c r="F1282" s="11"/>
    </row>
    <row r="1283" spans="1:6" ht="16" x14ac:dyDescent="0.2">
      <c r="A1283" s="12" t="s">
        <v>4849</v>
      </c>
      <c r="B1283" s="13"/>
      <c r="C1283" t="e">
        <f t="shared" si="0"/>
        <v>#N/A</v>
      </c>
      <c r="D1283" t="b">
        <f t="shared" si="1"/>
        <v>0</v>
      </c>
      <c r="E1283">
        <f t="shared" si="2"/>
        <v>0</v>
      </c>
      <c r="F1283" s="11"/>
    </row>
    <row r="1284" spans="1:6" ht="16" x14ac:dyDescent="0.2">
      <c r="A1284" s="12" t="s">
        <v>4850</v>
      </c>
      <c r="B1284" s="13"/>
      <c r="C1284" t="e">
        <f t="shared" si="0"/>
        <v>#N/A</v>
      </c>
      <c r="D1284" t="b">
        <f t="shared" si="1"/>
        <v>0</v>
      </c>
      <c r="E1284">
        <f t="shared" si="2"/>
        <v>0</v>
      </c>
      <c r="F1284" s="11"/>
    </row>
    <row r="1285" spans="1:6" ht="16" x14ac:dyDescent="0.2">
      <c r="A1285" s="12" t="s">
        <v>4851</v>
      </c>
      <c r="B1285" s="13"/>
      <c r="C1285" t="e">
        <f t="shared" si="0"/>
        <v>#N/A</v>
      </c>
      <c r="D1285" t="b">
        <f t="shared" si="1"/>
        <v>0</v>
      </c>
      <c r="E1285">
        <f t="shared" si="2"/>
        <v>0</v>
      </c>
      <c r="F1285" s="11"/>
    </row>
    <row r="1286" spans="1:6" ht="16" x14ac:dyDescent="0.2">
      <c r="A1286" s="12" t="s">
        <v>4852</v>
      </c>
      <c r="B1286" s="13"/>
      <c r="C1286" t="e">
        <f t="shared" si="0"/>
        <v>#N/A</v>
      </c>
      <c r="D1286" t="b">
        <f t="shared" si="1"/>
        <v>0</v>
      </c>
      <c r="E1286">
        <f t="shared" si="2"/>
        <v>0</v>
      </c>
      <c r="F1286" s="11"/>
    </row>
    <row r="1287" spans="1:6" ht="16" x14ac:dyDescent="0.2">
      <c r="A1287" s="12" t="s">
        <v>4853</v>
      </c>
      <c r="B1287" s="13"/>
      <c r="C1287" t="e">
        <f t="shared" si="0"/>
        <v>#N/A</v>
      </c>
      <c r="D1287" t="b">
        <f t="shared" si="1"/>
        <v>0</v>
      </c>
      <c r="E1287">
        <f t="shared" si="2"/>
        <v>0</v>
      </c>
      <c r="F1287" s="11"/>
    </row>
    <row r="1288" spans="1:6" ht="16" x14ac:dyDescent="0.2">
      <c r="A1288" s="12" t="s">
        <v>4854</v>
      </c>
      <c r="B1288" s="13"/>
      <c r="C1288" t="e">
        <f t="shared" si="0"/>
        <v>#N/A</v>
      </c>
      <c r="D1288" t="b">
        <f t="shared" si="1"/>
        <v>0</v>
      </c>
      <c r="E1288">
        <f t="shared" si="2"/>
        <v>0</v>
      </c>
      <c r="F1288" s="11"/>
    </row>
    <row r="1289" spans="1:6" ht="16" x14ac:dyDescent="0.2">
      <c r="A1289" s="12" t="s">
        <v>4855</v>
      </c>
      <c r="B1289" s="13"/>
      <c r="C1289" t="e">
        <f t="shared" si="0"/>
        <v>#N/A</v>
      </c>
      <c r="D1289" t="b">
        <f t="shared" si="1"/>
        <v>0</v>
      </c>
      <c r="E1289">
        <f t="shared" si="2"/>
        <v>0</v>
      </c>
      <c r="F1289" s="11"/>
    </row>
    <row r="1290" spans="1:6" ht="16" x14ac:dyDescent="0.2">
      <c r="A1290" s="12" t="s">
        <v>4856</v>
      </c>
      <c r="B1290" s="13"/>
      <c r="C1290" t="e">
        <f t="shared" si="0"/>
        <v>#N/A</v>
      </c>
      <c r="D1290" t="b">
        <f t="shared" si="1"/>
        <v>0</v>
      </c>
      <c r="E1290">
        <f t="shared" si="2"/>
        <v>0</v>
      </c>
      <c r="F1290" s="11"/>
    </row>
    <row r="1291" spans="1:6" ht="16" x14ac:dyDescent="0.2">
      <c r="A1291" s="12" t="s">
        <v>4857</v>
      </c>
      <c r="B1291" s="13"/>
      <c r="C1291" t="e">
        <f t="shared" si="0"/>
        <v>#N/A</v>
      </c>
      <c r="D1291" t="b">
        <f t="shared" si="1"/>
        <v>0</v>
      </c>
      <c r="E1291">
        <f t="shared" si="2"/>
        <v>0</v>
      </c>
      <c r="F1291" s="11"/>
    </row>
    <row r="1292" spans="1:6" ht="16" x14ac:dyDescent="0.2">
      <c r="A1292" s="12" t="s">
        <v>4858</v>
      </c>
      <c r="B1292" s="13"/>
      <c r="C1292" t="e">
        <f t="shared" si="0"/>
        <v>#N/A</v>
      </c>
      <c r="D1292" t="b">
        <f t="shared" si="1"/>
        <v>0</v>
      </c>
      <c r="E1292">
        <f t="shared" si="2"/>
        <v>0</v>
      </c>
      <c r="F1292" s="11"/>
    </row>
    <row r="1293" spans="1:6" ht="16" x14ac:dyDescent="0.2">
      <c r="A1293" s="12" t="s">
        <v>4859</v>
      </c>
      <c r="B1293" s="13"/>
      <c r="C1293" t="e">
        <f t="shared" si="0"/>
        <v>#N/A</v>
      </c>
      <c r="D1293" t="b">
        <f t="shared" si="1"/>
        <v>0</v>
      </c>
      <c r="E1293">
        <f t="shared" si="2"/>
        <v>0</v>
      </c>
      <c r="F1293" s="11"/>
    </row>
    <row r="1294" spans="1:6" ht="16" x14ac:dyDescent="0.2">
      <c r="A1294" s="12" t="s">
        <v>4860</v>
      </c>
      <c r="B1294" s="13"/>
      <c r="C1294" t="e">
        <f t="shared" si="0"/>
        <v>#N/A</v>
      </c>
      <c r="D1294" t="b">
        <f t="shared" si="1"/>
        <v>0</v>
      </c>
      <c r="E1294">
        <f t="shared" si="2"/>
        <v>0</v>
      </c>
      <c r="F1294" s="11"/>
    </row>
    <row r="1295" spans="1:6" ht="16" x14ac:dyDescent="0.2">
      <c r="A1295" s="12" t="s">
        <v>4861</v>
      </c>
      <c r="B1295" s="13"/>
      <c r="C1295" t="e">
        <f t="shared" si="0"/>
        <v>#N/A</v>
      </c>
      <c r="D1295" t="b">
        <f t="shared" si="1"/>
        <v>0</v>
      </c>
      <c r="E1295">
        <f t="shared" si="2"/>
        <v>0</v>
      </c>
      <c r="F1295" s="11"/>
    </row>
    <row r="1296" spans="1:6" ht="16" x14ac:dyDescent="0.2">
      <c r="A1296" s="12" t="s">
        <v>4862</v>
      </c>
      <c r="B1296" s="13"/>
      <c r="C1296" t="e">
        <f t="shared" si="0"/>
        <v>#N/A</v>
      </c>
      <c r="D1296" t="b">
        <f t="shared" si="1"/>
        <v>0</v>
      </c>
      <c r="E1296">
        <f t="shared" si="2"/>
        <v>0</v>
      </c>
      <c r="F1296" s="11"/>
    </row>
    <row r="1297" spans="1:6" ht="16" x14ac:dyDescent="0.2">
      <c r="A1297" s="12" t="s">
        <v>4863</v>
      </c>
      <c r="B1297" s="13"/>
      <c r="C1297" t="e">
        <f t="shared" si="0"/>
        <v>#N/A</v>
      </c>
      <c r="D1297" t="b">
        <f t="shared" si="1"/>
        <v>0</v>
      </c>
      <c r="E1297">
        <f t="shared" si="2"/>
        <v>0</v>
      </c>
      <c r="F1297" s="11"/>
    </row>
    <row r="1298" spans="1:6" ht="16" x14ac:dyDescent="0.2">
      <c r="A1298" s="12" t="s">
        <v>4864</v>
      </c>
      <c r="B1298" s="13"/>
      <c r="C1298" t="e">
        <f t="shared" si="0"/>
        <v>#N/A</v>
      </c>
      <c r="D1298" t="b">
        <f t="shared" si="1"/>
        <v>0</v>
      </c>
      <c r="E1298">
        <f t="shared" si="2"/>
        <v>0</v>
      </c>
      <c r="F1298" s="11"/>
    </row>
    <row r="1299" spans="1:6" ht="16" x14ac:dyDescent="0.2">
      <c r="A1299" s="12" t="s">
        <v>4865</v>
      </c>
      <c r="B1299" s="13"/>
      <c r="C1299" t="e">
        <f t="shared" si="0"/>
        <v>#N/A</v>
      </c>
      <c r="D1299" t="b">
        <f t="shared" si="1"/>
        <v>0</v>
      </c>
      <c r="E1299">
        <f t="shared" si="2"/>
        <v>0</v>
      </c>
      <c r="F1299" s="11"/>
    </row>
    <row r="1300" spans="1:6" ht="16" x14ac:dyDescent="0.2">
      <c r="A1300" s="12" t="s">
        <v>4866</v>
      </c>
      <c r="B1300" s="13"/>
      <c r="C1300" t="e">
        <f t="shared" si="0"/>
        <v>#N/A</v>
      </c>
      <c r="D1300" t="b">
        <f t="shared" si="1"/>
        <v>0</v>
      </c>
      <c r="E1300">
        <f t="shared" si="2"/>
        <v>0</v>
      </c>
      <c r="F1300" s="11"/>
    </row>
    <row r="1301" spans="1:6" ht="16" x14ac:dyDescent="0.2">
      <c r="A1301" s="12" t="s">
        <v>4867</v>
      </c>
      <c r="B1301" s="13"/>
      <c r="C1301" t="e">
        <f t="shared" si="0"/>
        <v>#N/A</v>
      </c>
      <c r="D1301" t="b">
        <f t="shared" si="1"/>
        <v>0</v>
      </c>
      <c r="E1301">
        <f t="shared" si="2"/>
        <v>0</v>
      </c>
      <c r="F1301" s="11"/>
    </row>
    <row r="1302" spans="1:6" ht="16" x14ac:dyDescent="0.2">
      <c r="A1302" s="12" t="s">
        <v>4868</v>
      </c>
      <c r="B1302" s="13"/>
      <c r="C1302" t="e">
        <f t="shared" si="0"/>
        <v>#N/A</v>
      </c>
      <c r="D1302" t="b">
        <f t="shared" si="1"/>
        <v>0</v>
      </c>
      <c r="E1302">
        <f t="shared" si="2"/>
        <v>0</v>
      </c>
      <c r="F1302" s="11"/>
    </row>
    <row r="1303" spans="1:6" ht="16" x14ac:dyDescent="0.2">
      <c r="A1303" s="12" t="s">
        <v>4869</v>
      </c>
      <c r="B1303" s="13"/>
      <c r="C1303" t="e">
        <f t="shared" si="0"/>
        <v>#N/A</v>
      </c>
      <c r="D1303" t="b">
        <f t="shared" si="1"/>
        <v>0</v>
      </c>
      <c r="E1303">
        <f t="shared" si="2"/>
        <v>0</v>
      </c>
      <c r="F1303" s="11"/>
    </row>
    <row r="1304" spans="1:6" ht="16" x14ac:dyDescent="0.2">
      <c r="A1304" s="12" t="s">
        <v>4870</v>
      </c>
      <c r="B1304" s="13"/>
      <c r="C1304" t="e">
        <f t="shared" si="0"/>
        <v>#N/A</v>
      </c>
      <c r="D1304" t="b">
        <f t="shared" si="1"/>
        <v>0</v>
      </c>
      <c r="E1304">
        <f t="shared" si="2"/>
        <v>0</v>
      </c>
      <c r="F1304" s="11"/>
    </row>
    <row r="1305" spans="1:6" ht="16" x14ac:dyDescent="0.2">
      <c r="A1305" s="12" t="s">
        <v>4871</v>
      </c>
      <c r="B1305" s="13"/>
      <c r="C1305" t="e">
        <f t="shared" si="0"/>
        <v>#N/A</v>
      </c>
      <c r="D1305" t="b">
        <f t="shared" si="1"/>
        <v>0</v>
      </c>
      <c r="E1305">
        <f t="shared" si="2"/>
        <v>0</v>
      </c>
      <c r="F1305" s="11"/>
    </row>
    <row r="1306" spans="1:6" ht="16" x14ac:dyDescent="0.2">
      <c r="A1306" s="12" t="s">
        <v>4872</v>
      </c>
      <c r="B1306" s="13"/>
      <c r="C1306" t="e">
        <f t="shared" si="0"/>
        <v>#N/A</v>
      </c>
      <c r="D1306" t="b">
        <f t="shared" si="1"/>
        <v>0</v>
      </c>
      <c r="E1306">
        <f t="shared" si="2"/>
        <v>0</v>
      </c>
      <c r="F1306" s="11"/>
    </row>
    <row r="1307" spans="1:6" ht="16" x14ac:dyDescent="0.2">
      <c r="A1307" s="12" t="s">
        <v>4873</v>
      </c>
      <c r="B1307" s="13"/>
      <c r="C1307" t="e">
        <f t="shared" si="0"/>
        <v>#N/A</v>
      </c>
      <c r="D1307" t="b">
        <f t="shared" si="1"/>
        <v>0</v>
      </c>
      <c r="E1307">
        <f t="shared" si="2"/>
        <v>0</v>
      </c>
      <c r="F1307" s="11"/>
    </row>
    <row r="1308" spans="1:6" ht="16" x14ac:dyDescent="0.2">
      <c r="A1308" s="12" t="s">
        <v>4874</v>
      </c>
      <c r="B1308" s="13"/>
      <c r="C1308" t="e">
        <f t="shared" si="0"/>
        <v>#N/A</v>
      </c>
      <c r="D1308" t="b">
        <f t="shared" si="1"/>
        <v>0</v>
      </c>
      <c r="E1308">
        <f t="shared" si="2"/>
        <v>0</v>
      </c>
      <c r="F1308" s="11"/>
    </row>
    <row r="1309" spans="1:6" ht="16" x14ac:dyDescent="0.2">
      <c r="A1309" s="12" t="s">
        <v>4875</v>
      </c>
      <c r="B1309" s="13"/>
      <c r="C1309" t="e">
        <f t="shared" si="0"/>
        <v>#N/A</v>
      </c>
      <c r="D1309" t="b">
        <f t="shared" si="1"/>
        <v>0</v>
      </c>
      <c r="E1309">
        <f t="shared" si="2"/>
        <v>0</v>
      </c>
      <c r="F1309" s="11"/>
    </row>
    <row r="1310" spans="1:6" ht="16" x14ac:dyDescent="0.2">
      <c r="A1310" s="12" t="s">
        <v>4876</v>
      </c>
      <c r="B1310" s="13"/>
      <c r="C1310" t="e">
        <f t="shared" si="0"/>
        <v>#N/A</v>
      </c>
      <c r="D1310" t="b">
        <f t="shared" si="1"/>
        <v>0</v>
      </c>
      <c r="E1310">
        <f t="shared" si="2"/>
        <v>0</v>
      </c>
      <c r="F1310" s="11"/>
    </row>
    <row r="1311" spans="1:6" ht="16" x14ac:dyDescent="0.2">
      <c r="A1311" s="12" t="s">
        <v>4877</v>
      </c>
      <c r="B1311" s="13"/>
      <c r="C1311" t="e">
        <f t="shared" si="0"/>
        <v>#N/A</v>
      </c>
      <c r="D1311" t="b">
        <f t="shared" si="1"/>
        <v>0</v>
      </c>
      <c r="E1311">
        <f t="shared" si="2"/>
        <v>0</v>
      </c>
      <c r="F1311" s="11"/>
    </row>
    <row r="1312" spans="1:6" ht="16" x14ac:dyDescent="0.2">
      <c r="A1312" s="12" t="s">
        <v>4878</v>
      </c>
      <c r="B1312" s="13"/>
      <c r="C1312" t="e">
        <f t="shared" si="0"/>
        <v>#N/A</v>
      </c>
      <c r="D1312" t="b">
        <f t="shared" si="1"/>
        <v>0</v>
      </c>
      <c r="E1312">
        <f t="shared" si="2"/>
        <v>0</v>
      </c>
      <c r="F1312" s="11"/>
    </row>
    <row r="1313" spans="1:6" ht="16" x14ac:dyDescent="0.2">
      <c r="A1313" s="12" t="s">
        <v>4879</v>
      </c>
      <c r="B1313" s="13"/>
      <c r="C1313" t="e">
        <f t="shared" si="0"/>
        <v>#N/A</v>
      </c>
      <c r="D1313" t="b">
        <f t="shared" si="1"/>
        <v>0</v>
      </c>
      <c r="E1313">
        <f t="shared" si="2"/>
        <v>0</v>
      </c>
      <c r="F1313" s="11"/>
    </row>
    <row r="1314" spans="1:6" ht="16" x14ac:dyDescent="0.2">
      <c r="A1314" s="12" t="s">
        <v>4880</v>
      </c>
      <c r="B1314" s="13"/>
      <c r="C1314" t="e">
        <f t="shared" si="0"/>
        <v>#N/A</v>
      </c>
      <c r="D1314" t="b">
        <f t="shared" si="1"/>
        <v>0</v>
      </c>
      <c r="E1314">
        <f t="shared" si="2"/>
        <v>0</v>
      </c>
      <c r="F1314" s="11"/>
    </row>
    <row r="1315" spans="1:6" ht="16" x14ac:dyDescent="0.2">
      <c r="A1315" s="12" t="s">
        <v>4881</v>
      </c>
      <c r="B1315" s="13"/>
      <c r="C1315" t="e">
        <f t="shared" si="0"/>
        <v>#N/A</v>
      </c>
      <c r="D1315" t="b">
        <f t="shared" si="1"/>
        <v>0</v>
      </c>
      <c r="E1315">
        <f t="shared" si="2"/>
        <v>0</v>
      </c>
      <c r="F1315" s="11"/>
    </row>
    <row r="1316" spans="1:6" ht="16" x14ac:dyDescent="0.2">
      <c r="A1316" s="12" t="s">
        <v>4882</v>
      </c>
      <c r="B1316" s="13"/>
      <c r="C1316" t="e">
        <f t="shared" si="0"/>
        <v>#N/A</v>
      </c>
      <c r="D1316" t="b">
        <f t="shared" si="1"/>
        <v>0</v>
      </c>
      <c r="E1316">
        <f t="shared" si="2"/>
        <v>0</v>
      </c>
      <c r="F1316" s="11"/>
    </row>
    <row r="1317" spans="1:6" ht="16" x14ac:dyDescent="0.2">
      <c r="A1317" s="12" t="s">
        <v>4883</v>
      </c>
      <c r="B1317" s="13"/>
      <c r="C1317" t="e">
        <f t="shared" si="0"/>
        <v>#N/A</v>
      </c>
      <c r="D1317" t="b">
        <f t="shared" si="1"/>
        <v>0</v>
      </c>
      <c r="E1317">
        <f t="shared" si="2"/>
        <v>0</v>
      </c>
      <c r="F1317" s="11"/>
    </row>
    <row r="1318" spans="1:6" ht="16" x14ac:dyDescent="0.2">
      <c r="A1318" s="12" t="s">
        <v>4884</v>
      </c>
      <c r="B1318" s="13"/>
      <c r="C1318" t="e">
        <f t="shared" si="0"/>
        <v>#N/A</v>
      </c>
      <c r="D1318" t="b">
        <f t="shared" si="1"/>
        <v>0</v>
      </c>
      <c r="E1318">
        <f t="shared" si="2"/>
        <v>0</v>
      </c>
      <c r="F1318" s="11"/>
    </row>
    <row r="1319" spans="1:6" ht="16" x14ac:dyDescent="0.2">
      <c r="A1319" s="12" t="s">
        <v>4885</v>
      </c>
      <c r="B1319" s="13"/>
      <c r="C1319" t="e">
        <f t="shared" si="0"/>
        <v>#N/A</v>
      </c>
      <c r="D1319" t="b">
        <f t="shared" si="1"/>
        <v>0</v>
      </c>
      <c r="E1319">
        <f t="shared" si="2"/>
        <v>0</v>
      </c>
      <c r="F1319" s="11"/>
    </row>
    <row r="1320" spans="1:6" ht="16" x14ac:dyDescent="0.2">
      <c r="A1320" s="12" t="s">
        <v>4886</v>
      </c>
      <c r="B1320" s="13"/>
      <c r="C1320" t="e">
        <f t="shared" si="0"/>
        <v>#N/A</v>
      </c>
      <c r="D1320" t="b">
        <f t="shared" si="1"/>
        <v>0</v>
      </c>
      <c r="E1320">
        <f t="shared" si="2"/>
        <v>0</v>
      </c>
      <c r="F1320" s="11"/>
    </row>
    <row r="1321" spans="1:6" ht="16" x14ac:dyDescent="0.2">
      <c r="A1321" s="12" t="s">
        <v>4887</v>
      </c>
      <c r="B1321" s="13"/>
      <c r="C1321" t="e">
        <f t="shared" si="0"/>
        <v>#N/A</v>
      </c>
      <c r="D1321" t="b">
        <f t="shared" si="1"/>
        <v>0</v>
      </c>
      <c r="E1321">
        <f t="shared" si="2"/>
        <v>0</v>
      </c>
      <c r="F1321" s="11"/>
    </row>
    <row r="1322" spans="1:6" ht="16" x14ac:dyDescent="0.2">
      <c r="A1322" s="12" t="s">
        <v>4888</v>
      </c>
      <c r="B1322" s="13"/>
      <c r="C1322" t="e">
        <f t="shared" si="0"/>
        <v>#N/A</v>
      </c>
      <c r="D1322" t="b">
        <f t="shared" si="1"/>
        <v>0</v>
      </c>
      <c r="E1322">
        <f t="shared" si="2"/>
        <v>0</v>
      </c>
      <c r="F1322" s="11"/>
    </row>
    <row r="1323" spans="1:6" ht="16" x14ac:dyDescent="0.2">
      <c r="A1323" s="12" t="s">
        <v>4889</v>
      </c>
      <c r="B1323" s="13"/>
      <c r="C1323" t="e">
        <f t="shared" si="0"/>
        <v>#N/A</v>
      </c>
      <c r="D1323" t="b">
        <f t="shared" si="1"/>
        <v>0</v>
      </c>
      <c r="E1323">
        <f t="shared" si="2"/>
        <v>0</v>
      </c>
      <c r="F1323" s="11"/>
    </row>
    <row r="1324" spans="1:6" ht="16" x14ac:dyDescent="0.2">
      <c r="A1324" s="12" t="s">
        <v>4890</v>
      </c>
      <c r="B1324" s="13"/>
      <c r="C1324" t="e">
        <f t="shared" si="0"/>
        <v>#N/A</v>
      </c>
      <c r="D1324" t="b">
        <f t="shared" si="1"/>
        <v>0</v>
      </c>
      <c r="E1324">
        <f t="shared" si="2"/>
        <v>0</v>
      </c>
      <c r="F1324" s="11"/>
    </row>
    <row r="1325" spans="1:6" ht="16" x14ac:dyDescent="0.2">
      <c r="A1325" s="12" t="s">
        <v>4891</v>
      </c>
      <c r="B1325" s="13"/>
      <c r="C1325" t="e">
        <f t="shared" si="0"/>
        <v>#N/A</v>
      </c>
      <c r="D1325" t="b">
        <f t="shared" si="1"/>
        <v>0</v>
      </c>
      <c r="E1325">
        <f t="shared" si="2"/>
        <v>0</v>
      </c>
      <c r="F1325" s="11"/>
    </row>
    <row r="1326" spans="1:6" ht="16" x14ac:dyDescent="0.2">
      <c r="A1326" s="12" t="s">
        <v>4892</v>
      </c>
      <c r="B1326" s="13"/>
      <c r="C1326" t="e">
        <f t="shared" si="0"/>
        <v>#N/A</v>
      </c>
      <c r="D1326" t="b">
        <f t="shared" si="1"/>
        <v>0</v>
      </c>
      <c r="E1326">
        <f t="shared" si="2"/>
        <v>0</v>
      </c>
      <c r="F1326" s="11"/>
    </row>
    <row r="1327" spans="1:6" ht="16" x14ac:dyDescent="0.2">
      <c r="A1327" s="12" t="s">
        <v>4893</v>
      </c>
      <c r="B1327" s="13"/>
      <c r="C1327" t="e">
        <f t="shared" si="0"/>
        <v>#N/A</v>
      </c>
      <c r="D1327" t="b">
        <f t="shared" si="1"/>
        <v>0</v>
      </c>
      <c r="E1327">
        <f t="shared" si="2"/>
        <v>0</v>
      </c>
      <c r="F1327" s="11"/>
    </row>
    <row r="1328" spans="1:6" ht="16" x14ac:dyDescent="0.2">
      <c r="A1328" s="12" t="s">
        <v>4894</v>
      </c>
      <c r="B1328" s="13"/>
      <c r="C1328" t="e">
        <f t="shared" si="0"/>
        <v>#N/A</v>
      </c>
      <c r="D1328" t="b">
        <f t="shared" si="1"/>
        <v>0</v>
      </c>
      <c r="E1328">
        <f t="shared" si="2"/>
        <v>0</v>
      </c>
      <c r="F1328" s="11"/>
    </row>
    <row r="1329" spans="1:6" ht="16" x14ac:dyDescent="0.2">
      <c r="A1329" s="12" t="s">
        <v>4895</v>
      </c>
      <c r="B1329" s="13"/>
      <c r="C1329" t="e">
        <f t="shared" si="0"/>
        <v>#N/A</v>
      </c>
      <c r="D1329" t="b">
        <f t="shared" si="1"/>
        <v>0</v>
      </c>
      <c r="E1329">
        <f t="shared" si="2"/>
        <v>0</v>
      </c>
      <c r="F1329" s="11"/>
    </row>
    <row r="1330" spans="1:6" ht="16" x14ac:dyDescent="0.2">
      <c r="A1330" s="12" t="s">
        <v>4896</v>
      </c>
      <c r="B1330" s="13"/>
      <c r="C1330" t="e">
        <f t="shared" si="0"/>
        <v>#N/A</v>
      </c>
      <c r="D1330" t="b">
        <f t="shared" si="1"/>
        <v>0</v>
      </c>
      <c r="E1330">
        <f t="shared" si="2"/>
        <v>0</v>
      </c>
      <c r="F1330" s="11"/>
    </row>
    <row r="1331" spans="1:6" ht="16" x14ac:dyDescent="0.2">
      <c r="A1331" s="12" t="s">
        <v>4897</v>
      </c>
      <c r="B1331" s="13"/>
      <c r="C1331" t="e">
        <f t="shared" si="0"/>
        <v>#N/A</v>
      </c>
      <c r="D1331" t="b">
        <f t="shared" si="1"/>
        <v>0</v>
      </c>
      <c r="E1331">
        <f t="shared" si="2"/>
        <v>0</v>
      </c>
      <c r="F1331" s="11"/>
    </row>
    <row r="1332" spans="1:6" ht="16" x14ac:dyDescent="0.2">
      <c r="A1332" s="12" t="s">
        <v>4898</v>
      </c>
      <c r="B1332" s="13"/>
      <c r="C1332" t="e">
        <f t="shared" si="0"/>
        <v>#N/A</v>
      </c>
      <c r="D1332" t="b">
        <f t="shared" si="1"/>
        <v>0</v>
      </c>
      <c r="E1332">
        <f t="shared" si="2"/>
        <v>0</v>
      </c>
      <c r="F1332" s="11"/>
    </row>
    <row r="1333" spans="1:6" ht="16" x14ac:dyDescent="0.2">
      <c r="A1333" s="12" t="s">
        <v>4899</v>
      </c>
      <c r="B1333" s="13"/>
      <c r="C1333" t="e">
        <f t="shared" si="0"/>
        <v>#N/A</v>
      </c>
      <c r="D1333" t="b">
        <f t="shared" si="1"/>
        <v>0</v>
      </c>
      <c r="E1333">
        <f t="shared" si="2"/>
        <v>0</v>
      </c>
      <c r="F1333" s="11"/>
    </row>
    <row r="1334" spans="1:6" ht="16" x14ac:dyDescent="0.2">
      <c r="A1334" s="12" t="s">
        <v>4900</v>
      </c>
      <c r="B1334" s="13"/>
      <c r="C1334" t="e">
        <f t="shared" si="0"/>
        <v>#N/A</v>
      </c>
      <c r="D1334" t="b">
        <f t="shared" si="1"/>
        <v>0</v>
      </c>
      <c r="E1334">
        <f t="shared" si="2"/>
        <v>0</v>
      </c>
      <c r="F1334" s="11"/>
    </row>
    <row r="1335" spans="1:6" ht="16" x14ac:dyDescent="0.2">
      <c r="A1335" s="12" t="s">
        <v>4901</v>
      </c>
      <c r="B1335" s="13"/>
      <c r="C1335" t="e">
        <f t="shared" si="0"/>
        <v>#N/A</v>
      </c>
      <c r="D1335" t="b">
        <f t="shared" si="1"/>
        <v>0</v>
      </c>
      <c r="E1335">
        <f t="shared" si="2"/>
        <v>0</v>
      </c>
      <c r="F1335" s="11"/>
    </row>
    <row r="1336" spans="1:6" ht="16" x14ac:dyDescent="0.2">
      <c r="A1336" s="12" t="s">
        <v>4902</v>
      </c>
      <c r="B1336" s="13"/>
      <c r="C1336" t="e">
        <f t="shared" si="0"/>
        <v>#N/A</v>
      </c>
      <c r="D1336" t="b">
        <f t="shared" si="1"/>
        <v>0</v>
      </c>
      <c r="E1336">
        <f t="shared" si="2"/>
        <v>0</v>
      </c>
      <c r="F1336" s="11"/>
    </row>
    <row r="1337" spans="1:6" ht="16" x14ac:dyDescent="0.2">
      <c r="A1337" s="12" t="s">
        <v>4903</v>
      </c>
      <c r="B1337" s="13"/>
      <c r="C1337" t="e">
        <f t="shared" si="0"/>
        <v>#N/A</v>
      </c>
      <c r="D1337" t="b">
        <f t="shared" si="1"/>
        <v>0</v>
      </c>
      <c r="E1337">
        <f t="shared" si="2"/>
        <v>0</v>
      </c>
      <c r="F1337" s="11"/>
    </row>
    <row r="1338" spans="1:6" ht="16" x14ac:dyDescent="0.2">
      <c r="A1338" s="12" t="s">
        <v>4904</v>
      </c>
      <c r="B1338" s="13"/>
      <c r="C1338" t="e">
        <f t="shared" si="0"/>
        <v>#N/A</v>
      </c>
      <c r="D1338" t="b">
        <f t="shared" si="1"/>
        <v>0</v>
      </c>
      <c r="E1338">
        <f t="shared" si="2"/>
        <v>0</v>
      </c>
      <c r="F1338" s="11"/>
    </row>
    <row r="1339" spans="1:6" ht="16" x14ac:dyDescent="0.2">
      <c r="A1339" s="12" t="s">
        <v>4905</v>
      </c>
      <c r="B1339" s="13"/>
      <c r="C1339" t="e">
        <f t="shared" si="0"/>
        <v>#N/A</v>
      </c>
      <c r="D1339" t="b">
        <f t="shared" si="1"/>
        <v>0</v>
      </c>
      <c r="E1339">
        <f t="shared" si="2"/>
        <v>0</v>
      </c>
      <c r="F1339" s="11"/>
    </row>
    <row r="1340" spans="1:6" ht="16" x14ac:dyDescent="0.2">
      <c r="A1340" s="12" t="s">
        <v>4906</v>
      </c>
      <c r="B1340" s="13"/>
      <c r="C1340" t="e">
        <f t="shared" si="0"/>
        <v>#N/A</v>
      </c>
      <c r="D1340" t="b">
        <f t="shared" si="1"/>
        <v>0</v>
      </c>
      <c r="E1340">
        <f t="shared" si="2"/>
        <v>0</v>
      </c>
      <c r="F1340" s="11"/>
    </row>
    <row r="1341" spans="1:6" ht="16" x14ac:dyDescent="0.2">
      <c r="A1341" s="12" t="s">
        <v>4907</v>
      </c>
      <c r="B1341" s="13"/>
      <c r="C1341" t="e">
        <f t="shared" si="0"/>
        <v>#N/A</v>
      </c>
      <c r="D1341" t="b">
        <f t="shared" si="1"/>
        <v>0</v>
      </c>
      <c r="E1341">
        <f t="shared" si="2"/>
        <v>0</v>
      </c>
      <c r="F1341" s="11"/>
    </row>
    <row r="1342" spans="1:6" ht="16" x14ac:dyDescent="0.2">
      <c r="A1342" s="12" t="s">
        <v>4908</v>
      </c>
      <c r="B1342" s="13"/>
      <c r="C1342" t="e">
        <f t="shared" si="0"/>
        <v>#N/A</v>
      </c>
      <c r="D1342" t="b">
        <f t="shared" si="1"/>
        <v>0</v>
      </c>
      <c r="E1342">
        <f t="shared" si="2"/>
        <v>0</v>
      </c>
      <c r="F1342" s="11"/>
    </row>
    <row r="1343" spans="1:6" ht="16" x14ac:dyDescent="0.2">
      <c r="A1343" s="12" t="s">
        <v>4909</v>
      </c>
      <c r="B1343" s="13"/>
      <c r="C1343" t="e">
        <f t="shared" si="0"/>
        <v>#N/A</v>
      </c>
      <c r="D1343" t="b">
        <f t="shared" si="1"/>
        <v>0</v>
      </c>
      <c r="E1343">
        <f t="shared" si="2"/>
        <v>0</v>
      </c>
      <c r="F1343" s="11"/>
    </row>
    <row r="1344" spans="1:6" ht="16" x14ac:dyDescent="0.2">
      <c r="A1344" s="12" t="s">
        <v>4910</v>
      </c>
      <c r="B1344" s="13"/>
      <c r="C1344" t="e">
        <f t="shared" si="0"/>
        <v>#N/A</v>
      </c>
      <c r="D1344" t="b">
        <f t="shared" si="1"/>
        <v>0</v>
      </c>
      <c r="E1344">
        <f t="shared" si="2"/>
        <v>0</v>
      </c>
      <c r="F1344" s="11"/>
    </row>
    <row r="1345" spans="1:6" ht="16" x14ac:dyDescent="0.2">
      <c r="A1345" s="12" t="s">
        <v>4911</v>
      </c>
      <c r="B1345" s="13"/>
      <c r="C1345" t="e">
        <f t="shared" si="0"/>
        <v>#N/A</v>
      </c>
      <c r="D1345" t="b">
        <f t="shared" si="1"/>
        <v>0</v>
      </c>
      <c r="E1345">
        <f t="shared" si="2"/>
        <v>0</v>
      </c>
      <c r="F1345" s="11"/>
    </row>
    <row r="1346" spans="1:6" ht="16" x14ac:dyDescent="0.2">
      <c r="A1346" s="12" t="s">
        <v>4912</v>
      </c>
      <c r="B1346" s="13"/>
      <c r="C1346" t="e">
        <f t="shared" si="0"/>
        <v>#N/A</v>
      </c>
      <c r="D1346" t="b">
        <f t="shared" si="1"/>
        <v>0</v>
      </c>
      <c r="E1346">
        <f t="shared" si="2"/>
        <v>0</v>
      </c>
      <c r="F1346" s="11"/>
    </row>
    <row r="1347" spans="1:6" ht="16" x14ac:dyDescent="0.2">
      <c r="A1347" s="12" t="s">
        <v>4913</v>
      </c>
      <c r="B1347" s="13"/>
      <c r="C1347" t="e">
        <f t="shared" si="0"/>
        <v>#N/A</v>
      </c>
      <c r="D1347" t="b">
        <f t="shared" si="1"/>
        <v>0</v>
      </c>
      <c r="E1347">
        <f t="shared" si="2"/>
        <v>0</v>
      </c>
      <c r="F1347" s="11"/>
    </row>
    <row r="1348" spans="1:6" ht="16" x14ac:dyDescent="0.2">
      <c r="A1348" s="12" t="s">
        <v>4914</v>
      </c>
      <c r="B1348" s="13"/>
      <c r="C1348" t="e">
        <f t="shared" si="0"/>
        <v>#N/A</v>
      </c>
      <c r="D1348" t="b">
        <f t="shared" si="1"/>
        <v>0</v>
      </c>
      <c r="E1348">
        <f t="shared" si="2"/>
        <v>0</v>
      </c>
      <c r="F1348" s="11"/>
    </row>
    <row r="1349" spans="1:6" ht="16" x14ac:dyDescent="0.2">
      <c r="A1349" s="12" t="s">
        <v>4915</v>
      </c>
      <c r="B1349" s="13"/>
      <c r="C1349" t="e">
        <f t="shared" si="0"/>
        <v>#N/A</v>
      </c>
      <c r="D1349" t="b">
        <f t="shared" si="1"/>
        <v>0</v>
      </c>
      <c r="E1349">
        <f t="shared" si="2"/>
        <v>0</v>
      </c>
      <c r="F1349" s="11"/>
    </row>
    <row r="1350" spans="1:6" ht="16" x14ac:dyDescent="0.2">
      <c r="A1350" s="12" t="s">
        <v>4916</v>
      </c>
      <c r="B1350" s="13"/>
      <c r="C1350" t="e">
        <f t="shared" si="0"/>
        <v>#N/A</v>
      </c>
      <c r="D1350" t="b">
        <f t="shared" si="1"/>
        <v>0</v>
      </c>
      <c r="E1350">
        <f t="shared" si="2"/>
        <v>0</v>
      </c>
      <c r="F1350" s="11"/>
    </row>
    <row r="1351" spans="1:6" ht="16" x14ac:dyDescent="0.2">
      <c r="A1351" s="12" t="s">
        <v>4917</v>
      </c>
      <c r="B1351" s="13"/>
      <c r="C1351" t="e">
        <f t="shared" si="0"/>
        <v>#N/A</v>
      </c>
      <c r="D1351" t="b">
        <f t="shared" si="1"/>
        <v>0</v>
      </c>
      <c r="E1351">
        <f t="shared" si="2"/>
        <v>0</v>
      </c>
      <c r="F1351" s="11"/>
    </row>
    <row r="1352" spans="1:6" ht="16" x14ac:dyDescent="0.2">
      <c r="A1352" s="12" t="s">
        <v>4918</v>
      </c>
      <c r="B1352" s="13"/>
      <c r="C1352" t="e">
        <f t="shared" si="0"/>
        <v>#N/A</v>
      </c>
      <c r="D1352" t="b">
        <f t="shared" si="1"/>
        <v>0</v>
      </c>
      <c r="E1352">
        <f t="shared" si="2"/>
        <v>0</v>
      </c>
      <c r="F1352" s="11"/>
    </row>
    <row r="1353" spans="1:6" ht="16" x14ac:dyDescent="0.2">
      <c r="A1353" s="12" t="s">
        <v>4919</v>
      </c>
      <c r="B1353" s="13"/>
      <c r="C1353" t="e">
        <f t="shared" si="0"/>
        <v>#N/A</v>
      </c>
      <c r="D1353" t="b">
        <f t="shared" si="1"/>
        <v>0</v>
      </c>
      <c r="E1353">
        <f t="shared" si="2"/>
        <v>0</v>
      </c>
      <c r="F1353" s="11"/>
    </row>
    <row r="1354" spans="1:6" ht="16" x14ac:dyDescent="0.2">
      <c r="A1354" s="12" t="s">
        <v>4920</v>
      </c>
      <c r="B1354" s="13"/>
      <c r="C1354" t="e">
        <f t="shared" si="0"/>
        <v>#N/A</v>
      </c>
      <c r="D1354" t="b">
        <f t="shared" si="1"/>
        <v>0</v>
      </c>
      <c r="E1354">
        <f t="shared" si="2"/>
        <v>0</v>
      </c>
      <c r="F1354" s="11"/>
    </row>
    <row r="1355" spans="1:6" ht="16" x14ac:dyDescent="0.2">
      <c r="A1355" s="12" t="s">
        <v>4921</v>
      </c>
      <c r="B1355" s="13"/>
      <c r="C1355" t="e">
        <f t="shared" si="0"/>
        <v>#N/A</v>
      </c>
      <c r="D1355" t="b">
        <f t="shared" si="1"/>
        <v>0</v>
      </c>
      <c r="E1355">
        <f t="shared" si="2"/>
        <v>0</v>
      </c>
      <c r="F1355" s="11"/>
    </row>
    <row r="1356" spans="1:6" ht="16" x14ac:dyDescent="0.2">
      <c r="A1356" s="12" t="s">
        <v>4922</v>
      </c>
      <c r="B1356" s="13"/>
      <c r="C1356" t="e">
        <f t="shared" si="0"/>
        <v>#N/A</v>
      </c>
      <c r="D1356" t="b">
        <f t="shared" si="1"/>
        <v>0</v>
      </c>
      <c r="E1356">
        <f t="shared" si="2"/>
        <v>0</v>
      </c>
      <c r="F1356" s="11"/>
    </row>
    <row r="1357" spans="1:6" ht="16" x14ac:dyDescent="0.2">
      <c r="A1357" s="12" t="s">
        <v>4923</v>
      </c>
      <c r="B1357" s="13"/>
      <c r="C1357" t="e">
        <f t="shared" si="0"/>
        <v>#N/A</v>
      </c>
      <c r="D1357" t="b">
        <f t="shared" si="1"/>
        <v>0</v>
      </c>
      <c r="E1357">
        <f t="shared" si="2"/>
        <v>0</v>
      </c>
      <c r="F1357" s="11"/>
    </row>
    <row r="1358" spans="1:6" ht="16" x14ac:dyDescent="0.2">
      <c r="A1358" s="12" t="s">
        <v>4924</v>
      </c>
      <c r="B1358" s="13"/>
      <c r="C1358" t="e">
        <f t="shared" si="0"/>
        <v>#N/A</v>
      </c>
      <c r="D1358" t="b">
        <f t="shared" si="1"/>
        <v>0</v>
      </c>
      <c r="E1358">
        <f t="shared" si="2"/>
        <v>0</v>
      </c>
      <c r="F1358" s="11"/>
    </row>
    <row r="1359" spans="1:6" ht="16" x14ac:dyDescent="0.2">
      <c r="A1359" s="12" t="s">
        <v>4925</v>
      </c>
      <c r="B1359" s="13"/>
      <c r="C1359" t="e">
        <f t="shared" si="0"/>
        <v>#N/A</v>
      </c>
      <c r="D1359" t="b">
        <f t="shared" si="1"/>
        <v>0</v>
      </c>
      <c r="E1359">
        <f t="shared" si="2"/>
        <v>0</v>
      </c>
      <c r="F1359" s="11"/>
    </row>
    <row r="1360" spans="1:6" ht="16" x14ac:dyDescent="0.2">
      <c r="A1360" s="12" t="s">
        <v>4926</v>
      </c>
      <c r="B1360" s="13"/>
      <c r="C1360" t="e">
        <f t="shared" si="0"/>
        <v>#N/A</v>
      </c>
      <c r="D1360" t="b">
        <f t="shared" si="1"/>
        <v>0</v>
      </c>
      <c r="E1360">
        <f t="shared" si="2"/>
        <v>0</v>
      </c>
      <c r="F1360" s="11"/>
    </row>
    <row r="1361" spans="1:6" ht="16" x14ac:dyDescent="0.2">
      <c r="A1361" s="12" t="s">
        <v>4927</v>
      </c>
      <c r="B1361" s="13"/>
      <c r="C1361" t="e">
        <f t="shared" si="0"/>
        <v>#N/A</v>
      </c>
      <c r="D1361" t="b">
        <f t="shared" si="1"/>
        <v>0</v>
      </c>
      <c r="E1361">
        <f t="shared" si="2"/>
        <v>0</v>
      </c>
      <c r="F1361" s="11"/>
    </row>
    <row r="1362" spans="1:6" ht="16" x14ac:dyDescent="0.2">
      <c r="A1362" s="12" t="s">
        <v>4928</v>
      </c>
      <c r="B1362" s="13"/>
      <c r="C1362" t="e">
        <f t="shared" si="0"/>
        <v>#N/A</v>
      </c>
      <c r="D1362" t="b">
        <f t="shared" si="1"/>
        <v>0</v>
      </c>
      <c r="E1362">
        <f t="shared" si="2"/>
        <v>0</v>
      </c>
      <c r="F1362" s="11"/>
    </row>
    <row r="1363" spans="1:6" ht="16" x14ac:dyDescent="0.2">
      <c r="A1363" s="12" t="s">
        <v>4929</v>
      </c>
      <c r="B1363" s="13"/>
      <c r="C1363" t="e">
        <f t="shared" si="0"/>
        <v>#N/A</v>
      </c>
      <c r="D1363" t="b">
        <f t="shared" si="1"/>
        <v>0</v>
      </c>
      <c r="E1363">
        <f t="shared" si="2"/>
        <v>0</v>
      </c>
      <c r="F1363" s="11"/>
    </row>
    <row r="1364" spans="1:6" ht="16" x14ac:dyDescent="0.2">
      <c r="A1364" s="12" t="s">
        <v>4930</v>
      </c>
      <c r="B1364" s="13"/>
      <c r="C1364" t="e">
        <f t="shared" si="0"/>
        <v>#N/A</v>
      </c>
      <c r="D1364" t="b">
        <f t="shared" si="1"/>
        <v>0</v>
      </c>
      <c r="E1364">
        <f t="shared" si="2"/>
        <v>0</v>
      </c>
      <c r="F1364" s="11"/>
    </row>
    <row r="1365" spans="1:6" ht="16" x14ac:dyDescent="0.2">
      <c r="A1365" s="12" t="s">
        <v>4931</v>
      </c>
      <c r="B1365" s="13"/>
      <c r="C1365" t="e">
        <f t="shared" si="0"/>
        <v>#N/A</v>
      </c>
      <c r="D1365" t="b">
        <f t="shared" si="1"/>
        <v>0</v>
      </c>
      <c r="E1365">
        <f t="shared" si="2"/>
        <v>0</v>
      </c>
      <c r="F1365" s="11"/>
    </row>
    <row r="1366" spans="1:6" ht="16" x14ac:dyDescent="0.2">
      <c r="A1366" s="12" t="s">
        <v>4932</v>
      </c>
      <c r="B1366" s="13"/>
      <c r="C1366" t="e">
        <f t="shared" si="0"/>
        <v>#N/A</v>
      </c>
      <c r="D1366" t="b">
        <f t="shared" si="1"/>
        <v>0</v>
      </c>
      <c r="E1366">
        <f t="shared" si="2"/>
        <v>0</v>
      </c>
      <c r="F1366" s="11"/>
    </row>
    <row r="1367" spans="1:6" ht="16" x14ac:dyDescent="0.2">
      <c r="A1367" s="12" t="s">
        <v>4933</v>
      </c>
      <c r="B1367" s="13"/>
      <c r="C1367" t="e">
        <f t="shared" si="0"/>
        <v>#N/A</v>
      </c>
      <c r="D1367" t="b">
        <f t="shared" si="1"/>
        <v>0</v>
      </c>
      <c r="E1367">
        <f t="shared" si="2"/>
        <v>0</v>
      </c>
      <c r="F1367" s="11"/>
    </row>
    <row r="1368" spans="1:6" ht="16" x14ac:dyDescent="0.2">
      <c r="A1368" s="12" t="s">
        <v>4934</v>
      </c>
      <c r="B1368" s="13"/>
      <c r="C1368" t="e">
        <f t="shared" si="0"/>
        <v>#N/A</v>
      </c>
      <c r="D1368" t="b">
        <f t="shared" si="1"/>
        <v>0</v>
      </c>
      <c r="E1368">
        <f t="shared" si="2"/>
        <v>0</v>
      </c>
      <c r="F1368" s="11"/>
    </row>
    <row r="1369" spans="1:6" ht="16" x14ac:dyDescent="0.2">
      <c r="A1369" s="12" t="s">
        <v>4935</v>
      </c>
      <c r="B1369" s="13"/>
      <c r="C1369" t="e">
        <f t="shared" si="0"/>
        <v>#N/A</v>
      </c>
      <c r="D1369" t="b">
        <f t="shared" si="1"/>
        <v>0</v>
      </c>
      <c r="E1369">
        <f t="shared" si="2"/>
        <v>0</v>
      </c>
      <c r="F1369" s="11"/>
    </row>
    <row r="1370" spans="1:6" ht="16" x14ac:dyDescent="0.2">
      <c r="A1370" s="12" t="s">
        <v>4936</v>
      </c>
      <c r="B1370" s="13"/>
      <c r="C1370" t="e">
        <f t="shared" si="0"/>
        <v>#N/A</v>
      </c>
      <c r="D1370" t="b">
        <f t="shared" si="1"/>
        <v>0</v>
      </c>
      <c r="E1370">
        <f t="shared" si="2"/>
        <v>0</v>
      </c>
      <c r="F1370" s="11"/>
    </row>
    <row r="1371" spans="1:6" ht="16" x14ac:dyDescent="0.2">
      <c r="A1371" s="12" t="s">
        <v>4937</v>
      </c>
      <c r="B1371" s="13"/>
      <c r="C1371" t="e">
        <f t="shared" si="0"/>
        <v>#N/A</v>
      </c>
      <c r="D1371" t="b">
        <f t="shared" si="1"/>
        <v>0</v>
      </c>
      <c r="E1371">
        <f t="shared" si="2"/>
        <v>0</v>
      </c>
      <c r="F1371" s="11"/>
    </row>
    <row r="1372" spans="1:6" ht="16" x14ac:dyDescent="0.2">
      <c r="A1372" s="12" t="s">
        <v>4938</v>
      </c>
      <c r="B1372" s="13"/>
      <c r="C1372" t="e">
        <f t="shared" si="0"/>
        <v>#N/A</v>
      </c>
      <c r="D1372" t="b">
        <f t="shared" si="1"/>
        <v>0</v>
      </c>
      <c r="E1372">
        <f t="shared" si="2"/>
        <v>0</v>
      </c>
      <c r="F1372" s="11"/>
    </row>
    <row r="1373" spans="1:6" ht="16" x14ac:dyDescent="0.2">
      <c r="A1373" s="12" t="s">
        <v>4939</v>
      </c>
      <c r="B1373" s="13"/>
      <c r="C1373" t="e">
        <f t="shared" si="0"/>
        <v>#N/A</v>
      </c>
      <c r="D1373" t="b">
        <f t="shared" si="1"/>
        <v>0</v>
      </c>
      <c r="E1373">
        <f t="shared" si="2"/>
        <v>0</v>
      </c>
      <c r="F1373" s="11"/>
    </row>
    <row r="1374" spans="1:6" ht="16" x14ac:dyDescent="0.2">
      <c r="A1374" s="12" t="s">
        <v>4940</v>
      </c>
      <c r="B1374" s="13"/>
      <c r="C1374" t="e">
        <f t="shared" si="0"/>
        <v>#N/A</v>
      </c>
      <c r="D1374" t="b">
        <f t="shared" si="1"/>
        <v>0</v>
      </c>
      <c r="E1374">
        <f t="shared" si="2"/>
        <v>0</v>
      </c>
      <c r="F1374" s="11"/>
    </row>
    <row r="1375" spans="1:6" ht="16" x14ac:dyDescent="0.2">
      <c r="A1375" s="12" t="s">
        <v>4941</v>
      </c>
      <c r="B1375" s="13"/>
      <c r="C1375" t="e">
        <f t="shared" si="0"/>
        <v>#N/A</v>
      </c>
      <c r="D1375" t="b">
        <f t="shared" si="1"/>
        <v>0</v>
      </c>
      <c r="E1375">
        <f t="shared" si="2"/>
        <v>0</v>
      </c>
      <c r="F1375" s="11"/>
    </row>
    <row r="1376" spans="1:6" ht="16" x14ac:dyDescent="0.2">
      <c r="A1376" s="12" t="s">
        <v>4942</v>
      </c>
      <c r="B1376" s="13"/>
      <c r="C1376" t="e">
        <f t="shared" si="0"/>
        <v>#N/A</v>
      </c>
      <c r="D1376" t="b">
        <f t="shared" si="1"/>
        <v>0</v>
      </c>
      <c r="E1376">
        <f t="shared" si="2"/>
        <v>0</v>
      </c>
      <c r="F1376" s="11"/>
    </row>
    <row r="1377" spans="1:6" ht="16" x14ac:dyDescent="0.2">
      <c r="A1377" s="12" t="s">
        <v>4943</v>
      </c>
      <c r="B1377" s="13"/>
      <c r="C1377" t="e">
        <f t="shared" si="0"/>
        <v>#N/A</v>
      </c>
      <c r="D1377" t="b">
        <f t="shared" si="1"/>
        <v>0</v>
      </c>
      <c r="E1377">
        <f t="shared" si="2"/>
        <v>0</v>
      </c>
      <c r="F1377" s="11"/>
    </row>
    <row r="1378" spans="1:6" ht="16" x14ac:dyDescent="0.2">
      <c r="A1378" s="12" t="s">
        <v>4944</v>
      </c>
      <c r="B1378" s="13"/>
      <c r="C1378" t="e">
        <f t="shared" si="0"/>
        <v>#N/A</v>
      </c>
      <c r="D1378" t="b">
        <f t="shared" si="1"/>
        <v>0</v>
      </c>
      <c r="E1378">
        <f t="shared" si="2"/>
        <v>0</v>
      </c>
      <c r="F1378" s="11"/>
    </row>
    <row r="1379" spans="1:6" ht="16" x14ac:dyDescent="0.2">
      <c r="A1379" s="12" t="s">
        <v>4945</v>
      </c>
      <c r="B1379" s="13"/>
      <c r="C1379" t="e">
        <f t="shared" si="0"/>
        <v>#N/A</v>
      </c>
      <c r="D1379" t="b">
        <f t="shared" si="1"/>
        <v>0</v>
      </c>
      <c r="E1379">
        <f t="shared" si="2"/>
        <v>0</v>
      </c>
      <c r="F1379" s="11"/>
    </row>
    <row r="1380" spans="1:6" ht="16" x14ac:dyDescent="0.2">
      <c r="A1380" s="12" t="s">
        <v>4946</v>
      </c>
      <c r="B1380" s="13"/>
      <c r="C1380" t="e">
        <f t="shared" si="0"/>
        <v>#N/A</v>
      </c>
      <c r="D1380" t="b">
        <f t="shared" si="1"/>
        <v>0</v>
      </c>
      <c r="E1380">
        <f t="shared" si="2"/>
        <v>0</v>
      </c>
      <c r="F1380" s="11"/>
    </row>
    <row r="1381" spans="1:6" ht="16" x14ac:dyDescent="0.2">
      <c r="A1381" s="12" t="s">
        <v>4947</v>
      </c>
      <c r="B1381" s="13"/>
      <c r="C1381" t="e">
        <f t="shared" si="0"/>
        <v>#N/A</v>
      </c>
      <c r="D1381" t="b">
        <f t="shared" si="1"/>
        <v>0</v>
      </c>
      <c r="E1381">
        <f t="shared" si="2"/>
        <v>0</v>
      </c>
      <c r="F1381" s="11"/>
    </row>
    <row r="1382" spans="1:6" ht="16" x14ac:dyDescent="0.2">
      <c r="A1382" s="12" t="s">
        <v>4948</v>
      </c>
      <c r="B1382" s="13"/>
      <c r="C1382" t="e">
        <f t="shared" si="0"/>
        <v>#N/A</v>
      </c>
      <c r="D1382" t="b">
        <f t="shared" si="1"/>
        <v>0</v>
      </c>
      <c r="E1382">
        <f t="shared" si="2"/>
        <v>0</v>
      </c>
      <c r="F1382" s="11"/>
    </row>
    <row r="1383" spans="1:6" ht="16" x14ac:dyDescent="0.2">
      <c r="A1383" s="12" t="s">
        <v>4949</v>
      </c>
      <c r="B1383" s="13"/>
      <c r="C1383" t="e">
        <f t="shared" si="0"/>
        <v>#N/A</v>
      </c>
      <c r="D1383" t="b">
        <f t="shared" si="1"/>
        <v>0</v>
      </c>
      <c r="E1383">
        <f t="shared" si="2"/>
        <v>0</v>
      </c>
      <c r="F1383" s="11"/>
    </row>
    <row r="1384" spans="1:6" ht="16" x14ac:dyDescent="0.2">
      <c r="A1384" s="12" t="s">
        <v>4950</v>
      </c>
      <c r="B1384" s="13"/>
      <c r="C1384" t="e">
        <f t="shared" si="0"/>
        <v>#N/A</v>
      </c>
      <c r="D1384" t="b">
        <f t="shared" si="1"/>
        <v>0</v>
      </c>
      <c r="E1384">
        <f t="shared" si="2"/>
        <v>0</v>
      </c>
      <c r="F1384" s="11"/>
    </row>
    <row r="1385" spans="1:6" ht="16" x14ac:dyDescent="0.2">
      <c r="A1385" s="12" t="s">
        <v>4951</v>
      </c>
      <c r="B1385" s="13"/>
      <c r="C1385" t="e">
        <f t="shared" si="0"/>
        <v>#N/A</v>
      </c>
      <c r="D1385" t="b">
        <f t="shared" si="1"/>
        <v>0</v>
      </c>
      <c r="E1385">
        <f t="shared" si="2"/>
        <v>0</v>
      </c>
      <c r="F1385" s="11"/>
    </row>
    <row r="1386" spans="1:6" ht="16" x14ac:dyDescent="0.2">
      <c r="A1386" s="12" t="s">
        <v>4952</v>
      </c>
      <c r="B1386" s="13"/>
      <c r="C1386" t="e">
        <f t="shared" si="0"/>
        <v>#N/A</v>
      </c>
      <c r="D1386" t="b">
        <f t="shared" si="1"/>
        <v>0</v>
      </c>
      <c r="E1386">
        <f t="shared" si="2"/>
        <v>0</v>
      </c>
      <c r="F1386" s="11"/>
    </row>
    <row r="1387" spans="1:6" ht="16" x14ac:dyDescent="0.2">
      <c r="A1387" s="12" t="s">
        <v>4953</v>
      </c>
      <c r="B1387" s="13"/>
      <c r="C1387" t="e">
        <f t="shared" si="0"/>
        <v>#N/A</v>
      </c>
      <c r="D1387" t="b">
        <f t="shared" si="1"/>
        <v>0</v>
      </c>
      <c r="E1387">
        <f t="shared" si="2"/>
        <v>0</v>
      </c>
      <c r="F1387" s="11"/>
    </row>
    <row r="1388" spans="1:6" ht="16" x14ac:dyDescent="0.2">
      <c r="A1388" s="12" t="s">
        <v>4954</v>
      </c>
      <c r="B1388" s="13"/>
      <c r="C1388" t="e">
        <f t="shared" si="0"/>
        <v>#N/A</v>
      </c>
      <c r="D1388" t="b">
        <f t="shared" si="1"/>
        <v>0</v>
      </c>
      <c r="E1388">
        <f t="shared" si="2"/>
        <v>0</v>
      </c>
      <c r="F1388" s="11"/>
    </row>
    <row r="1389" spans="1:6" ht="16" x14ac:dyDescent="0.2">
      <c r="A1389" s="12" t="s">
        <v>4955</v>
      </c>
      <c r="B1389" s="13"/>
      <c r="C1389" t="e">
        <f t="shared" si="0"/>
        <v>#N/A</v>
      </c>
      <c r="D1389" t="b">
        <f t="shared" si="1"/>
        <v>0</v>
      </c>
      <c r="E1389">
        <f t="shared" si="2"/>
        <v>0</v>
      </c>
      <c r="F1389" s="11"/>
    </row>
    <row r="1390" spans="1:6" ht="16" x14ac:dyDescent="0.2">
      <c r="A1390" s="14" t="s">
        <v>4956</v>
      </c>
      <c r="B1390" s="13"/>
      <c r="C1390" t="e">
        <f t="shared" si="0"/>
        <v>#N/A</v>
      </c>
      <c r="D1390" t="b">
        <f t="shared" si="1"/>
        <v>0</v>
      </c>
      <c r="E1390">
        <f t="shared" si="2"/>
        <v>0</v>
      </c>
      <c r="F1390" s="11"/>
    </row>
    <row r="1391" spans="1:6" ht="16" x14ac:dyDescent="0.2">
      <c r="A1391" s="12" t="s">
        <v>4957</v>
      </c>
      <c r="B1391" s="13"/>
      <c r="C1391" t="e">
        <f t="shared" si="0"/>
        <v>#N/A</v>
      </c>
      <c r="D1391" t="b">
        <f t="shared" si="1"/>
        <v>0</v>
      </c>
      <c r="E1391">
        <f t="shared" si="2"/>
        <v>0</v>
      </c>
      <c r="F1391" s="11"/>
    </row>
    <row r="1392" spans="1:6" ht="16" x14ac:dyDescent="0.2">
      <c r="A1392" s="12" t="s">
        <v>4958</v>
      </c>
      <c r="B1392" s="13"/>
      <c r="C1392" t="e">
        <f t="shared" si="0"/>
        <v>#N/A</v>
      </c>
      <c r="D1392" t="b">
        <f t="shared" si="1"/>
        <v>0</v>
      </c>
      <c r="E1392">
        <f t="shared" si="2"/>
        <v>0</v>
      </c>
      <c r="F1392" s="11"/>
    </row>
    <row r="1393" spans="1:6" ht="16" x14ac:dyDescent="0.2">
      <c r="A1393" s="12" t="s">
        <v>4959</v>
      </c>
      <c r="B1393" s="13"/>
      <c r="C1393" t="e">
        <f t="shared" si="0"/>
        <v>#N/A</v>
      </c>
      <c r="D1393" t="b">
        <f t="shared" si="1"/>
        <v>0</v>
      </c>
      <c r="E1393">
        <f t="shared" si="2"/>
        <v>0</v>
      </c>
      <c r="F1393" s="11"/>
    </row>
    <row r="1394" spans="1:6" ht="16" x14ac:dyDescent="0.2">
      <c r="A1394" s="12" t="s">
        <v>4960</v>
      </c>
      <c r="B1394" s="13"/>
      <c r="C1394" t="e">
        <f t="shared" si="0"/>
        <v>#N/A</v>
      </c>
      <c r="D1394" t="b">
        <f t="shared" si="1"/>
        <v>0</v>
      </c>
      <c r="E1394">
        <f t="shared" si="2"/>
        <v>0</v>
      </c>
      <c r="F1394" s="11"/>
    </row>
    <row r="1395" spans="1:6" ht="16" x14ac:dyDescent="0.2">
      <c r="A1395" s="12" t="s">
        <v>4961</v>
      </c>
      <c r="B1395" s="13"/>
      <c r="C1395" t="e">
        <f t="shared" si="0"/>
        <v>#N/A</v>
      </c>
      <c r="D1395" t="b">
        <f t="shared" si="1"/>
        <v>0</v>
      </c>
      <c r="E1395">
        <f t="shared" si="2"/>
        <v>0</v>
      </c>
      <c r="F1395" s="11"/>
    </row>
    <row r="1396" spans="1:6" ht="16" x14ac:dyDescent="0.2">
      <c r="A1396" s="12" t="s">
        <v>4962</v>
      </c>
      <c r="B1396" s="13"/>
      <c r="C1396" t="e">
        <f t="shared" si="0"/>
        <v>#N/A</v>
      </c>
      <c r="D1396" t="b">
        <f t="shared" si="1"/>
        <v>0</v>
      </c>
      <c r="E1396">
        <f t="shared" si="2"/>
        <v>0</v>
      </c>
      <c r="F1396" s="11"/>
    </row>
    <row r="1397" spans="1:6" ht="16" x14ac:dyDescent="0.2">
      <c r="A1397" s="12" t="s">
        <v>4963</v>
      </c>
      <c r="B1397" s="13"/>
      <c r="C1397" t="e">
        <f t="shared" si="0"/>
        <v>#N/A</v>
      </c>
      <c r="D1397" t="b">
        <f t="shared" si="1"/>
        <v>0</v>
      </c>
      <c r="E1397">
        <f t="shared" si="2"/>
        <v>0</v>
      </c>
      <c r="F1397" s="11"/>
    </row>
    <row r="1398" spans="1:6" ht="16" x14ac:dyDescent="0.2">
      <c r="A1398" s="12" t="s">
        <v>4964</v>
      </c>
      <c r="B1398" s="13"/>
      <c r="C1398" t="e">
        <f t="shared" si="0"/>
        <v>#N/A</v>
      </c>
      <c r="D1398" t="b">
        <f t="shared" si="1"/>
        <v>0</v>
      </c>
      <c r="E1398">
        <f t="shared" si="2"/>
        <v>0</v>
      </c>
      <c r="F1398" s="11"/>
    </row>
    <row r="1399" spans="1:6" ht="16" x14ac:dyDescent="0.2">
      <c r="A1399" s="12" t="s">
        <v>4965</v>
      </c>
      <c r="B1399" s="13"/>
      <c r="C1399" t="e">
        <f t="shared" si="0"/>
        <v>#N/A</v>
      </c>
      <c r="D1399" t="b">
        <f t="shared" si="1"/>
        <v>0</v>
      </c>
      <c r="E1399">
        <f t="shared" si="2"/>
        <v>0</v>
      </c>
      <c r="F1399" s="11"/>
    </row>
    <row r="1400" spans="1:6" ht="16" x14ac:dyDescent="0.2">
      <c r="A1400" s="12" t="s">
        <v>4966</v>
      </c>
      <c r="B1400" s="13"/>
      <c r="C1400" t="e">
        <f t="shared" si="0"/>
        <v>#N/A</v>
      </c>
      <c r="D1400" t="b">
        <f t="shared" si="1"/>
        <v>0</v>
      </c>
      <c r="E1400">
        <f t="shared" si="2"/>
        <v>0</v>
      </c>
      <c r="F1400" s="11"/>
    </row>
    <row r="1401" spans="1:6" ht="16" x14ac:dyDescent="0.2">
      <c r="A1401" s="12" t="s">
        <v>4967</v>
      </c>
      <c r="B1401" s="13"/>
      <c r="C1401" t="e">
        <f t="shared" si="0"/>
        <v>#N/A</v>
      </c>
      <c r="D1401" t="b">
        <f t="shared" si="1"/>
        <v>0</v>
      </c>
      <c r="E1401">
        <f t="shared" si="2"/>
        <v>0</v>
      </c>
      <c r="F1401" s="11"/>
    </row>
    <row r="1402" spans="1:6" ht="16" x14ac:dyDescent="0.2">
      <c r="A1402" s="12" t="s">
        <v>4968</v>
      </c>
      <c r="B1402" s="13"/>
      <c r="C1402" t="e">
        <f t="shared" si="0"/>
        <v>#N/A</v>
      </c>
      <c r="D1402" t="b">
        <f t="shared" si="1"/>
        <v>0</v>
      </c>
      <c r="E1402">
        <f t="shared" si="2"/>
        <v>0</v>
      </c>
      <c r="F1402" s="11"/>
    </row>
    <row r="1403" spans="1:6" ht="16" x14ac:dyDescent="0.2">
      <c r="A1403" s="12" t="s">
        <v>4969</v>
      </c>
      <c r="B1403" s="13"/>
      <c r="C1403" t="e">
        <f t="shared" si="0"/>
        <v>#N/A</v>
      </c>
      <c r="D1403" t="b">
        <f t="shared" si="1"/>
        <v>0</v>
      </c>
      <c r="E1403">
        <f t="shared" si="2"/>
        <v>0</v>
      </c>
      <c r="F1403" s="11"/>
    </row>
    <row r="1404" spans="1:6" ht="16" x14ac:dyDescent="0.2">
      <c r="A1404" s="12" t="s">
        <v>4970</v>
      </c>
      <c r="B1404" s="13"/>
      <c r="C1404" t="e">
        <f t="shared" si="0"/>
        <v>#N/A</v>
      </c>
      <c r="D1404" t="b">
        <f t="shared" si="1"/>
        <v>0</v>
      </c>
      <c r="E1404">
        <f t="shared" si="2"/>
        <v>0</v>
      </c>
      <c r="F1404" s="11"/>
    </row>
    <row r="1405" spans="1:6" ht="16" x14ac:dyDescent="0.2">
      <c r="A1405" s="12" t="s">
        <v>4971</v>
      </c>
      <c r="B1405" s="13"/>
      <c r="C1405" t="e">
        <f t="shared" si="0"/>
        <v>#N/A</v>
      </c>
      <c r="D1405" t="b">
        <f t="shared" si="1"/>
        <v>0</v>
      </c>
      <c r="E1405">
        <f t="shared" si="2"/>
        <v>0</v>
      </c>
      <c r="F1405" s="11"/>
    </row>
    <row r="1406" spans="1:6" ht="16" x14ac:dyDescent="0.2">
      <c r="A1406" s="12" t="s">
        <v>4972</v>
      </c>
      <c r="B1406" s="13"/>
      <c r="C1406" t="e">
        <f t="shared" si="0"/>
        <v>#N/A</v>
      </c>
      <c r="D1406" t="b">
        <f t="shared" si="1"/>
        <v>0</v>
      </c>
      <c r="E1406">
        <f t="shared" si="2"/>
        <v>0</v>
      </c>
      <c r="F1406" s="11"/>
    </row>
    <row r="1407" spans="1:6" ht="16" x14ac:dyDescent="0.2">
      <c r="A1407" s="12" t="s">
        <v>4973</v>
      </c>
      <c r="B1407" s="13"/>
      <c r="C1407" t="e">
        <f t="shared" si="0"/>
        <v>#N/A</v>
      </c>
      <c r="D1407" t="b">
        <f t="shared" si="1"/>
        <v>0</v>
      </c>
      <c r="E1407">
        <f t="shared" si="2"/>
        <v>0</v>
      </c>
      <c r="F1407" s="11"/>
    </row>
    <row r="1408" spans="1:6" ht="16" x14ac:dyDescent="0.2">
      <c r="A1408" s="12" t="s">
        <v>4974</v>
      </c>
      <c r="B1408" s="13"/>
      <c r="C1408" t="e">
        <f t="shared" si="0"/>
        <v>#N/A</v>
      </c>
      <c r="D1408" t="b">
        <f t="shared" si="1"/>
        <v>0</v>
      </c>
      <c r="E1408">
        <f t="shared" si="2"/>
        <v>0</v>
      </c>
      <c r="F1408" s="11"/>
    </row>
    <row r="1409" spans="1:6" ht="16" x14ac:dyDescent="0.2">
      <c r="A1409" s="12" t="s">
        <v>4975</v>
      </c>
      <c r="B1409" s="13"/>
      <c r="C1409" t="e">
        <f t="shared" si="0"/>
        <v>#N/A</v>
      </c>
      <c r="D1409" t="b">
        <f t="shared" si="1"/>
        <v>0</v>
      </c>
      <c r="E1409">
        <f t="shared" si="2"/>
        <v>0</v>
      </c>
      <c r="F1409" s="11"/>
    </row>
    <row r="1410" spans="1:6" ht="16" x14ac:dyDescent="0.2">
      <c r="A1410" s="12" t="s">
        <v>4976</v>
      </c>
      <c r="B1410" s="13"/>
      <c r="C1410" t="e">
        <f t="shared" si="0"/>
        <v>#N/A</v>
      </c>
      <c r="D1410" t="b">
        <f t="shared" si="1"/>
        <v>0</v>
      </c>
      <c r="E1410">
        <f t="shared" si="2"/>
        <v>0</v>
      </c>
      <c r="F1410" s="11"/>
    </row>
    <row r="1411" spans="1:6" ht="16" x14ac:dyDescent="0.2">
      <c r="A1411" s="12" t="s">
        <v>4977</v>
      </c>
      <c r="B1411" s="13"/>
      <c r="C1411" t="e">
        <f t="shared" si="0"/>
        <v>#N/A</v>
      </c>
      <c r="D1411" t="b">
        <f t="shared" si="1"/>
        <v>0</v>
      </c>
      <c r="E1411">
        <f t="shared" si="2"/>
        <v>0</v>
      </c>
      <c r="F1411" s="11"/>
    </row>
    <row r="1412" spans="1:6" ht="16" x14ac:dyDescent="0.2">
      <c r="A1412" s="12" t="s">
        <v>4978</v>
      </c>
      <c r="B1412" s="13"/>
      <c r="C1412" t="e">
        <f t="shared" si="0"/>
        <v>#N/A</v>
      </c>
      <c r="D1412" t="b">
        <f t="shared" si="1"/>
        <v>0</v>
      </c>
      <c r="E1412">
        <f t="shared" si="2"/>
        <v>0</v>
      </c>
      <c r="F1412" s="11"/>
    </row>
    <row r="1413" spans="1:6" ht="16" x14ac:dyDescent="0.2">
      <c r="A1413" s="12" t="s">
        <v>4979</v>
      </c>
      <c r="B1413" s="13"/>
      <c r="C1413" t="e">
        <f t="shared" si="0"/>
        <v>#N/A</v>
      </c>
      <c r="D1413" t="b">
        <f t="shared" si="1"/>
        <v>0</v>
      </c>
      <c r="E1413">
        <f t="shared" si="2"/>
        <v>0</v>
      </c>
      <c r="F1413" s="11"/>
    </row>
    <row r="1414" spans="1:6" ht="16" x14ac:dyDescent="0.2">
      <c r="A1414" s="12" t="s">
        <v>4980</v>
      </c>
      <c r="B1414" s="13"/>
      <c r="C1414" t="e">
        <f t="shared" si="0"/>
        <v>#N/A</v>
      </c>
      <c r="D1414" t="b">
        <f t="shared" si="1"/>
        <v>0</v>
      </c>
      <c r="E1414">
        <f t="shared" si="2"/>
        <v>0</v>
      </c>
      <c r="F1414" s="11"/>
    </row>
    <row r="1415" spans="1:6" ht="16" x14ac:dyDescent="0.2">
      <c r="A1415" s="12" t="s">
        <v>4981</v>
      </c>
      <c r="B1415" s="13"/>
      <c r="C1415" t="e">
        <f t="shared" si="0"/>
        <v>#N/A</v>
      </c>
      <c r="D1415" t="b">
        <f t="shared" si="1"/>
        <v>0</v>
      </c>
      <c r="E1415">
        <f t="shared" si="2"/>
        <v>0</v>
      </c>
      <c r="F1415" s="11"/>
    </row>
    <row r="1416" spans="1:6" ht="16" x14ac:dyDescent="0.2">
      <c r="A1416" s="12" t="s">
        <v>4982</v>
      </c>
      <c r="B1416" s="13"/>
      <c r="C1416" t="e">
        <f t="shared" si="0"/>
        <v>#N/A</v>
      </c>
      <c r="D1416" t="b">
        <f t="shared" si="1"/>
        <v>0</v>
      </c>
      <c r="E1416">
        <f t="shared" si="2"/>
        <v>0</v>
      </c>
      <c r="F1416" s="11"/>
    </row>
    <row r="1417" spans="1:6" ht="16" x14ac:dyDescent="0.2">
      <c r="A1417" s="12" t="s">
        <v>4983</v>
      </c>
      <c r="B1417" s="13"/>
      <c r="C1417" t="e">
        <f t="shared" si="0"/>
        <v>#N/A</v>
      </c>
      <c r="D1417" t="b">
        <f t="shared" si="1"/>
        <v>0</v>
      </c>
      <c r="E1417">
        <f t="shared" si="2"/>
        <v>0</v>
      </c>
      <c r="F1417" s="11"/>
    </row>
    <row r="1418" spans="1:6" ht="16" x14ac:dyDescent="0.2">
      <c r="A1418" s="12" t="s">
        <v>4984</v>
      </c>
      <c r="B1418" s="13"/>
      <c r="C1418" t="e">
        <f t="shared" si="0"/>
        <v>#N/A</v>
      </c>
      <c r="D1418" t="b">
        <f t="shared" si="1"/>
        <v>0</v>
      </c>
      <c r="E1418">
        <f t="shared" si="2"/>
        <v>0</v>
      </c>
      <c r="F1418" s="11"/>
    </row>
    <row r="1419" spans="1:6" ht="16" x14ac:dyDescent="0.2">
      <c r="A1419" s="12" t="s">
        <v>4985</v>
      </c>
      <c r="B1419" s="13"/>
      <c r="C1419" t="e">
        <f t="shared" si="0"/>
        <v>#N/A</v>
      </c>
      <c r="D1419" t="b">
        <f t="shared" si="1"/>
        <v>0</v>
      </c>
      <c r="E1419">
        <f t="shared" si="2"/>
        <v>0</v>
      </c>
      <c r="F1419" s="11"/>
    </row>
    <row r="1420" spans="1:6" ht="16" x14ac:dyDescent="0.2">
      <c r="A1420" s="12" t="s">
        <v>4986</v>
      </c>
      <c r="B1420" s="13"/>
      <c r="C1420" t="e">
        <f t="shared" si="0"/>
        <v>#N/A</v>
      </c>
      <c r="D1420" t="b">
        <f t="shared" si="1"/>
        <v>0</v>
      </c>
      <c r="E1420">
        <f t="shared" si="2"/>
        <v>0</v>
      </c>
      <c r="F1420" s="11"/>
    </row>
    <row r="1421" spans="1:6" ht="16" x14ac:dyDescent="0.2">
      <c r="A1421" s="12" t="s">
        <v>4987</v>
      </c>
      <c r="B1421" s="13"/>
      <c r="C1421" t="e">
        <f t="shared" si="0"/>
        <v>#N/A</v>
      </c>
      <c r="D1421" t="b">
        <f t="shared" si="1"/>
        <v>0</v>
      </c>
      <c r="E1421">
        <f t="shared" si="2"/>
        <v>0</v>
      </c>
      <c r="F1421" s="11"/>
    </row>
    <row r="1422" spans="1:6" ht="16" x14ac:dyDescent="0.2">
      <c r="A1422" s="12" t="s">
        <v>4988</v>
      </c>
      <c r="B1422" s="13"/>
      <c r="C1422" t="e">
        <f t="shared" si="0"/>
        <v>#N/A</v>
      </c>
      <c r="D1422" t="b">
        <f t="shared" si="1"/>
        <v>0</v>
      </c>
      <c r="E1422">
        <f t="shared" si="2"/>
        <v>0</v>
      </c>
      <c r="F1422" s="11"/>
    </row>
    <row r="1423" spans="1:6" ht="16" x14ac:dyDescent="0.2">
      <c r="A1423" s="12" t="s">
        <v>4989</v>
      </c>
      <c r="B1423" s="13"/>
      <c r="C1423" t="e">
        <f t="shared" si="0"/>
        <v>#N/A</v>
      </c>
      <c r="D1423" t="b">
        <f t="shared" si="1"/>
        <v>0</v>
      </c>
      <c r="E1423">
        <f t="shared" si="2"/>
        <v>0</v>
      </c>
      <c r="F1423" s="11"/>
    </row>
    <row r="1424" spans="1:6" ht="16" x14ac:dyDescent="0.2">
      <c r="A1424" s="12" t="s">
        <v>4990</v>
      </c>
      <c r="B1424" s="13"/>
      <c r="C1424" t="e">
        <f t="shared" si="0"/>
        <v>#N/A</v>
      </c>
      <c r="D1424" t="b">
        <f t="shared" si="1"/>
        <v>0</v>
      </c>
      <c r="E1424">
        <f t="shared" si="2"/>
        <v>0</v>
      </c>
      <c r="F1424" s="11"/>
    </row>
    <row r="1425" spans="1:6" ht="16" x14ac:dyDescent="0.2">
      <c r="A1425" s="12" t="s">
        <v>4991</v>
      </c>
      <c r="B1425" s="13"/>
      <c r="C1425" t="e">
        <f t="shared" si="0"/>
        <v>#N/A</v>
      </c>
      <c r="D1425" t="b">
        <f t="shared" si="1"/>
        <v>0</v>
      </c>
      <c r="E1425">
        <f t="shared" si="2"/>
        <v>0</v>
      </c>
      <c r="F1425" s="11"/>
    </row>
    <row r="1426" spans="1:6" ht="16" x14ac:dyDescent="0.2">
      <c r="A1426" s="12" t="s">
        <v>4992</v>
      </c>
      <c r="B1426" s="13"/>
      <c r="C1426" t="e">
        <f t="shared" si="0"/>
        <v>#N/A</v>
      </c>
      <c r="D1426" t="b">
        <f t="shared" si="1"/>
        <v>0</v>
      </c>
      <c r="E1426">
        <f t="shared" si="2"/>
        <v>0</v>
      </c>
      <c r="F1426" s="11"/>
    </row>
    <row r="1427" spans="1:6" ht="16" x14ac:dyDescent="0.2">
      <c r="A1427" s="12" t="s">
        <v>4993</v>
      </c>
      <c r="B1427" s="13"/>
      <c r="C1427" t="e">
        <f t="shared" si="0"/>
        <v>#N/A</v>
      </c>
      <c r="D1427" t="b">
        <f t="shared" si="1"/>
        <v>0</v>
      </c>
      <c r="E1427">
        <f t="shared" si="2"/>
        <v>0</v>
      </c>
      <c r="F1427" s="11"/>
    </row>
    <row r="1428" spans="1:6" ht="16" x14ac:dyDescent="0.2">
      <c r="A1428" s="12" t="s">
        <v>4994</v>
      </c>
      <c r="B1428" s="13"/>
      <c r="C1428" t="e">
        <f t="shared" si="0"/>
        <v>#N/A</v>
      </c>
      <c r="D1428" t="b">
        <f t="shared" si="1"/>
        <v>0</v>
      </c>
      <c r="E1428">
        <f t="shared" si="2"/>
        <v>0</v>
      </c>
      <c r="F1428" s="11"/>
    </row>
    <row r="1429" spans="1:6" ht="16" x14ac:dyDescent="0.2">
      <c r="A1429" s="12" t="s">
        <v>4995</v>
      </c>
      <c r="B1429" s="13"/>
      <c r="C1429" t="e">
        <f t="shared" si="0"/>
        <v>#N/A</v>
      </c>
      <c r="D1429" t="b">
        <f t="shared" si="1"/>
        <v>0</v>
      </c>
      <c r="E1429">
        <f t="shared" si="2"/>
        <v>0</v>
      </c>
      <c r="F1429" s="11"/>
    </row>
    <row r="1430" spans="1:6" ht="16" x14ac:dyDescent="0.2">
      <c r="A1430" s="12" t="s">
        <v>4996</v>
      </c>
      <c r="B1430" s="13"/>
      <c r="C1430" t="e">
        <f t="shared" si="0"/>
        <v>#N/A</v>
      </c>
      <c r="D1430" t="b">
        <f t="shared" si="1"/>
        <v>0</v>
      </c>
      <c r="E1430">
        <f t="shared" si="2"/>
        <v>0</v>
      </c>
      <c r="F1430" s="11"/>
    </row>
    <row r="1431" spans="1:6" ht="16" x14ac:dyDescent="0.2">
      <c r="A1431" s="12" t="s">
        <v>4997</v>
      </c>
      <c r="B1431" s="13"/>
      <c r="C1431" t="e">
        <f t="shared" si="0"/>
        <v>#N/A</v>
      </c>
      <c r="D1431" t="b">
        <f t="shared" si="1"/>
        <v>0</v>
      </c>
      <c r="E1431">
        <f t="shared" si="2"/>
        <v>0</v>
      </c>
      <c r="F1431" s="11"/>
    </row>
    <row r="1432" spans="1:6" ht="16" x14ac:dyDescent="0.2">
      <c r="A1432" s="12" t="s">
        <v>4998</v>
      </c>
      <c r="B1432" s="13"/>
      <c r="C1432" t="e">
        <f t="shared" si="0"/>
        <v>#N/A</v>
      </c>
      <c r="D1432" t="b">
        <f t="shared" si="1"/>
        <v>0</v>
      </c>
      <c r="E1432">
        <f t="shared" si="2"/>
        <v>0</v>
      </c>
      <c r="F1432" s="11"/>
    </row>
    <row r="1433" spans="1:6" ht="16" x14ac:dyDescent="0.2">
      <c r="A1433" s="12" t="s">
        <v>4999</v>
      </c>
      <c r="B1433" s="13"/>
      <c r="C1433" t="e">
        <f t="shared" si="0"/>
        <v>#N/A</v>
      </c>
      <c r="D1433" t="b">
        <f t="shared" si="1"/>
        <v>0</v>
      </c>
      <c r="E1433">
        <f t="shared" si="2"/>
        <v>0</v>
      </c>
      <c r="F1433" s="11"/>
    </row>
    <row r="1434" spans="1:6" ht="16" x14ac:dyDescent="0.2">
      <c r="A1434" s="12" t="s">
        <v>5000</v>
      </c>
      <c r="B1434" s="13"/>
      <c r="C1434" t="e">
        <f t="shared" si="0"/>
        <v>#N/A</v>
      </c>
      <c r="D1434" t="b">
        <f t="shared" si="1"/>
        <v>0</v>
      </c>
      <c r="E1434">
        <f t="shared" si="2"/>
        <v>0</v>
      </c>
      <c r="F1434" s="11"/>
    </row>
    <row r="1435" spans="1:6" ht="16" x14ac:dyDescent="0.2">
      <c r="A1435" s="12" t="s">
        <v>5001</v>
      </c>
      <c r="B1435" s="13"/>
      <c r="C1435" t="e">
        <f t="shared" si="0"/>
        <v>#N/A</v>
      </c>
      <c r="D1435" t="b">
        <f t="shared" si="1"/>
        <v>0</v>
      </c>
      <c r="E1435">
        <f t="shared" si="2"/>
        <v>0</v>
      </c>
      <c r="F1435" s="11"/>
    </row>
    <row r="1436" spans="1:6" ht="16" x14ac:dyDescent="0.2">
      <c r="A1436" s="12" t="s">
        <v>5002</v>
      </c>
      <c r="B1436" s="13"/>
      <c r="C1436" t="e">
        <f t="shared" si="0"/>
        <v>#N/A</v>
      </c>
      <c r="D1436" t="b">
        <f t="shared" si="1"/>
        <v>0</v>
      </c>
      <c r="E1436">
        <f t="shared" si="2"/>
        <v>0</v>
      </c>
      <c r="F1436" s="11"/>
    </row>
    <row r="1437" spans="1:6" ht="16" x14ac:dyDescent="0.2">
      <c r="A1437" s="12" t="s">
        <v>5003</v>
      </c>
      <c r="B1437" s="13"/>
      <c r="C1437" t="e">
        <f t="shared" si="0"/>
        <v>#N/A</v>
      </c>
      <c r="D1437" t="b">
        <f t="shared" si="1"/>
        <v>0</v>
      </c>
      <c r="E1437">
        <f t="shared" si="2"/>
        <v>0</v>
      </c>
      <c r="F1437" s="11"/>
    </row>
    <row r="1438" spans="1:6" ht="16" x14ac:dyDescent="0.2">
      <c r="A1438" s="12" t="s">
        <v>5004</v>
      </c>
      <c r="B1438" s="13"/>
      <c r="C1438" t="e">
        <f t="shared" si="0"/>
        <v>#N/A</v>
      </c>
      <c r="D1438" t="b">
        <f t="shared" si="1"/>
        <v>0</v>
      </c>
      <c r="E1438">
        <f t="shared" si="2"/>
        <v>0</v>
      </c>
      <c r="F1438" s="11"/>
    </row>
    <row r="1439" spans="1:6" ht="16" x14ac:dyDescent="0.2">
      <c r="A1439" s="12" t="s">
        <v>5005</v>
      </c>
      <c r="B1439" s="13"/>
      <c r="C1439" t="e">
        <f t="shared" si="0"/>
        <v>#N/A</v>
      </c>
      <c r="D1439" t="b">
        <f t="shared" si="1"/>
        <v>0</v>
      </c>
      <c r="E1439">
        <f t="shared" si="2"/>
        <v>0</v>
      </c>
      <c r="F1439" s="11"/>
    </row>
    <row r="1440" spans="1:6" ht="16" x14ac:dyDescent="0.2">
      <c r="A1440" s="12" t="s">
        <v>5006</v>
      </c>
      <c r="B1440" s="13"/>
      <c r="C1440" t="e">
        <f t="shared" si="0"/>
        <v>#N/A</v>
      </c>
      <c r="D1440" t="b">
        <f t="shared" si="1"/>
        <v>0</v>
      </c>
      <c r="E1440">
        <f t="shared" si="2"/>
        <v>0</v>
      </c>
      <c r="F1440" s="11"/>
    </row>
    <row r="1441" spans="1:6" ht="16" x14ac:dyDescent="0.2">
      <c r="A1441" s="12" t="s">
        <v>5007</v>
      </c>
      <c r="B1441" s="13"/>
      <c r="C1441" t="e">
        <f t="shared" si="0"/>
        <v>#N/A</v>
      </c>
      <c r="D1441" t="b">
        <f t="shared" si="1"/>
        <v>0</v>
      </c>
      <c r="E1441">
        <f t="shared" si="2"/>
        <v>0</v>
      </c>
      <c r="F1441" s="11"/>
    </row>
    <row r="1442" spans="1:6" ht="16" x14ac:dyDescent="0.2">
      <c r="A1442" s="12" t="s">
        <v>5008</v>
      </c>
      <c r="B1442" s="13"/>
      <c r="C1442" t="e">
        <f t="shared" si="0"/>
        <v>#N/A</v>
      </c>
      <c r="D1442" t="b">
        <f t="shared" si="1"/>
        <v>0</v>
      </c>
      <c r="E1442">
        <f t="shared" si="2"/>
        <v>0</v>
      </c>
      <c r="F1442" s="11"/>
    </row>
    <row r="1443" spans="1:6" ht="16" x14ac:dyDescent="0.2">
      <c r="A1443" s="12" t="s">
        <v>5009</v>
      </c>
      <c r="B1443" s="13"/>
      <c r="C1443" t="e">
        <f t="shared" si="0"/>
        <v>#N/A</v>
      </c>
      <c r="D1443" t="b">
        <f t="shared" si="1"/>
        <v>0</v>
      </c>
      <c r="E1443">
        <f t="shared" si="2"/>
        <v>0</v>
      </c>
      <c r="F1443" s="11"/>
    </row>
    <row r="1444" spans="1:6" ht="16" x14ac:dyDescent="0.2">
      <c r="A1444" s="12" t="s">
        <v>5010</v>
      </c>
      <c r="B1444" s="13"/>
      <c r="C1444" t="e">
        <f t="shared" si="0"/>
        <v>#N/A</v>
      </c>
      <c r="D1444" t="b">
        <f t="shared" si="1"/>
        <v>0</v>
      </c>
      <c r="E1444">
        <f t="shared" si="2"/>
        <v>0</v>
      </c>
      <c r="F1444" s="11"/>
    </row>
    <row r="1445" spans="1:6" ht="16" x14ac:dyDescent="0.2">
      <c r="A1445" s="12" t="s">
        <v>5011</v>
      </c>
      <c r="B1445" s="13"/>
      <c r="C1445" t="e">
        <f t="shared" si="0"/>
        <v>#N/A</v>
      </c>
      <c r="D1445" t="b">
        <f t="shared" si="1"/>
        <v>0</v>
      </c>
      <c r="E1445">
        <f t="shared" si="2"/>
        <v>0</v>
      </c>
      <c r="F1445" s="11"/>
    </row>
    <row r="1446" spans="1:6" ht="16" x14ac:dyDescent="0.2">
      <c r="A1446" s="12" t="s">
        <v>5012</v>
      </c>
      <c r="B1446" s="13"/>
      <c r="C1446" t="e">
        <f t="shared" si="0"/>
        <v>#N/A</v>
      </c>
      <c r="D1446" t="b">
        <f t="shared" si="1"/>
        <v>0</v>
      </c>
      <c r="E1446">
        <f t="shared" si="2"/>
        <v>0</v>
      </c>
      <c r="F1446" s="11"/>
    </row>
    <row r="1447" spans="1:6" ht="16" x14ac:dyDescent="0.2">
      <c r="A1447" s="12" t="s">
        <v>5013</v>
      </c>
      <c r="B1447" s="13"/>
      <c r="C1447" t="e">
        <f t="shared" si="0"/>
        <v>#N/A</v>
      </c>
      <c r="D1447" t="b">
        <f t="shared" si="1"/>
        <v>0</v>
      </c>
      <c r="E1447">
        <f t="shared" si="2"/>
        <v>0</v>
      </c>
      <c r="F1447" s="11"/>
    </row>
    <row r="1448" spans="1:6" ht="16" x14ac:dyDescent="0.2">
      <c r="A1448" s="12" t="s">
        <v>5014</v>
      </c>
      <c r="B1448" s="13"/>
      <c r="C1448" t="e">
        <f t="shared" si="0"/>
        <v>#N/A</v>
      </c>
      <c r="D1448" t="b">
        <f t="shared" si="1"/>
        <v>0</v>
      </c>
      <c r="E1448">
        <f t="shared" si="2"/>
        <v>0</v>
      </c>
      <c r="F1448" s="11"/>
    </row>
    <row r="1449" spans="1:6" ht="16" x14ac:dyDescent="0.2">
      <c r="A1449" s="12" t="s">
        <v>5015</v>
      </c>
      <c r="B1449" s="13"/>
      <c r="C1449" t="e">
        <f t="shared" si="0"/>
        <v>#N/A</v>
      </c>
      <c r="D1449" t="b">
        <f t="shared" si="1"/>
        <v>0</v>
      </c>
      <c r="E1449">
        <f t="shared" si="2"/>
        <v>0</v>
      </c>
      <c r="F1449" s="11"/>
    </row>
    <row r="1450" spans="1:6" ht="16" x14ac:dyDescent="0.2">
      <c r="A1450" s="12" t="s">
        <v>5016</v>
      </c>
      <c r="B1450" s="13"/>
      <c r="C1450" t="e">
        <f t="shared" si="0"/>
        <v>#N/A</v>
      </c>
      <c r="D1450" t="b">
        <f t="shared" si="1"/>
        <v>0</v>
      </c>
      <c r="E1450">
        <f t="shared" si="2"/>
        <v>0</v>
      </c>
      <c r="F1450" s="11"/>
    </row>
    <row r="1451" spans="1:6" ht="16" x14ac:dyDescent="0.2">
      <c r="A1451" s="12" t="s">
        <v>5016</v>
      </c>
      <c r="B1451" s="13"/>
      <c r="C1451" t="e">
        <f t="shared" si="0"/>
        <v>#N/A</v>
      </c>
      <c r="D1451" t="b">
        <f t="shared" si="1"/>
        <v>0</v>
      </c>
      <c r="E1451">
        <f t="shared" si="2"/>
        <v>0</v>
      </c>
      <c r="F1451" s="11"/>
    </row>
    <row r="1452" spans="1:6" ht="16" x14ac:dyDescent="0.2">
      <c r="A1452" s="12" t="s">
        <v>5017</v>
      </c>
      <c r="B1452" s="13"/>
      <c r="C1452" t="e">
        <f t="shared" si="0"/>
        <v>#N/A</v>
      </c>
      <c r="D1452" t="b">
        <f t="shared" si="1"/>
        <v>0</v>
      </c>
      <c r="E1452">
        <f t="shared" si="2"/>
        <v>0</v>
      </c>
      <c r="F1452" s="11"/>
    </row>
    <row r="1453" spans="1:6" ht="16" x14ac:dyDescent="0.2">
      <c r="A1453" s="12" t="s">
        <v>5018</v>
      </c>
      <c r="B1453" s="13"/>
      <c r="C1453" t="e">
        <f t="shared" si="0"/>
        <v>#N/A</v>
      </c>
      <c r="D1453" t="b">
        <f t="shared" si="1"/>
        <v>0</v>
      </c>
      <c r="E1453">
        <f t="shared" si="2"/>
        <v>0</v>
      </c>
      <c r="F1453" s="11"/>
    </row>
    <row r="1454" spans="1:6" ht="16" x14ac:dyDescent="0.2">
      <c r="A1454" s="12" t="s">
        <v>5019</v>
      </c>
      <c r="B1454" s="13"/>
      <c r="C1454" t="e">
        <f t="shared" si="0"/>
        <v>#N/A</v>
      </c>
      <c r="D1454" t="b">
        <f t="shared" si="1"/>
        <v>0</v>
      </c>
      <c r="E1454">
        <f t="shared" si="2"/>
        <v>0</v>
      </c>
      <c r="F1454" s="11"/>
    </row>
    <row r="1455" spans="1:6" ht="16" x14ac:dyDescent="0.2">
      <c r="A1455" s="12" t="s">
        <v>5020</v>
      </c>
      <c r="B1455" s="13"/>
      <c r="C1455" t="e">
        <f t="shared" si="0"/>
        <v>#N/A</v>
      </c>
      <c r="D1455" t="b">
        <f t="shared" si="1"/>
        <v>0</v>
      </c>
      <c r="E1455">
        <f t="shared" si="2"/>
        <v>0</v>
      </c>
      <c r="F1455" s="11"/>
    </row>
    <row r="1456" spans="1:6" ht="16" x14ac:dyDescent="0.2">
      <c r="A1456" s="12" t="s">
        <v>5021</v>
      </c>
      <c r="B1456" s="13"/>
      <c r="C1456" t="e">
        <f t="shared" si="0"/>
        <v>#N/A</v>
      </c>
      <c r="D1456" t="b">
        <f t="shared" si="1"/>
        <v>0</v>
      </c>
      <c r="E1456">
        <f t="shared" si="2"/>
        <v>0</v>
      </c>
      <c r="F1456" s="11"/>
    </row>
    <row r="1457" spans="1:6" ht="16" x14ac:dyDescent="0.2">
      <c r="A1457" s="12" t="s">
        <v>5022</v>
      </c>
      <c r="B1457" s="13"/>
      <c r="C1457" t="e">
        <f t="shared" si="0"/>
        <v>#N/A</v>
      </c>
      <c r="D1457" t="b">
        <f t="shared" si="1"/>
        <v>0</v>
      </c>
      <c r="E1457">
        <f t="shared" si="2"/>
        <v>0</v>
      </c>
      <c r="F1457" s="11"/>
    </row>
    <row r="1458" spans="1:6" ht="16" x14ac:dyDescent="0.2">
      <c r="A1458" s="12" t="s">
        <v>5023</v>
      </c>
      <c r="B1458" s="13"/>
      <c r="C1458" t="e">
        <f t="shared" si="0"/>
        <v>#N/A</v>
      </c>
      <c r="D1458" t="b">
        <f t="shared" si="1"/>
        <v>0</v>
      </c>
      <c r="E1458">
        <f t="shared" si="2"/>
        <v>0</v>
      </c>
      <c r="F1458" s="11"/>
    </row>
    <row r="1459" spans="1:6" ht="16" x14ac:dyDescent="0.2">
      <c r="A1459" s="12" t="s">
        <v>5024</v>
      </c>
      <c r="B1459" s="13"/>
      <c r="C1459" t="e">
        <f t="shared" si="0"/>
        <v>#N/A</v>
      </c>
      <c r="D1459" t="b">
        <f t="shared" si="1"/>
        <v>0</v>
      </c>
      <c r="E1459">
        <f t="shared" si="2"/>
        <v>0</v>
      </c>
      <c r="F1459" s="11"/>
    </row>
    <row r="1460" spans="1:6" ht="16" x14ac:dyDescent="0.2">
      <c r="A1460" s="12" t="s">
        <v>5025</v>
      </c>
      <c r="B1460" s="13"/>
      <c r="C1460" t="e">
        <f t="shared" si="0"/>
        <v>#N/A</v>
      </c>
      <c r="D1460" t="b">
        <f t="shared" si="1"/>
        <v>0</v>
      </c>
      <c r="E1460">
        <f t="shared" si="2"/>
        <v>0</v>
      </c>
      <c r="F1460" s="11"/>
    </row>
    <row r="1461" spans="1:6" ht="16" x14ac:dyDescent="0.2">
      <c r="A1461" s="12" t="s">
        <v>5026</v>
      </c>
      <c r="B1461" s="13"/>
      <c r="C1461" t="e">
        <f t="shared" si="0"/>
        <v>#N/A</v>
      </c>
      <c r="D1461" t="b">
        <f t="shared" si="1"/>
        <v>0</v>
      </c>
      <c r="E1461">
        <f t="shared" si="2"/>
        <v>0</v>
      </c>
      <c r="F1461" s="11"/>
    </row>
    <row r="1462" spans="1:6" ht="16" x14ac:dyDescent="0.2">
      <c r="A1462" s="12" t="s">
        <v>5027</v>
      </c>
      <c r="B1462" s="13"/>
      <c r="C1462" t="e">
        <f t="shared" si="0"/>
        <v>#N/A</v>
      </c>
      <c r="D1462" t="b">
        <f t="shared" si="1"/>
        <v>0</v>
      </c>
      <c r="E1462">
        <f t="shared" si="2"/>
        <v>0</v>
      </c>
      <c r="F1462" s="11"/>
    </row>
    <row r="1463" spans="1:6" ht="16" x14ac:dyDescent="0.2">
      <c r="A1463" s="12" t="s">
        <v>5028</v>
      </c>
      <c r="B1463" s="13"/>
      <c r="C1463" t="e">
        <f t="shared" si="0"/>
        <v>#N/A</v>
      </c>
      <c r="D1463" t="b">
        <f t="shared" si="1"/>
        <v>0</v>
      </c>
      <c r="E1463">
        <f t="shared" si="2"/>
        <v>0</v>
      </c>
      <c r="F1463" s="11"/>
    </row>
    <row r="1464" spans="1:6" ht="16" x14ac:dyDescent="0.2">
      <c r="A1464" s="12" t="s">
        <v>5029</v>
      </c>
      <c r="B1464" s="13"/>
      <c r="C1464" t="e">
        <f t="shared" si="0"/>
        <v>#N/A</v>
      </c>
      <c r="D1464" t="b">
        <f t="shared" si="1"/>
        <v>0</v>
      </c>
      <c r="E1464">
        <f t="shared" si="2"/>
        <v>0</v>
      </c>
      <c r="F1464" s="11"/>
    </row>
    <row r="1465" spans="1:6" ht="16" x14ac:dyDescent="0.2">
      <c r="A1465" s="12" t="s">
        <v>5030</v>
      </c>
      <c r="B1465" s="13"/>
      <c r="C1465" t="e">
        <f t="shared" si="0"/>
        <v>#N/A</v>
      </c>
      <c r="D1465" t="b">
        <f t="shared" si="1"/>
        <v>0</v>
      </c>
      <c r="E1465">
        <f t="shared" si="2"/>
        <v>0</v>
      </c>
      <c r="F1465" s="11"/>
    </row>
    <row r="1466" spans="1:6" ht="16" x14ac:dyDescent="0.2">
      <c r="A1466" s="12" t="s">
        <v>5031</v>
      </c>
      <c r="B1466" s="13"/>
      <c r="C1466" t="e">
        <f t="shared" si="0"/>
        <v>#N/A</v>
      </c>
      <c r="D1466" t="b">
        <f t="shared" si="1"/>
        <v>0</v>
      </c>
      <c r="E1466">
        <f t="shared" si="2"/>
        <v>0</v>
      </c>
      <c r="F1466" s="11"/>
    </row>
    <row r="1467" spans="1:6" ht="16" x14ac:dyDescent="0.2">
      <c r="A1467" s="12" t="s">
        <v>5032</v>
      </c>
      <c r="B1467" s="13"/>
      <c r="C1467" t="e">
        <f t="shared" si="0"/>
        <v>#N/A</v>
      </c>
      <c r="D1467" t="b">
        <f t="shared" si="1"/>
        <v>0</v>
      </c>
      <c r="E1467">
        <f t="shared" si="2"/>
        <v>0</v>
      </c>
      <c r="F1467" s="11"/>
    </row>
    <row r="1468" spans="1:6" ht="16" x14ac:dyDescent="0.2">
      <c r="A1468" s="12" t="s">
        <v>5033</v>
      </c>
      <c r="B1468" s="13"/>
      <c r="C1468" t="e">
        <f t="shared" si="0"/>
        <v>#N/A</v>
      </c>
      <c r="D1468" t="b">
        <f t="shared" si="1"/>
        <v>0</v>
      </c>
      <c r="E1468">
        <f t="shared" si="2"/>
        <v>0</v>
      </c>
      <c r="F1468" s="11"/>
    </row>
    <row r="1469" spans="1:6" ht="16" x14ac:dyDescent="0.2">
      <c r="A1469" s="12" t="s">
        <v>5034</v>
      </c>
      <c r="B1469" s="13"/>
      <c r="C1469" t="e">
        <f t="shared" si="0"/>
        <v>#N/A</v>
      </c>
      <c r="D1469" t="b">
        <f t="shared" si="1"/>
        <v>0</v>
      </c>
      <c r="E1469">
        <f t="shared" si="2"/>
        <v>0</v>
      </c>
      <c r="F1469" s="11"/>
    </row>
    <row r="1470" spans="1:6" ht="16" x14ac:dyDescent="0.2">
      <c r="A1470" s="12" t="s">
        <v>5035</v>
      </c>
      <c r="B1470" s="13"/>
      <c r="C1470" t="e">
        <f t="shared" si="0"/>
        <v>#N/A</v>
      </c>
      <c r="D1470" t="b">
        <f t="shared" si="1"/>
        <v>0</v>
      </c>
      <c r="E1470">
        <f t="shared" si="2"/>
        <v>0</v>
      </c>
      <c r="F1470" s="11"/>
    </row>
    <row r="1471" spans="1:6" ht="16" x14ac:dyDescent="0.2">
      <c r="A1471" s="12" t="s">
        <v>5036</v>
      </c>
      <c r="B1471" s="13"/>
      <c r="C1471" t="e">
        <f t="shared" si="0"/>
        <v>#N/A</v>
      </c>
      <c r="D1471" t="b">
        <f t="shared" si="1"/>
        <v>0</v>
      </c>
      <c r="E1471">
        <f t="shared" si="2"/>
        <v>0</v>
      </c>
      <c r="F1471" s="11"/>
    </row>
    <row r="1472" spans="1:6" ht="16" x14ac:dyDescent="0.2">
      <c r="A1472" s="12" t="s">
        <v>5037</v>
      </c>
      <c r="B1472" s="13"/>
      <c r="C1472" t="e">
        <f t="shared" si="0"/>
        <v>#N/A</v>
      </c>
      <c r="D1472" t="b">
        <f t="shared" si="1"/>
        <v>0</v>
      </c>
      <c r="E1472">
        <f t="shared" si="2"/>
        <v>0</v>
      </c>
      <c r="F1472" s="11"/>
    </row>
    <row r="1473" spans="1:6" ht="16" x14ac:dyDescent="0.2">
      <c r="A1473" s="12" t="s">
        <v>5038</v>
      </c>
      <c r="B1473" s="13"/>
      <c r="C1473" t="e">
        <f t="shared" si="0"/>
        <v>#N/A</v>
      </c>
      <c r="D1473" t="b">
        <f t="shared" si="1"/>
        <v>0</v>
      </c>
      <c r="E1473">
        <f t="shared" si="2"/>
        <v>0</v>
      </c>
      <c r="F1473" s="11"/>
    </row>
    <row r="1474" spans="1:6" ht="16" x14ac:dyDescent="0.2">
      <c r="A1474" s="12" t="s">
        <v>5039</v>
      </c>
      <c r="B1474" s="13"/>
      <c r="C1474" t="e">
        <f t="shared" si="0"/>
        <v>#N/A</v>
      </c>
      <c r="D1474" t="b">
        <f t="shared" si="1"/>
        <v>0</v>
      </c>
      <c r="E1474">
        <f t="shared" si="2"/>
        <v>0</v>
      </c>
      <c r="F1474" s="11"/>
    </row>
    <row r="1475" spans="1:6" ht="16" x14ac:dyDescent="0.2">
      <c r="A1475" s="12" t="s">
        <v>5040</v>
      </c>
      <c r="B1475" s="13"/>
      <c r="C1475" t="e">
        <f t="shared" si="0"/>
        <v>#N/A</v>
      </c>
      <c r="D1475" t="b">
        <f t="shared" si="1"/>
        <v>0</v>
      </c>
      <c r="E1475">
        <f t="shared" si="2"/>
        <v>0</v>
      </c>
      <c r="F1475" s="11"/>
    </row>
    <row r="1476" spans="1:6" ht="16" x14ac:dyDescent="0.2">
      <c r="A1476" s="12" t="s">
        <v>5041</v>
      </c>
      <c r="B1476" s="13"/>
      <c r="C1476" t="e">
        <f t="shared" si="0"/>
        <v>#N/A</v>
      </c>
      <c r="D1476" t="b">
        <f t="shared" si="1"/>
        <v>0</v>
      </c>
      <c r="E1476">
        <f t="shared" si="2"/>
        <v>0</v>
      </c>
      <c r="F1476" s="11"/>
    </row>
    <row r="1477" spans="1:6" ht="16" x14ac:dyDescent="0.2">
      <c r="A1477" s="12" t="s">
        <v>5042</v>
      </c>
      <c r="B1477" s="13"/>
      <c r="C1477" t="e">
        <f t="shared" si="0"/>
        <v>#N/A</v>
      </c>
      <c r="D1477" t="b">
        <f t="shared" si="1"/>
        <v>0</v>
      </c>
      <c r="E1477">
        <f t="shared" si="2"/>
        <v>0</v>
      </c>
      <c r="F1477" s="11"/>
    </row>
    <row r="1478" spans="1:6" ht="16" x14ac:dyDescent="0.2">
      <c r="A1478" s="12" t="s">
        <v>5043</v>
      </c>
      <c r="B1478" s="13"/>
      <c r="C1478" t="e">
        <f t="shared" si="0"/>
        <v>#N/A</v>
      </c>
      <c r="D1478" t="b">
        <f t="shared" si="1"/>
        <v>0</v>
      </c>
      <c r="E1478">
        <f t="shared" si="2"/>
        <v>0</v>
      </c>
      <c r="F1478" s="11"/>
    </row>
    <row r="1479" spans="1:6" ht="16" x14ac:dyDescent="0.2">
      <c r="A1479" s="12" t="s">
        <v>5044</v>
      </c>
      <c r="B1479" s="13"/>
      <c r="C1479" t="e">
        <f t="shared" si="0"/>
        <v>#N/A</v>
      </c>
      <c r="D1479" t="b">
        <f t="shared" si="1"/>
        <v>0</v>
      </c>
      <c r="E1479">
        <f t="shared" si="2"/>
        <v>0</v>
      </c>
      <c r="F1479" s="11"/>
    </row>
    <row r="1480" spans="1:6" ht="16" x14ac:dyDescent="0.2">
      <c r="A1480" s="12" t="s">
        <v>5045</v>
      </c>
      <c r="B1480" s="13"/>
      <c r="C1480" t="e">
        <f t="shared" si="0"/>
        <v>#N/A</v>
      </c>
      <c r="D1480" t="b">
        <f t="shared" si="1"/>
        <v>0</v>
      </c>
      <c r="E1480">
        <f t="shared" si="2"/>
        <v>0</v>
      </c>
      <c r="F1480" s="11"/>
    </row>
    <row r="1481" spans="1:6" ht="16" x14ac:dyDescent="0.2">
      <c r="A1481" s="12" t="s">
        <v>5046</v>
      </c>
      <c r="B1481" s="13"/>
      <c r="C1481" t="e">
        <f t="shared" si="0"/>
        <v>#N/A</v>
      </c>
      <c r="D1481" t="b">
        <f t="shared" si="1"/>
        <v>0</v>
      </c>
      <c r="E1481">
        <f t="shared" si="2"/>
        <v>0</v>
      </c>
      <c r="F1481" s="11"/>
    </row>
    <row r="1482" spans="1:6" ht="16" x14ac:dyDescent="0.2">
      <c r="A1482" s="12" t="s">
        <v>5047</v>
      </c>
      <c r="B1482" s="13"/>
      <c r="C1482" t="e">
        <f t="shared" si="0"/>
        <v>#N/A</v>
      </c>
      <c r="D1482" t="b">
        <f t="shared" si="1"/>
        <v>0</v>
      </c>
      <c r="E1482">
        <f t="shared" si="2"/>
        <v>0</v>
      </c>
      <c r="F1482" s="11"/>
    </row>
    <row r="1483" spans="1:6" ht="16" x14ac:dyDescent="0.2">
      <c r="A1483" s="12" t="s">
        <v>5048</v>
      </c>
      <c r="B1483" s="13"/>
      <c r="C1483" t="e">
        <f t="shared" si="0"/>
        <v>#N/A</v>
      </c>
      <c r="D1483" t="b">
        <f t="shared" si="1"/>
        <v>0</v>
      </c>
      <c r="E1483">
        <f t="shared" si="2"/>
        <v>0</v>
      </c>
      <c r="F1483" s="11"/>
    </row>
    <row r="1484" spans="1:6" ht="16" x14ac:dyDescent="0.2">
      <c r="A1484" s="12" t="s">
        <v>5049</v>
      </c>
      <c r="B1484" s="13"/>
      <c r="C1484" t="e">
        <f t="shared" si="0"/>
        <v>#N/A</v>
      </c>
      <c r="D1484" t="b">
        <f t="shared" si="1"/>
        <v>0</v>
      </c>
      <c r="E1484">
        <f t="shared" si="2"/>
        <v>0</v>
      </c>
      <c r="F1484" s="11"/>
    </row>
    <row r="1485" spans="1:6" ht="16" x14ac:dyDescent="0.2">
      <c r="A1485" s="12" t="s">
        <v>5050</v>
      </c>
      <c r="B1485" s="13"/>
      <c r="C1485" t="e">
        <f t="shared" si="0"/>
        <v>#N/A</v>
      </c>
      <c r="D1485" t="b">
        <f t="shared" si="1"/>
        <v>0</v>
      </c>
      <c r="E1485">
        <f t="shared" si="2"/>
        <v>0</v>
      </c>
      <c r="F1485" s="11"/>
    </row>
    <row r="1486" spans="1:6" ht="16" x14ac:dyDescent="0.2">
      <c r="A1486" s="12" t="s">
        <v>5051</v>
      </c>
      <c r="B1486" s="13"/>
      <c r="C1486" t="e">
        <f t="shared" si="0"/>
        <v>#N/A</v>
      </c>
      <c r="D1486" t="b">
        <f t="shared" si="1"/>
        <v>0</v>
      </c>
      <c r="E1486">
        <f t="shared" si="2"/>
        <v>0</v>
      </c>
      <c r="F1486" s="11"/>
    </row>
    <row r="1487" spans="1:6" ht="16" x14ac:dyDescent="0.2">
      <c r="A1487" s="12" t="s">
        <v>5052</v>
      </c>
      <c r="B1487" s="13"/>
      <c r="C1487" t="e">
        <f t="shared" si="0"/>
        <v>#N/A</v>
      </c>
      <c r="D1487" t="b">
        <f t="shared" si="1"/>
        <v>0</v>
      </c>
      <c r="E1487">
        <f t="shared" si="2"/>
        <v>0</v>
      </c>
      <c r="F1487" s="11"/>
    </row>
    <row r="1488" spans="1:6" ht="16" x14ac:dyDescent="0.2">
      <c r="A1488" s="12" t="s">
        <v>5053</v>
      </c>
      <c r="B1488" s="13"/>
      <c r="C1488" t="e">
        <f t="shared" si="0"/>
        <v>#N/A</v>
      </c>
      <c r="D1488" t="b">
        <f t="shared" si="1"/>
        <v>0</v>
      </c>
      <c r="E1488">
        <f t="shared" si="2"/>
        <v>0</v>
      </c>
      <c r="F1488" s="11"/>
    </row>
    <row r="1489" spans="1:6" ht="16" x14ac:dyDescent="0.2">
      <c r="A1489" s="12" t="s">
        <v>5054</v>
      </c>
      <c r="B1489" s="13"/>
      <c r="C1489" t="e">
        <f t="shared" si="0"/>
        <v>#N/A</v>
      </c>
      <c r="D1489" t="b">
        <f t="shared" si="1"/>
        <v>0</v>
      </c>
      <c r="E1489">
        <f t="shared" si="2"/>
        <v>0</v>
      </c>
      <c r="F1489" s="11"/>
    </row>
    <row r="1490" spans="1:6" ht="16" x14ac:dyDescent="0.2">
      <c r="A1490" s="12" t="s">
        <v>5055</v>
      </c>
      <c r="B1490" s="13"/>
      <c r="C1490" t="e">
        <f t="shared" si="0"/>
        <v>#N/A</v>
      </c>
      <c r="D1490" t="b">
        <f t="shared" si="1"/>
        <v>0</v>
      </c>
      <c r="E1490">
        <f t="shared" si="2"/>
        <v>0</v>
      </c>
      <c r="F1490" s="11"/>
    </row>
    <row r="1491" spans="1:6" ht="16" x14ac:dyDescent="0.2">
      <c r="A1491" s="12" t="s">
        <v>5056</v>
      </c>
      <c r="B1491" s="13"/>
      <c r="C1491" t="e">
        <f t="shared" si="0"/>
        <v>#N/A</v>
      </c>
      <c r="D1491" t="b">
        <f t="shared" si="1"/>
        <v>0</v>
      </c>
      <c r="E1491">
        <f t="shared" si="2"/>
        <v>0</v>
      </c>
      <c r="F1491" s="11"/>
    </row>
    <row r="1492" spans="1:6" ht="16" x14ac:dyDescent="0.2">
      <c r="A1492" s="12" t="s">
        <v>5057</v>
      </c>
      <c r="B1492" s="13"/>
      <c r="C1492" t="e">
        <f t="shared" si="0"/>
        <v>#N/A</v>
      </c>
      <c r="D1492" t="b">
        <f t="shared" si="1"/>
        <v>0</v>
      </c>
      <c r="E1492">
        <f t="shared" si="2"/>
        <v>0</v>
      </c>
      <c r="F1492" s="11"/>
    </row>
    <row r="1493" spans="1:6" ht="16" x14ac:dyDescent="0.2">
      <c r="A1493" s="12" t="s">
        <v>5058</v>
      </c>
      <c r="B1493" s="13"/>
      <c r="C1493" t="e">
        <f t="shared" si="0"/>
        <v>#N/A</v>
      </c>
      <c r="D1493" t="b">
        <f t="shared" si="1"/>
        <v>0</v>
      </c>
      <c r="E1493">
        <f t="shared" si="2"/>
        <v>0</v>
      </c>
      <c r="F1493" s="11"/>
    </row>
    <row r="1494" spans="1:6" ht="16" x14ac:dyDescent="0.2">
      <c r="A1494" s="12" t="s">
        <v>5059</v>
      </c>
      <c r="B1494" s="13"/>
      <c r="C1494" t="e">
        <f t="shared" si="0"/>
        <v>#N/A</v>
      </c>
      <c r="D1494" t="b">
        <f t="shared" si="1"/>
        <v>0</v>
      </c>
      <c r="E1494">
        <f t="shared" si="2"/>
        <v>0</v>
      </c>
      <c r="F1494" s="11"/>
    </row>
    <row r="1495" spans="1:6" ht="16" x14ac:dyDescent="0.2">
      <c r="A1495" s="12" t="s">
        <v>5060</v>
      </c>
      <c r="B1495" s="13"/>
      <c r="C1495" t="e">
        <f t="shared" si="0"/>
        <v>#N/A</v>
      </c>
      <c r="D1495" t="b">
        <f t="shared" si="1"/>
        <v>0</v>
      </c>
      <c r="E1495">
        <f t="shared" si="2"/>
        <v>0</v>
      </c>
      <c r="F1495" s="11"/>
    </row>
    <row r="1496" spans="1:6" ht="16" x14ac:dyDescent="0.2">
      <c r="A1496" s="12" t="s">
        <v>5061</v>
      </c>
      <c r="B1496" s="13"/>
      <c r="C1496" t="e">
        <f t="shared" si="0"/>
        <v>#N/A</v>
      </c>
      <c r="D1496" t="b">
        <f t="shared" si="1"/>
        <v>0</v>
      </c>
      <c r="E1496">
        <f t="shared" si="2"/>
        <v>0</v>
      </c>
      <c r="F1496" s="11"/>
    </row>
    <row r="1497" spans="1:6" ht="16" x14ac:dyDescent="0.2">
      <c r="A1497" s="12" t="s">
        <v>5062</v>
      </c>
      <c r="B1497" s="13"/>
      <c r="C1497" t="e">
        <f t="shared" si="0"/>
        <v>#N/A</v>
      </c>
      <c r="D1497" t="b">
        <f t="shared" si="1"/>
        <v>0</v>
      </c>
      <c r="E1497">
        <f t="shared" si="2"/>
        <v>0</v>
      </c>
      <c r="F1497" s="11"/>
    </row>
    <row r="1498" spans="1:6" ht="16" x14ac:dyDescent="0.2">
      <c r="A1498" s="12" t="s">
        <v>5063</v>
      </c>
      <c r="B1498" s="13"/>
      <c r="C1498" t="e">
        <f t="shared" si="0"/>
        <v>#N/A</v>
      </c>
      <c r="D1498" t="b">
        <f t="shared" si="1"/>
        <v>0</v>
      </c>
      <c r="E1498">
        <f t="shared" si="2"/>
        <v>0</v>
      </c>
      <c r="F1498" s="11"/>
    </row>
    <row r="1499" spans="1:6" ht="16" x14ac:dyDescent="0.2">
      <c r="A1499" s="12" t="s">
        <v>5064</v>
      </c>
      <c r="B1499" s="13"/>
      <c r="C1499" t="e">
        <f t="shared" si="0"/>
        <v>#N/A</v>
      </c>
      <c r="D1499" t="b">
        <f t="shared" si="1"/>
        <v>0</v>
      </c>
      <c r="E1499">
        <f t="shared" si="2"/>
        <v>0</v>
      </c>
      <c r="F1499" s="11"/>
    </row>
    <row r="1500" spans="1:6" ht="16" x14ac:dyDescent="0.2">
      <c r="A1500" s="12" t="s">
        <v>5064</v>
      </c>
      <c r="B1500" s="13"/>
      <c r="C1500" t="e">
        <f t="shared" si="0"/>
        <v>#N/A</v>
      </c>
      <c r="D1500" t="b">
        <f t="shared" si="1"/>
        <v>0</v>
      </c>
      <c r="E1500">
        <f t="shared" si="2"/>
        <v>0</v>
      </c>
      <c r="F1500" s="11"/>
    </row>
    <row r="1501" spans="1:6" ht="16" x14ac:dyDescent="0.2">
      <c r="A1501" s="12" t="s">
        <v>5065</v>
      </c>
      <c r="B1501" s="13"/>
      <c r="C1501" t="e">
        <f t="shared" si="0"/>
        <v>#N/A</v>
      </c>
      <c r="D1501" t="b">
        <f t="shared" si="1"/>
        <v>0</v>
      </c>
      <c r="E1501">
        <f t="shared" si="2"/>
        <v>0</v>
      </c>
      <c r="F1501" s="11"/>
    </row>
    <row r="1502" spans="1:6" ht="16" x14ac:dyDescent="0.2">
      <c r="A1502" s="12" t="s">
        <v>5066</v>
      </c>
      <c r="B1502" s="13"/>
      <c r="C1502" t="e">
        <f t="shared" si="0"/>
        <v>#N/A</v>
      </c>
      <c r="D1502" t="b">
        <f t="shared" si="1"/>
        <v>0</v>
      </c>
      <c r="E1502">
        <f t="shared" si="2"/>
        <v>0</v>
      </c>
      <c r="F1502" s="11"/>
    </row>
    <row r="1503" spans="1:6" ht="16" x14ac:dyDescent="0.2">
      <c r="A1503" s="12" t="s">
        <v>5067</v>
      </c>
      <c r="B1503" s="13"/>
      <c r="C1503" t="e">
        <f t="shared" si="0"/>
        <v>#N/A</v>
      </c>
      <c r="D1503" t="b">
        <f t="shared" si="1"/>
        <v>0</v>
      </c>
      <c r="E1503">
        <f t="shared" si="2"/>
        <v>0</v>
      </c>
      <c r="F1503" s="11"/>
    </row>
    <row r="1504" spans="1:6" ht="16" x14ac:dyDescent="0.2">
      <c r="A1504" s="12" t="s">
        <v>5068</v>
      </c>
      <c r="B1504" s="13"/>
      <c r="C1504" t="e">
        <f t="shared" si="0"/>
        <v>#N/A</v>
      </c>
      <c r="D1504" t="b">
        <f t="shared" si="1"/>
        <v>0</v>
      </c>
      <c r="E1504">
        <f t="shared" si="2"/>
        <v>0</v>
      </c>
      <c r="F1504" s="11"/>
    </row>
    <row r="1505" spans="1:6" ht="16" x14ac:dyDescent="0.2">
      <c r="A1505" s="12" t="s">
        <v>5069</v>
      </c>
      <c r="B1505" s="13"/>
      <c r="C1505" t="e">
        <f t="shared" si="0"/>
        <v>#N/A</v>
      </c>
      <c r="D1505" t="b">
        <f t="shared" si="1"/>
        <v>0</v>
      </c>
      <c r="E1505">
        <f t="shared" si="2"/>
        <v>0</v>
      </c>
      <c r="F1505" s="11"/>
    </row>
    <row r="1506" spans="1:6" ht="16" x14ac:dyDescent="0.2">
      <c r="A1506" s="12" t="s">
        <v>5070</v>
      </c>
      <c r="B1506" s="13"/>
      <c r="C1506" t="e">
        <f t="shared" si="0"/>
        <v>#N/A</v>
      </c>
      <c r="D1506" t="b">
        <f t="shared" si="1"/>
        <v>0</v>
      </c>
      <c r="E1506">
        <f t="shared" si="2"/>
        <v>0</v>
      </c>
      <c r="F1506" s="11"/>
    </row>
    <row r="1507" spans="1:6" ht="16" x14ac:dyDescent="0.2">
      <c r="A1507" s="12" t="s">
        <v>5071</v>
      </c>
      <c r="B1507" s="13"/>
      <c r="C1507" t="e">
        <f t="shared" si="0"/>
        <v>#N/A</v>
      </c>
      <c r="D1507" t="b">
        <f t="shared" si="1"/>
        <v>0</v>
      </c>
      <c r="E1507">
        <f t="shared" si="2"/>
        <v>0</v>
      </c>
      <c r="F1507" s="11"/>
    </row>
    <row r="1508" spans="1:6" ht="16" x14ac:dyDescent="0.2">
      <c r="A1508" s="12" t="s">
        <v>5072</v>
      </c>
      <c r="B1508" s="13"/>
      <c r="C1508" t="e">
        <f t="shared" si="0"/>
        <v>#N/A</v>
      </c>
      <c r="D1508" t="b">
        <f t="shared" si="1"/>
        <v>0</v>
      </c>
      <c r="E1508">
        <f t="shared" si="2"/>
        <v>0</v>
      </c>
      <c r="F1508" s="11"/>
    </row>
    <row r="1509" spans="1:6" ht="16" x14ac:dyDescent="0.2">
      <c r="A1509" s="12" t="s">
        <v>5073</v>
      </c>
      <c r="B1509" s="13"/>
      <c r="C1509" t="e">
        <f t="shared" si="0"/>
        <v>#N/A</v>
      </c>
      <c r="D1509" t="b">
        <f t="shared" si="1"/>
        <v>0</v>
      </c>
      <c r="E1509">
        <f t="shared" si="2"/>
        <v>0</v>
      </c>
      <c r="F1509" s="11"/>
    </row>
    <row r="1510" spans="1:6" ht="16" x14ac:dyDescent="0.2">
      <c r="A1510" s="12" t="s">
        <v>5074</v>
      </c>
      <c r="B1510" s="13"/>
      <c r="C1510" t="e">
        <f t="shared" si="0"/>
        <v>#N/A</v>
      </c>
      <c r="D1510" t="b">
        <f t="shared" si="1"/>
        <v>0</v>
      </c>
      <c r="E1510">
        <f t="shared" si="2"/>
        <v>0</v>
      </c>
      <c r="F1510" s="11"/>
    </row>
    <row r="1511" spans="1:6" ht="16" x14ac:dyDescent="0.2">
      <c r="A1511" s="12" t="s">
        <v>5075</v>
      </c>
      <c r="B1511" s="13"/>
      <c r="C1511" t="e">
        <f t="shared" si="0"/>
        <v>#N/A</v>
      </c>
      <c r="D1511" t="b">
        <f t="shared" si="1"/>
        <v>0</v>
      </c>
      <c r="E1511">
        <f t="shared" si="2"/>
        <v>0</v>
      </c>
      <c r="F1511" s="11"/>
    </row>
    <row r="1512" spans="1:6" ht="16" x14ac:dyDescent="0.2">
      <c r="A1512" s="12" t="s">
        <v>5076</v>
      </c>
      <c r="B1512" s="13"/>
      <c r="C1512" t="e">
        <f t="shared" si="0"/>
        <v>#N/A</v>
      </c>
      <c r="D1512" t="b">
        <f t="shared" si="1"/>
        <v>0</v>
      </c>
      <c r="E1512">
        <f t="shared" si="2"/>
        <v>0</v>
      </c>
      <c r="F1512" s="11"/>
    </row>
    <row r="1513" spans="1:6" ht="16" x14ac:dyDescent="0.2">
      <c r="A1513" s="12" t="s">
        <v>5077</v>
      </c>
      <c r="B1513" s="13"/>
      <c r="C1513" t="e">
        <f t="shared" si="0"/>
        <v>#N/A</v>
      </c>
      <c r="D1513" t="b">
        <f t="shared" si="1"/>
        <v>0</v>
      </c>
      <c r="E1513">
        <f t="shared" si="2"/>
        <v>0</v>
      </c>
      <c r="F1513" s="11"/>
    </row>
    <row r="1514" spans="1:6" ht="16" x14ac:dyDescent="0.2">
      <c r="A1514" s="12" t="s">
        <v>5078</v>
      </c>
      <c r="B1514" s="13"/>
      <c r="C1514" t="e">
        <f t="shared" si="0"/>
        <v>#N/A</v>
      </c>
      <c r="D1514" t="b">
        <f t="shared" si="1"/>
        <v>0</v>
      </c>
      <c r="E1514">
        <f t="shared" si="2"/>
        <v>0</v>
      </c>
      <c r="F1514" s="11"/>
    </row>
    <row r="1515" spans="1:6" ht="16" x14ac:dyDescent="0.2">
      <c r="A1515" s="12" t="s">
        <v>5079</v>
      </c>
      <c r="B1515" s="13"/>
      <c r="C1515" t="e">
        <f t="shared" si="0"/>
        <v>#N/A</v>
      </c>
      <c r="D1515" t="b">
        <f t="shared" si="1"/>
        <v>0</v>
      </c>
      <c r="E1515">
        <f t="shared" si="2"/>
        <v>0</v>
      </c>
      <c r="F1515" s="11"/>
    </row>
    <row r="1516" spans="1:6" ht="16" x14ac:dyDescent="0.2">
      <c r="A1516" s="12" t="s">
        <v>5080</v>
      </c>
      <c r="B1516" s="13"/>
      <c r="C1516" t="e">
        <f t="shared" si="0"/>
        <v>#N/A</v>
      </c>
      <c r="D1516" t="b">
        <f t="shared" si="1"/>
        <v>0</v>
      </c>
      <c r="E1516">
        <f t="shared" si="2"/>
        <v>0</v>
      </c>
      <c r="F1516" s="11"/>
    </row>
    <row r="1517" spans="1:6" ht="16" x14ac:dyDescent="0.2">
      <c r="A1517" s="12" t="s">
        <v>5081</v>
      </c>
      <c r="B1517" s="13"/>
      <c r="C1517" t="e">
        <f t="shared" si="0"/>
        <v>#N/A</v>
      </c>
      <c r="D1517" t="b">
        <f t="shared" si="1"/>
        <v>0</v>
      </c>
      <c r="E1517">
        <f t="shared" si="2"/>
        <v>0</v>
      </c>
      <c r="F1517" s="11"/>
    </row>
    <row r="1518" spans="1:6" ht="16" x14ac:dyDescent="0.2">
      <c r="A1518" s="12" t="s">
        <v>5082</v>
      </c>
      <c r="B1518" s="13"/>
      <c r="C1518" t="e">
        <f t="shared" si="0"/>
        <v>#N/A</v>
      </c>
      <c r="D1518" t="b">
        <f t="shared" si="1"/>
        <v>0</v>
      </c>
      <c r="E1518">
        <f t="shared" si="2"/>
        <v>0</v>
      </c>
      <c r="F1518" s="11"/>
    </row>
    <row r="1519" spans="1:6" ht="16" x14ac:dyDescent="0.2">
      <c r="A1519" s="12" t="s">
        <v>5083</v>
      </c>
      <c r="B1519" s="13"/>
      <c r="C1519" t="e">
        <f t="shared" si="0"/>
        <v>#N/A</v>
      </c>
      <c r="D1519" t="b">
        <f t="shared" si="1"/>
        <v>0</v>
      </c>
      <c r="E1519">
        <f t="shared" si="2"/>
        <v>0</v>
      </c>
      <c r="F1519" s="11"/>
    </row>
    <row r="1520" spans="1:6" ht="16" x14ac:dyDescent="0.2">
      <c r="A1520" s="12" t="s">
        <v>5084</v>
      </c>
      <c r="B1520" s="13"/>
      <c r="C1520" t="e">
        <f t="shared" si="0"/>
        <v>#N/A</v>
      </c>
      <c r="D1520" t="b">
        <f t="shared" si="1"/>
        <v>0</v>
      </c>
      <c r="E1520">
        <f t="shared" si="2"/>
        <v>0</v>
      </c>
      <c r="F1520" s="11"/>
    </row>
    <row r="1521" spans="1:6" ht="16" x14ac:dyDescent="0.2">
      <c r="A1521" s="12" t="s">
        <v>5085</v>
      </c>
      <c r="B1521" s="13"/>
      <c r="C1521" t="e">
        <f t="shared" si="0"/>
        <v>#N/A</v>
      </c>
      <c r="D1521" t="b">
        <f t="shared" si="1"/>
        <v>0</v>
      </c>
      <c r="E1521">
        <f t="shared" si="2"/>
        <v>0</v>
      </c>
      <c r="F1521" s="11"/>
    </row>
    <row r="1522" spans="1:6" ht="16" x14ac:dyDescent="0.2">
      <c r="A1522" s="12" t="s">
        <v>5086</v>
      </c>
      <c r="B1522" s="13"/>
      <c r="C1522" t="e">
        <f t="shared" si="0"/>
        <v>#N/A</v>
      </c>
      <c r="D1522" t="b">
        <f t="shared" si="1"/>
        <v>0</v>
      </c>
      <c r="E1522">
        <f t="shared" si="2"/>
        <v>0</v>
      </c>
      <c r="F1522" s="11"/>
    </row>
    <row r="1523" spans="1:6" ht="16" x14ac:dyDescent="0.2">
      <c r="A1523" s="12" t="s">
        <v>5087</v>
      </c>
      <c r="B1523" s="13"/>
      <c r="C1523" t="e">
        <f t="shared" si="0"/>
        <v>#N/A</v>
      </c>
      <c r="D1523" t="b">
        <f t="shared" si="1"/>
        <v>0</v>
      </c>
      <c r="E1523">
        <f t="shared" si="2"/>
        <v>0</v>
      </c>
      <c r="F1523" s="11"/>
    </row>
    <row r="1524" spans="1:6" ht="16" x14ac:dyDescent="0.2">
      <c r="A1524" s="12" t="s">
        <v>5088</v>
      </c>
      <c r="B1524" s="13"/>
      <c r="C1524" t="e">
        <f t="shared" si="0"/>
        <v>#N/A</v>
      </c>
      <c r="D1524" t="b">
        <f t="shared" si="1"/>
        <v>0</v>
      </c>
      <c r="E1524">
        <f t="shared" si="2"/>
        <v>0</v>
      </c>
      <c r="F1524" s="11"/>
    </row>
    <row r="1525" spans="1:6" ht="16" x14ac:dyDescent="0.2">
      <c r="A1525" s="12" t="s">
        <v>5089</v>
      </c>
      <c r="B1525" s="13"/>
      <c r="C1525" t="e">
        <f t="shared" si="0"/>
        <v>#N/A</v>
      </c>
      <c r="D1525" t="b">
        <f t="shared" si="1"/>
        <v>0</v>
      </c>
      <c r="E1525">
        <f t="shared" si="2"/>
        <v>0</v>
      </c>
      <c r="F1525" s="11"/>
    </row>
    <row r="1526" spans="1:6" ht="16" x14ac:dyDescent="0.2">
      <c r="A1526" s="12" t="s">
        <v>5090</v>
      </c>
      <c r="B1526" s="13"/>
      <c r="C1526" t="e">
        <f t="shared" si="0"/>
        <v>#N/A</v>
      </c>
      <c r="D1526" t="b">
        <f t="shared" si="1"/>
        <v>0</v>
      </c>
      <c r="E1526">
        <f t="shared" si="2"/>
        <v>0</v>
      </c>
      <c r="F1526" s="11"/>
    </row>
    <row r="1527" spans="1:6" ht="16" x14ac:dyDescent="0.2">
      <c r="A1527" s="12" t="s">
        <v>5091</v>
      </c>
      <c r="B1527" s="13"/>
      <c r="C1527" t="e">
        <f t="shared" si="0"/>
        <v>#N/A</v>
      </c>
      <c r="D1527" t="b">
        <f t="shared" si="1"/>
        <v>0</v>
      </c>
      <c r="E1527">
        <f t="shared" si="2"/>
        <v>0</v>
      </c>
      <c r="F1527" s="11"/>
    </row>
    <row r="1528" spans="1:6" ht="16" x14ac:dyDescent="0.2">
      <c r="A1528" s="12" t="s">
        <v>5092</v>
      </c>
      <c r="B1528" s="13"/>
      <c r="C1528" t="e">
        <f t="shared" si="0"/>
        <v>#N/A</v>
      </c>
      <c r="D1528" t="b">
        <f t="shared" si="1"/>
        <v>0</v>
      </c>
      <c r="E1528">
        <f t="shared" si="2"/>
        <v>0</v>
      </c>
      <c r="F1528" s="11"/>
    </row>
    <row r="1529" spans="1:6" ht="16" x14ac:dyDescent="0.2">
      <c r="A1529" s="12" t="s">
        <v>5093</v>
      </c>
      <c r="B1529" s="13"/>
      <c r="C1529" t="e">
        <f t="shared" si="0"/>
        <v>#N/A</v>
      </c>
      <c r="D1529" t="b">
        <f t="shared" si="1"/>
        <v>0</v>
      </c>
      <c r="E1529">
        <f t="shared" si="2"/>
        <v>0</v>
      </c>
      <c r="F1529" s="11"/>
    </row>
    <row r="1530" spans="1:6" ht="16" x14ac:dyDescent="0.2">
      <c r="A1530" s="12" t="s">
        <v>5094</v>
      </c>
      <c r="B1530" s="13"/>
      <c r="C1530" t="e">
        <f t="shared" si="0"/>
        <v>#N/A</v>
      </c>
      <c r="D1530" t="b">
        <f t="shared" si="1"/>
        <v>0</v>
      </c>
      <c r="E1530">
        <f t="shared" si="2"/>
        <v>0</v>
      </c>
      <c r="F1530" s="11"/>
    </row>
    <row r="1531" spans="1:6" ht="16" x14ac:dyDescent="0.2">
      <c r="A1531" s="12" t="s">
        <v>5095</v>
      </c>
      <c r="B1531" s="13"/>
      <c r="C1531" t="e">
        <f t="shared" si="0"/>
        <v>#N/A</v>
      </c>
      <c r="D1531" t="b">
        <f t="shared" si="1"/>
        <v>0</v>
      </c>
      <c r="E1531">
        <f t="shared" si="2"/>
        <v>0</v>
      </c>
      <c r="F1531" s="11"/>
    </row>
    <row r="1532" spans="1:6" ht="16" x14ac:dyDescent="0.2">
      <c r="A1532" s="12" t="s">
        <v>5095</v>
      </c>
      <c r="B1532" s="13"/>
      <c r="C1532" t="e">
        <f t="shared" si="0"/>
        <v>#N/A</v>
      </c>
      <c r="D1532" t="b">
        <f t="shared" si="1"/>
        <v>0</v>
      </c>
      <c r="E1532">
        <f t="shared" si="2"/>
        <v>0</v>
      </c>
      <c r="F1532" s="11"/>
    </row>
    <row r="1533" spans="1:6" ht="16" x14ac:dyDescent="0.2">
      <c r="A1533" s="12" t="s">
        <v>5096</v>
      </c>
      <c r="B1533" s="13"/>
      <c r="C1533" t="e">
        <f t="shared" si="0"/>
        <v>#N/A</v>
      </c>
      <c r="D1533" t="b">
        <f t="shared" si="1"/>
        <v>0</v>
      </c>
      <c r="E1533">
        <f t="shared" si="2"/>
        <v>0</v>
      </c>
      <c r="F1533" s="11"/>
    </row>
    <row r="1534" spans="1:6" ht="16" x14ac:dyDescent="0.2">
      <c r="A1534" s="12" t="s">
        <v>5097</v>
      </c>
      <c r="B1534" s="13"/>
      <c r="C1534" t="e">
        <f t="shared" si="0"/>
        <v>#N/A</v>
      </c>
      <c r="D1534" t="b">
        <f t="shared" si="1"/>
        <v>0</v>
      </c>
      <c r="E1534">
        <f t="shared" si="2"/>
        <v>0</v>
      </c>
      <c r="F1534" s="11"/>
    </row>
    <row r="1535" spans="1:6" ht="16" x14ac:dyDescent="0.2">
      <c r="A1535" s="12" t="s">
        <v>5098</v>
      </c>
      <c r="B1535" s="13"/>
      <c r="C1535" t="e">
        <f t="shared" si="0"/>
        <v>#N/A</v>
      </c>
      <c r="D1535" t="b">
        <f t="shared" si="1"/>
        <v>0</v>
      </c>
      <c r="E1535">
        <f t="shared" si="2"/>
        <v>0</v>
      </c>
      <c r="F1535" s="11"/>
    </row>
    <row r="1536" spans="1:6" ht="16" x14ac:dyDescent="0.2">
      <c r="A1536" s="12" t="s">
        <v>5099</v>
      </c>
      <c r="B1536" s="13"/>
      <c r="C1536" t="e">
        <f t="shared" si="0"/>
        <v>#N/A</v>
      </c>
      <c r="D1536" t="b">
        <f t="shared" si="1"/>
        <v>0</v>
      </c>
      <c r="E1536">
        <f t="shared" si="2"/>
        <v>0</v>
      </c>
      <c r="F1536" s="11"/>
    </row>
    <row r="1537" spans="1:6" ht="16" x14ac:dyDescent="0.2">
      <c r="A1537" s="12" t="s">
        <v>5100</v>
      </c>
      <c r="B1537" s="13"/>
      <c r="C1537" t="e">
        <f t="shared" si="0"/>
        <v>#N/A</v>
      </c>
      <c r="D1537" t="b">
        <f t="shared" si="1"/>
        <v>0</v>
      </c>
      <c r="E1537">
        <f t="shared" si="2"/>
        <v>0</v>
      </c>
      <c r="F1537" s="11"/>
    </row>
    <row r="1538" spans="1:6" ht="16" x14ac:dyDescent="0.2">
      <c r="A1538" s="12" t="s">
        <v>5101</v>
      </c>
      <c r="B1538" s="13"/>
      <c r="C1538" t="e">
        <f t="shared" si="0"/>
        <v>#N/A</v>
      </c>
      <c r="D1538" t="b">
        <f t="shared" si="1"/>
        <v>0</v>
      </c>
      <c r="E1538">
        <f t="shared" si="2"/>
        <v>0</v>
      </c>
      <c r="F1538" s="11"/>
    </row>
    <row r="1539" spans="1:6" ht="16" x14ac:dyDescent="0.2">
      <c r="A1539" s="12" t="s">
        <v>5102</v>
      </c>
      <c r="B1539" s="13"/>
      <c r="C1539" t="e">
        <f t="shared" si="0"/>
        <v>#N/A</v>
      </c>
      <c r="D1539" t="b">
        <f t="shared" si="1"/>
        <v>0</v>
      </c>
      <c r="E1539">
        <f t="shared" si="2"/>
        <v>0</v>
      </c>
      <c r="F1539" s="11"/>
    </row>
    <row r="1540" spans="1:6" ht="16" x14ac:dyDescent="0.2">
      <c r="A1540" s="12" t="s">
        <v>5103</v>
      </c>
      <c r="B1540" s="13"/>
      <c r="C1540" t="e">
        <f t="shared" si="0"/>
        <v>#N/A</v>
      </c>
      <c r="D1540" t="b">
        <f t="shared" si="1"/>
        <v>0</v>
      </c>
      <c r="E1540">
        <f t="shared" si="2"/>
        <v>0</v>
      </c>
      <c r="F1540" s="11"/>
    </row>
    <row r="1541" spans="1:6" ht="16" x14ac:dyDescent="0.2">
      <c r="A1541" s="12" t="s">
        <v>5104</v>
      </c>
      <c r="B1541" s="13"/>
      <c r="C1541" t="e">
        <f t="shared" si="0"/>
        <v>#N/A</v>
      </c>
      <c r="D1541" t="b">
        <f t="shared" si="1"/>
        <v>0</v>
      </c>
      <c r="E1541">
        <f t="shared" si="2"/>
        <v>0</v>
      </c>
      <c r="F1541" s="11"/>
    </row>
    <row r="1542" spans="1:6" ht="16" x14ac:dyDescent="0.2">
      <c r="A1542" s="12" t="s">
        <v>5105</v>
      </c>
      <c r="B1542" s="13"/>
      <c r="C1542" t="e">
        <f t="shared" si="0"/>
        <v>#N/A</v>
      </c>
      <c r="D1542" t="b">
        <f t="shared" si="1"/>
        <v>0</v>
      </c>
      <c r="E1542">
        <f t="shared" si="2"/>
        <v>0</v>
      </c>
      <c r="F1542" s="11"/>
    </row>
    <row r="1543" spans="1:6" ht="16" x14ac:dyDescent="0.2">
      <c r="A1543" s="12" t="s">
        <v>5106</v>
      </c>
      <c r="B1543" s="13"/>
      <c r="C1543" t="e">
        <f t="shared" si="0"/>
        <v>#N/A</v>
      </c>
      <c r="D1543" t="b">
        <f t="shared" si="1"/>
        <v>0</v>
      </c>
      <c r="E1543">
        <f t="shared" si="2"/>
        <v>0</v>
      </c>
      <c r="F1543" s="11"/>
    </row>
    <row r="1544" spans="1:6" ht="16" x14ac:dyDescent="0.2">
      <c r="A1544" s="12" t="s">
        <v>5107</v>
      </c>
      <c r="B1544" s="13"/>
      <c r="C1544" t="e">
        <f t="shared" si="0"/>
        <v>#N/A</v>
      </c>
      <c r="D1544" t="b">
        <f t="shared" si="1"/>
        <v>0</v>
      </c>
      <c r="E1544">
        <f t="shared" si="2"/>
        <v>0</v>
      </c>
      <c r="F1544" s="11"/>
    </row>
    <row r="1545" spans="1:6" ht="16" x14ac:dyDescent="0.2">
      <c r="A1545" s="12" t="s">
        <v>5108</v>
      </c>
      <c r="B1545" s="13"/>
      <c r="C1545" t="e">
        <f t="shared" si="0"/>
        <v>#N/A</v>
      </c>
      <c r="D1545" t="b">
        <f t="shared" si="1"/>
        <v>0</v>
      </c>
      <c r="E1545">
        <f t="shared" si="2"/>
        <v>0</v>
      </c>
      <c r="F1545" s="11"/>
    </row>
    <row r="1546" spans="1:6" ht="16" x14ac:dyDescent="0.2">
      <c r="A1546" s="12" t="s">
        <v>5109</v>
      </c>
      <c r="B1546" s="13"/>
      <c r="C1546" t="e">
        <f t="shared" si="0"/>
        <v>#N/A</v>
      </c>
      <c r="D1546" t="b">
        <f t="shared" si="1"/>
        <v>0</v>
      </c>
      <c r="E1546">
        <f t="shared" si="2"/>
        <v>0</v>
      </c>
      <c r="F1546" s="11"/>
    </row>
    <row r="1547" spans="1:6" ht="16" x14ac:dyDescent="0.2">
      <c r="A1547" s="12" t="s">
        <v>5110</v>
      </c>
      <c r="B1547" s="13"/>
      <c r="C1547" t="e">
        <f t="shared" si="0"/>
        <v>#N/A</v>
      </c>
      <c r="D1547" t="b">
        <f t="shared" si="1"/>
        <v>0</v>
      </c>
      <c r="E1547">
        <f t="shared" si="2"/>
        <v>0</v>
      </c>
      <c r="F1547" s="11"/>
    </row>
    <row r="1548" spans="1:6" ht="16" x14ac:dyDescent="0.2">
      <c r="A1548" s="12" t="s">
        <v>5111</v>
      </c>
      <c r="B1548" s="13"/>
      <c r="C1548" t="e">
        <f t="shared" si="0"/>
        <v>#N/A</v>
      </c>
      <c r="D1548" t="b">
        <f t="shared" si="1"/>
        <v>0</v>
      </c>
      <c r="E1548">
        <f t="shared" si="2"/>
        <v>0</v>
      </c>
      <c r="F1548" s="11"/>
    </row>
    <row r="1549" spans="1:6" ht="16" x14ac:dyDescent="0.2">
      <c r="A1549" s="12" t="s">
        <v>5112</v>
      </c>
      <c r="B1549" s="13"/>
      <c r="C1549" t="e">
        <f t="shared" si="0"/>
        <v>#N/A</v>
      </c>
      <c r="D1549" t="b">
        <f t="shared" si="1"/>
        <v>0</v>
      </c>
      <c r="E1549">
        <f t="shared" si="2"/>
        <v>0</v>
      </c>
      <c r="F1549" s="11"/>
    </row>
    <row r="1550" spans="1:6" ht="16" x14ac:dyDescent="0.2">
      <c r="A1550" s="12" t="s">
        <v>5113</v>
      </c>
      <c r="B1550" s="13"/>
      <c r="C1550" t="e">
        <f t="shared" si="0"/>
        <v>#N/A</v>
      </c>
      <c r="D1550" t="b">
        <f t="shared" si="1"/>
        <v>0</v>
      </c>
      <c r="E1550">
        <f t="shared" si="2"/>
        <v>0</v>
      </c>
      <c r="F1550" s="11"/>
    </row>
    <row r="1551" spans="1:6" ht="16" x14ac:dyDescent="0.2">
      <c r="A1551" s="12" t="s">
        <v>5114</v>
      </c>
      <c r="B1551" s="13"/>
      <c r="C1551" t="e">
        <f t="shared" si="0"/>
        <v>#N/A</v>
      </c>
      <c r="D1551" t="b">
        <f t="shared" si="1"/>
        <v>0</v>
      </c>
      <c r="E1551">
        <f t="shared" si="2"/>
        <v>0</v>
      </c>
      <c r="F1551" s="11"/>
    </row>
    <row r="1552" spans="1:6" ht="16" x14ac:dyDescent="0.2">
      <c r="A1552" s="12" t="s">
        <v>5115</v>
      </c>
      <c r="B1552" s="13"/>
      <c r="C1552" t="e">
        <f t="shared" si="0"/>
        <v>#N/A</v>
      </c>
      <c r="D1552" t="b">
        <f t="shared" si="1"/>
        <v>0</v>
      </c>
      <c r="E1552">
        <f t="shared" si="2"/>
        <v>0</v>
      </c>
      <c r="F1552" s="11"/>
    </row>
    <row r="1553" spans="1:6" ht="16" x14ac:dyDescent="0.2">
      <c r="A1553" s="12" t="s">
        <v>5116</v>
      </c>
      <c r="B1553" s="13"/>
      <c r="C1553" t="e">
        <f t="shared" si="0"/>
        <v>#N/A</v>
      </c>
      <c r="D1553" t="b">
        <f t="shared" si="1"/>
        <v>0</v>
      </c>
      <c r="E1553">
        <f t="shared" si="2"/>
        <v>0</v>
      </c>
      <c r="F1553" s="11"/>
    </row>
    <row r="1554" spans="1:6" ht="16" x14ac:dyDescent="0.2">
      <c r="A1554" s="12" t="s">
        <v>5117</v>
      </c>
      <c r="B1554" s="13"/>
      <c r="C1554" t="e">
        <f t="shared" si="0"/>
        <v>#N/A</v>
      </c>
      <c r="D1554" t="b">
        <f t="shared" si="1"/>
        <v>0</v>
      </c>
      <c r="E1554">
        <f t="shared" si="2"/>
        <v>0</v>
      </c>
      <c r="F1554" s="11"/>
    </row>
    <row r="1555" spans="1:6" ht="16" x14ac:dyDescent="0.2">
      <c r="A1555" s="12" t="s">
        <v>5118</v>
      </c>
      <c r="B1555" s="13"/>
      <c r="C1555" t="e">
        <f t="shared" si="0"/>
        <v>#N/A</v>
      </c>
      <c r="D1555" t="b">
        <f t="shared" si="1"/>
        <v>0</v>
      </c>
      <c r="E1555">
        <f t="shared" si="2"/>
        <v>0</v>
      </c>
      <c r="F1555" s="11"/>
    </row>
    <row r="1556" spans="1:6" ht="16" x14ac:dyDescent="0.2">
      <c r="A1556" s="12" t="s">
        <v>5119</v>
      </c>
      <c r="B1556" s="13"/>
      <c r="C1556" t="e">
        <f t="shared" si="0"/>
        <v>#N/A</v>
      </c>
      <c r="D1556" t="b">
        <f t="shared" si="1"/>
        <v>0</v>
      </c>
      <c r="E1556">
        <f t="shared" si="2"/>
        <v>0</v>
      </c>
      <c r="F1556" s="11"/>
    </row>
    <row r="1557" spans="1:6" ht="16" x14ac:dyDescent="0.2">
      <c r="A1557" s="12" t="s">
        <v>5120</v>
      </c>
      <c r="B1557" s="13"/>
      <c r="C1557" t="e">
        <f t="shared" si="0"/>
        <v>#N/A</v>
      </c>
      <c r="D1557" t="b">
        <f t="shared" si="1"/>
        <v>0</v>
      </c>
      <c r="E1557">
        <f t="shared" si="2"/>
        <v>0</v>
      </c>
      <c r="F1557" s="11"/>
    </row>
    <row r="1558" spans="1:6" ht="16" x14ac:dyDescent="0.2">
      <c r="A1558" s="12" t="s">
        <v>5121</v>
      </c>
      <c r="B1558" s="13"/>
      <c r="C1558" t="e">
        <f t="shared" si="0"/>
        <v>#N/A</v>
      </c>
      <c r="D1558" t="b">
        <f t="shared" si="1"/>
        <v>0</v>
      </c>
      <c r="E1558">
        <f t="shared" si="2"/>
        <v>0</v>
      </c>
      <c r="F1558" s="11"/>
    </row>
    <row r="1559" spans="1:6" ht="16" x14ac:dyDescent="0.2">
      <c r="A1559" s="12" t="s">
        <v>5122</v>
      </c>
      <c r="B1559" s="13"/>
      <c r="C1559" t="e">
        <f t="shared" si="0"/>
        <v>#N/A</v>
      </c>
      <c r="D1559" t="b">
        <f t="shared" si="1"/>
        <v>0</v>
      </c>
      <c r="E1559">
        <f t="shared" si="2"/>
        <v>0</v>
      </c>
      <c r="F1559" s="11"/>
    </row>
    <row r="1560" spans="1:6" ht="16" x14ac:dyDescent="0.2">
      <c r="A1560" s="12" t="s">
        <v>5123</v>
      </c>
      <c r="B1560" s="13"/>
      <c r="C1560" t="e">
        <f t="shared" si="0"/>
        <v>#N/A</v>
      </c>
      <c r="D1560" t="b">
        <f t="shared" si="1"/>
        <v>0</v>
      </c>
      <c r="E1560">
        <f t="shared" si="2"/>
        <v>0</v>
      </c>
      <c r="F1560" s="11"/>
    </row>
    <row r="1561" spans="1:6" ht="16" x14ac:dyDescent="0.2">
      <c r="A1561" s="12" t="s">
        <v>5124</v>
      </c>
      <c r="B1561" s="13"/>
      <c r="C1561" t="e">
        <f t="shared" si="0"/>
        <v>#N/A</v>
      </c>
      <c r="D1561" t="b">
        <f t="shared" si="1"/>
        <v>0</v>
      </c>
      <c r="E1561">
        <f t="shared" si="2"/>
        <v>0</v>
      </c>
      <c r="F1561" s="11"/>
    </row>
    <row r="1562" spans="1:6" ht="16" x14ac:dyDescent="0.2">
      <c r="A1562" s="12" t="s">
        <v>5125</v>
      </c>
      <c r="B1562" s="13"/>
      <c r="C1562" t="e">
        <f t="shared" si="0"/>
        <v>#N/A</v>
      </c>
      <c r="D1562" t="b">
        <f t="shared" si="1"/>
        <v>0</v>
      </c>
      <c r="E1562">
        <f t="shared" si="2"/>
        <v>0</v>
      </c>
      <c r="F1562" s="11"/>
    </row>
    <row r="1563" spans="1:6" ht="16" x14ac:dyDescent="0.2">
      <c r="A1563" s="12" t="s">
        <v>5126</v>
      </c>
      <c r="B1563" s="13"/>
      <c r="C1563" t="e">
        <f t="shared" si="0"/>
        <v>#N/A</v>
      </c>
      <c r="D1563" t="b">
        <f t="shared" si="1"/>
        <v>0</v>
      </c>
      <c r="E1563">
        <f t="shared" si="2"/>
        <v>0</v>
      </c>
      <c r="F1563" s="11"/>
    </row>
    <row r="1564" spans="1:6" ht="16" x14ac:dyDescent="0.2">
      <c r="A1564" s="12" t="s">
        <v>5127</v>
      </c>
      <c r="B1564" s="13"/>
      <c r="C1564" t="e">
        <f t="shared" si="0"/>
        <v>#N/A</v>
      </c>
      <c r="D1564" t="b">
        <f t="shared" si="1"/>
        <v>0</v>
      </c>
      <c r="E1564">
        <f t="shared" si="2"/>
        <v>0</v>
      </c>
      <c r="F1564" s="11"/>
    </row>
    <row r="1565" spans="1:6" ht="16" x14ac:dyDescent="0.2">
      <c r="A1565" s="12" t="s">
        <v>5128</v>
      </c>
      <c r="B1565" s="13"/>
      <c r="C1565" t="e">
        <f t="shared" si="0"/>
        <v>#N/A</v>
      </c>
      <c r="D1565" t="b">
        <f t="shared" si="1"/>
        <v>0</v>
      </c>
      <c r="E1565">
        <f t="shared" si="2"/>
        <v>0</v>
      </c>
      <c r="F1565" s="11"/>
    </row>
    <row r="1566" spans="1:6" ht="16" x14ac:dyDescent="0.2">
      <c r="A1566" s="12" t="s">
        <v>5129</v>
      </c>
      <c r="B1566" s="13"/>
      <c r="C1566" t="e">
        <f t="shared" si="0"/>
        <v>#N/A</v>
      </c>
      <c r="D1566" t="b">
        <f t="shared" si="1"/>
        <v>0</v>
      </c>
      <c r="E1566">
        <f t="shared" si="2"/>
        <v>0</v>
      </c>
      <c r="F1566" s="11"/>
    </row>
    <row r="1567" spans="1:6" ht="16" x14ac:dyDescent="0.2">
      <c r="A1567" s="12" t="s">
        <v>5130</v>
      </c>
      <c r="B1567" s="13"/>
      <c r="C1567" t="e">
        <f t="shared" si="0"/>
        <v>#N/A</v>
      </c>
      <c r="D1567" t="b">
        <f t="shared" si="1"/>
        <v>0</v>
      </c>
      <c r="E1567">
        <f t="shared" si="2"/>
        <v>0</v>
      </c>
      <c r="F1567" s="11"/>
    </row>
    <row r="1568" spans="1:6" ht="16" x14ac:dyDescent="0.2">
      <c r="A1568" s="12" t="s">
        <v>5131</v>
      </c>
      <c r="B1568" s="13"/>
      <c r="C1568" t="e">
        <f t="shared" si="0"/>
        <v>#N/A</v>
      </c>
      <c r="D1568" t="b">
        <f t="shared" si="1"/>
        <v>0</v>
      </c>
      <c r="E1568">
        <f t="shared" si="2"/>
        <v>0</v>
      </c>
      <c r="F1568" s="11"/>
    </row>
    <row r="1569" spans="1:6" ht="16" x14ac:dyDescent="0.2">
      <c r="A1569" s="12" t="s">
        <v>5132</v>
      </c>
      <c r="B1569" s="13"/>
      <c r="C1569" t="e">
        <f t="shared" si="0"/>
        <v>#N/A</v>
      </c>
      <c r="D1569" t="b">
        <f t="shared" si="1"/>
        <v>0</v>
      </c>
      <c r="E1569">
        <f t="shared" si="2"/>
        <v>0</v>
      </c>
      <c r="F1569" s="11"/>
    </row>
    <row r="1570" spans="1:6" ht="16" x14ac:dyDescent="0.2">
      <c r="A1570" s="12" t="s">
        <v>5133</v>
      </c>
      <c r="B1570" s="13"/>
      <c r="C1570" t="e">
        <f t="shared" si="0"/>
        <v>#N/A</v>
      </c>
      <c r="D1570" t="b">
        <f t="shared" si="1"/>
        <v>0</v>
      </c>
      <c r="E1570">
        <f t="shared" si="2"/>
        <v>0</v>
      </c>
      <c r="F1570" s="11"/>
    </row>
    <row r="1571" spans="1:6" ht="16" x14ac:dyDescent="0.2">
      <c r="A1571" s="12" t="s">
        <v>5134</v>
      </c>
      <c r="B1571" s="13"/>
      <c r="C1571" t="e">
        <f t="shared" si="0"/>
        <v>#N/A</v>
      </c>
      <c r="D1571" t="b">
        <f t="shared" si="1"/>
        <v>0</v>
      </c>
      <c r="E1571">
        <f t="shared" si="2"/>
        <v>0</v>
      </c>
      <c r="F1571" s="11"/>
    </row>
    <row r="1572" spans="1:6" ht="16" x14ac:dyDescent="0.2">
      <c r="A1572" s="12" t="s">
        <v>5135</v>
      </c>
      <c r="B1572" s="13"/>
      <c r="C1572" t="e">
        <f t="shared" si="0"/>
        <v>#N/A</v>
      </c>
      <c r="D1572" t="b">
        <f t="shared" si="1"/>
        <v>0</v>
      </c>
      <c r="E1572">
        <f t="shared" si="2"/>
        <v>0</v>
      </c>
      <c r="F1572" s="11"/>
    </row>
    <row r="1573" spans="1:6" ht="16" x14ac:dyDescent="0.2">
      <c r="A1573" s="12" t="s">
        <v>5136</v>
      </c>
      <c r="B1573" s="13"/>
      <c r="C1573" t="e">
        <f t="shared" si="0"/>
        <v>#N/A</v>
      </c>
      <c r="D1573" t="b">
        <f t="shared" si="1"/>
        <v>0</v>
      </c>
      <c r="E1573">
        <f t="shared" si="2"/>
        <v>0</v>
      </c>
      <c r="F1573" s="11"/>
    </row>
    <row r="1574" spans="1:6" ht="16" x14ac:dyDescent="0.2">
      <c r="A1574" s="12" t="s">
        <v>5137</v>
      </c>
      <c r="B1574" s="13"/>
      <c r="C1574" t="e">
        <f t="shared" si="0"/>
        <v>#N/A</v>
      </c>
      <c r="D1574" t="b">
        <f t="shared" si="1"/>
        <v>0</v>
      </c>
      <c r="E1574">
        <f t="shared" si="2"/>
        <v>0</v>
      </c>
      <c r="F1574" s="11"/>
    </row>
    <row r="1575" spans="1:6" ht="16" x14ac:dyDescent="0.2">
      <c r="A1575" s="12" t="s">
        <v>5138</v>
      </c>
      <c r="B1575" s="13"/>
      <c r="C1575" t="e">
        <f t="shared" si="0"/>
        <v>#N/A</v>
      </c>
      <c r="D1575" t="b">
        <f t="shared" si="1"/>
        <v>0</v>
      </c>
      <c r="E1575">
        <f t="shared" si="2"/>
        <v>0</v>
      </c>
      <c r="F1575" s="11"/>
    </row>
    <row r="1576" spans="1:6" ht="16" x14ac:dyDescent="0.2">
      <c r="A1576" s="12" t="s">
        <v>5139</v>
      </c>
      <c r="B1576" s="13"/>
      <c r="C1576" t="e">
        <f t="shared" si="0"/>
        <v>#N/A</v>
      </c>
      <c r="D1576" t="b">
        <f t="shared" si="1"/>
        <v>0</v>
      </c>
      <c r="E1576">
        <f t="shared" si="2"/>
        <v>0</v>
      </c>
      <c r="F1576" s="11"/>
    </row>
    <row r="1577" spans="1:6" ht="16" x14ac:dyDescent="0.2">
      <c r="A1577" s="12" t="s">
        <v>5140</v>
      </c>
      <c r="B1577" s="13"/>
      <c r="C1577" t="e">
        <f t="shared" si="0"/>
        <v>#N/A</v>
      </c>
      <c r="D1577" t="b">
        <f t="shared" si="1"/>
        <v>0</v>
      </c>
      <c r="E1577">
        <f t="shared" si="2"/>
        <v>0</v>
      </c>
      <c r="F1577" s="11"/>
    </row>
    <row r="1578" spans="1:6" ht="16" x14ac:dyDescent="0.2">
      <c r="A1578" s="12" t="s">
        <v>5141</v>
      </c>
      <c r="B1578" s="13"/>
      <c r="C1578" t="e">
        <f t="shared" si="0"/>
        <v>#N/A</v>
      </c>
      <c r="D1578" t="b">
        <f t="shared" si="1"/>
        <v>0</v>
      </c>
      <c r="E1578">
        <f t="shared" si="2"/>
        <v>0</v>
      </c>
      <c r="F1578" s="11"/>
    </row>
    <row r="1579" spans="1:6" ht="16" x14ac:dyDescent="0.2">
      <c r="A1579" s="12" t="s">
        <v>5142</v>
      </c>
      <c r="B1579" s="13"/>
      <c r="C1579" t="e">
        <f t="shared" si="0"/>
        <v>#N/A</v>
      </c>
      <c r="D1579" t="b">
        <f t="shared" si="1"/>
        <v>0</v>
      </c>
      <c r="E1579">
        <f t="shared" si="2"/>
        <v>0</v>
      </c>
      <c r="F1579" s="11"/>
    </row>
    <row r="1580" spans="1:6" ht="16" x14ac:dyDescent="0.2">
      <c r="A1580" s="12" t="s">
        <v>5143</v>
      </c>
      <c r="B1580" s="13"/>
      <c r="C1580" t="e">
        <f t="shared" si="0"/>
        <v>#N/A</v>
      </c>
      <c r="D1580" t="b">
        <f t="shared" si="1"/>
        <v>0</v>
      </c>
      <c r="E1580">
        <f t="shared" si="2"/>
        <v>0</v>
      </c>
      <c r="F1580" s="11"/>
    </row>
    <row r="1581" spans="1:6" ht="16" x14ac:dyDescent="0.2">
      <c r="A1581" s="12" t="s">
        <v>5144</v>
      </c>
      <c r="B1581" s="13"/>
      <c r="C1581" t="e">
        <f t="shared" si="0"/>
        <v>#N/A</v>
      </c>
      <c r="D1581" t="b">
        <f t="shared" si="1"/>
        <v>0</v>
      </c>
      <c r="E1581">
        <f t="shared" si="2"/>
        <v>0</v>
      </c>
      <c r="F1581" s="11"/>
    </row>
    <row r="1582" spans="1:6" ht="16" x14ac:dyDescent="0.2">
      <c r="A1582" s="12" t="s">
        <v>5145</v>
      </c>
      <c r="B1582" s="13"/>
      <c r="C1582" t="e">
        <f t="shared" si="0"/>
        <v>#N/A</v>
      </c>
      <c r="D1582" t="b">
        <f t="shared" si="1"/>
        <v>0</v>
      </c>
      <c r="E1582">
        <f t="shared" si="2"/>
        <v>0</v>
      </c>
      <c r="F1582" s="11"/>
    </row>
    <row r="1583" spans="1:6" ht="16" x14ac:dyDescent="0.2">
      <c r="A1583" s="12" t="s">
        <v>5146</v>
      </c>
      <c r="B1583" s="13"/>
      <c r="C1583" t="e">
        <f t="shared" si="0"/>
        <v>#N/A</v>
      </c>
      <c r="D1583" t="b">
        <f t="shared" si="1"/>
        <v>0</v>
      </c>
      <c r="E1583">
        <f t="shared" si="2"/>
        <v>0</v>
      </c>
      <c r="F1583" s="11"/>
    </row>
    <row r="1584" spans="1:6" ht="16" x14ac:dyDescent="0.2">
      <c r="A1584" s="12" t="s">
        <v>5147</v>
      </c>
      <c r="B1584" s="13"/>
      <c r="C1584" t="e">
        <f t="shared" si="0"/>
        <v>#N/A</v>
      </c>
      <c r="D1584" t="b">
        <f t="shared" si="1"/>
        <v>0</v>
      </c>
      <c r="E1584">
        <f t="shared" si="2"/>
        <v>0</v>
      </c>
      <c r="F1584" s="11"/>
    </row>
    <row r="1585" spans="1:6" ht="16" x14ac:dyDescent="0.2">
      <c r="A1585" s="12" t="s">
        <v>5148</v>
      </c>
      <c r="B1585" s="13"/>
      <c r="C1585" t="e">
        <f t="shared" si="0"/>
        <v>#N/A</v>
      </c>
      <c r="D1585" t="b">
        <f t="shared" si="1"/>
        <v>0</v>
      </c>
      <c r="E1585">
        <f t="shared" si="2"/>
        <v>0</v>
      </c>
      <c r="F1585" s="11"/>
    </row>
    <row r="1586" spans="1:6" ht="16" x14ac:dyDescent="0.2">
      <c r="A1586" s="12" t="s">
        <v>5149</v>
      </c>
      <c r="B1586" s="13"/>
      <c r="C1586" t="e">
        <f t="shared" si="0"/>
        <v>#N/A</v>
      </c>
      <c r="D1586" t="b">
        <f t="shared" si="1"/>
        <v>0</v>
      </c>
      <c r="E1586">
        <f t="shared" si="2"/>
        <v>0</v>
      </c>
      <c r="F1586" s="11"/>
    </row>
    <row r="1587" spans="1:6" ht="16" x14ac:dyDescent="0.2">
      <c r="A1587" s="12" t="s">
        <v>5150</v>
      </c>
      <c r="B1587" s="13"/>
      <c r="C1587" t="e">
        <f t="shared" si="0"/>
        <v>#N/A</v>
      </c>
      <c r="D1587" t="b">
        <f t="shared" si="1"/>
        <v>0</v>
      </c>
      <c r="E1587">
        <f t="shared" si="2"/>
        <v>0</v>
      </c>
      <c r="F1587" s="11"/>
    </row>
    <row r="1588" spans="1:6" ht="16" x14ac:dyDescent="0.2">
      <c r="A1588" s="12" t="s">
        <v>5151</v>
      </c>
      <c r="B1588" s="13"/>
      <c r="C1588" t="e">
        <f t="shared" si="0"/>
        <v>#N/A</v>
      </c>
      <c r="D1588" t="b">
        <f t="shared" si="1"/>
        <v>0</v>
      </c>
      <c r="E1588">
        <f t="shared" si="2"/>
        <v>0</v>
      </c>
      <c r="F1588" s="11"/>
    </row>
    <row r="1589" spans="1:6" ht="16" x14ac:dyDescent="0.2">
      <c r="A1589" s="12" t="s">
        <v>5152</v>
      </c>
      <c r="B1589" s="13"/>
      <c r="C1589" t="e">
        <f t="shared" si="0"/>
        <v>#N/A</v>
      </c>
      <c r="D1589" t="b">
        <f t="shared" si="1"/>
        <v>0</v>
      </c>
      <c r="E1589">
        <f t="shared" si="2"/>
        <v>0</v>
      </c>
      <c r="F1589" s="11"/>
    </row>
    <row r="1590" spans="1:6" ht="16" x14ac:dyDescent="0.2">
      <c r="A1590" s="12" t="s">
        <v>5153</v>
      </c>
      <c r="B1590" s="13"/>
      <c r="C1590" t="e">
        <f t="shared" si="0"/>
        <v>#N/A</v>
      </c>
      <c r="D1590" t="b">
        <f t="shared" si="1"/>
        <v>0</v>
      </c>
      <c r="E1590">
        <f t="shared" si="2"/>
        <v>0</v>
      </c>
      <c r="F1590" s="11"/>
    </row>
    <row r="1591" spans="1:6" ht="16" x14ac:dyDescent="0.2">
      <c r="A1591" s="12" t="s">
        <v>5154</v>
      </c>
      <c r="B1591" s="13"/>
      <c r="C1591" t="e">
        <f t="shared" si="0"/>
        <v>#N/A</v>
      </c>
      <c r="D1591" t="b">
        <f t="shared" si="1"/>
        <v>0</v>
      </c>
      <c r="E1591">
        <f t="shared" si="2"/>
        <v>0</v>
      </c>
      <c r="F1591" s="11"/>
    </row>
    <row r="1592" spans="1:6" ht="16" x14ac:dyDescent="0.2">
      <c r="A1592" s="12" t="s">
        <v>5155</v>
      </c>
      <c r="B1592" s="13"/>
      <c r="C1592" t="e">
        <f t="shared" si="0"/>
        <v>#N/A</v>
      </c>
      <c r="D1592" t="b">
        <f t="shared" si="1"/>
        <v>0</v>
      </c>
      <c r="E1592">
        <f t="shared" si="2"/>
        <v>0</v>
      </c>
      <c r="F1592" s="11"/>
    </row>
    <row r="1593" spans="1:6" ht="16" x14ac:dyDescent="0.2">
      <c r="A1593" s="12" t="s">
        <v>5156</v>
      </c>
      <c r="B1593" s="13"/>
      <c r="C1593" t="e">
        <f t="shared" si="0"/>
        <v>#N/A</v>
      </c>
      <c r="D1593" t="b">
        <f t="shared" si="1"/>
        <v>0</v>
      </c>
      <c r="E1593">
        <f t="shared" si="2"/>
        <v>0</v>
      </c>
      <c r="F1593" s="11"/>
    </row>
    <row r="1594" spans="1:6" ht="16" x14ac:dyDescent="0.2">
      <c r="A1594" s="12" t="s">
        <v>5157</v>
      </c>
      <c r="B1594" s="13"/>
      <c r="C1594" t="e">
        <f t="shared" si="0"/>
        <v>#N/A</v>
      </c>
      <c r="D1594" t="b">
        <f t="shared" si="1"/>
        <v>0</v>
      </c>
      <c r="E1594">
        <f t="shared" si="2"/>
        <v>0</v>
      </c>
      <c r="F1594" s="11"/>
    </row>
    <row r="1595" spans="1:6" ht="16" x14ac:dyDescent="0.2">
      <c r="A1595" s="12" t="s">
        <v>5158</v>
      </c>
      <c r="B1595" s="13"/>
      <c r="C1595" t="e">
        <f t="shared" si="0"/>
        <v>#N/A</v>
      </c>
      <c r="D1595" t="b">
        <f t="shared" si="1"/>
        <v>0</v>
      </c>
      <c r="E1595">
        <f t="shared" si="2"/>
        <v>0</v>
      </c>
      <c r="F1595" s="11"/>
    </row>
    <row r="1596" spans="1:6" ht="16" x14ac:dyDescent="0.2">
      <c r="A1596" s="12" t="s">
        <v>5159</v>
      </c>
      <c r="B1596" s="13"/>
      <c r="C1596" t="e">
        <f t="shared" si="0"/>
        <v>#N/A</v>
      </c>
      <c r="D1596" t="b">
        <f t="shared" si="1"/>
        <v>0</v>
      </c>
      <c r="E1596">
        <f t="shared" si="2"/>
        <v>0</v>
      </c>
      <c r="F1596" s="11"/>
    </row>
    <row r="1597" spans="1:6" ht="16" x14ac:dyDescent="0.2">
      <c r="A1597" s="12" t="s">
        <v>5160</v>
      </c>
      <c r="B1597" s="13"/>
      <c r="C1597" t="e">
        <f t="shared" si="0"/>
        <v>#N/A</v>
      </c>
      <c r="D1597" t="b">
        <f t="shared" si="1"/>
        <v>0</v>
      </c>
      <c r="E1597">
        <f t="shared" si="2"/>
        <v>0</v>
      </c>
      <c r="F1597" s="11"/>
    </row>
    <row r="1598" spans="1:6" ht="16" x14ac:dyDescent="0.2">
      <c r="A1598" s="12" t="s">
        <v>5161</v>
      </c>
      <c r="B1598" s="13"/>
      <c r="C1598" t="e">
        <f t="shared" si="0"/>
        <v>#N/A</v>
      </c>
      <c r="D1598" t="b">
        <f t="shared" si="1"/>
        <v>0</v>
      </c>
      <c r="E1598">
        <f t="shared" si="2"/>
        <v>0</v>
      </c>
      <c r="F1598" s="11"/>
    </row>
    <row r="1599" spans="1:6" ht="16" x14ac:dyDescent="0.2">
      <c r="A1599" s="12" t="s">
        <v>5162</v>
      </c>
      <c r="B1599" s="13"/>
      <c r="C1599" t="e">
        <f t="shared" si="0"/>
        <v>#N/A</v>
      </c>
      <c r="D1599" t="b">
        <f t="shared" si="1"/>
        <v>0</v>
      </c>
      <c r="E1599">
        <f t="shared" si="2"/>
        <v>0</v>
      </c>
      <c r="F1599" s="11"/>
    </row>
    <row r="1600" spans="1:6" ht="16" x14ac:dyDescent="0.2">
      <c r="A1600" s="12" t="s">
        <v>5163</v>
      </c>
      <c r="B1600" s="13"/>
      <c r="C1600" t="e">
        <f t="shared" si="0"/>
        <v>#N/A</v>
      </c>
      <c r="D1600" t="b">
        <f t="shared" si="1"/>
        <v>0</v>
      </c>
      <c r="E1600">
        <f t="shared" si="2"/>
        <v>0</v>
      </c>
      <c r="F1600" s="11"/>
    </row>
    <row r="1601" spans="1:6" ht="16" x14ac:dyDescent="0.2">
      <c r="A1601" s="12" t="s">
        <v>5164</v>
      </c>
      <c r="B1601" s="13"/>
      <c r="C1601" t="e">
        <f t="shared" si="0"/>
        <v>#N/A</v>
      </c>
      <c r="D1601" t="b">
        <f t="shared" si="1"/>
        <v>0</v>
      </c>
      <c r="E1601">
        <f t="shared" si="2"/>
        <v>0</v>
      </c>
      <c r="F1601" s="11"/>
    </row>
    <row r="1602" spans="1:6" ht="16" x14ac:dyDescent="0.2">
      <c r="A1602" s="12" t="s">
        <v>5165</v>
      </c>
      <c r="B1602" s="13"/>
      <c r="C1602" t="e">
        <f t="shared" si="0"/>
        <v>#N/A</v>
      </c>
      <c r="D1602" t="b">
        <f t="shared" si="1"/>
        <v>0</v>
      </c>
      <c r="E1602">
        <f t="shared" si="2"/>
        <v>0</v>
      </c>
      <c r="F1602" s="11"/>
    </row>
    <row r="1603" spans="1:6" ht="16" x14ac:dyDescent="0.2">
      <c r="A1603" s="12" t="s">
        <v>5166</v>
      </c>
      <c r="B1603" s="13"/>
      <c r="C1603" t="e">
        <f t="shared" si="0"/>
        <v>#N/A</v>
      </c>
      <c r="D1603" t="b">
        <f t="shared" si="1"/>
        <v>0</v>
      </c>
      <c r="E1603">
        <f t="shared" si="2"/>
        <v>0</v>
      </c>
      <c r="F1603" s="11"/>
    </row>
    <row r="1604" spans="1:6" ht="16" x14ac:dyDescent="0.2">
      <c r="A1604" s="12" t="s">
        <v>5167</v>
      </c>
      <c r="B1604" s="13"/>
      <c r="C1604" t="e">
        <f t="shared" si="0"/>
        <v>#N/A</v>
      </c>
      <c r="D1604" t="b">
        <f t="shared" si="1"/>
        <v>0</v>
      </c>
      <c r="E1604">
        <f t="shared" si="2"/>
        <v>0</v>
      </c>
      <c r="F1604" s="11"/>
    </row>
    <row r="1605" spans="1:6" ht="16" x14ac:dyDescent="0.2">
      <c r="A1605" s="12" t="s">
        <v>5168</v>
      </c>
      <c r="B1605" s="13"/>
      <c r="C1605" t="e">
        <f t="shared" si="0"/>
        <v>#N/A</v>
      </c>
      <c r="D1605" t="b">
        <f t="shared" si="1"/>
        <v>0</v>
      </c>
      <c r="E1605">
        <f t="shared" si="2"/>
        <v>0</v>
      </c>
      <c r="F1605" s="11"/>
    </row>
    <row r="1606" spans="1:6" ht="16" x14ac:dyDescent="0.2">
      <c r="A1606" s="12" t="s">
        <v>5169</v>
      </c>
      <c r="B1606" s="13"/>
      <c r="C1606" t="e">
        <f t="shared" si="0"/>
        <v>#N/A</v>
      </c>
      <c r="D1606" t="b">
        <f t="shared" si="1"/>
        <v>0</v>
      </c>
      <c r="E1606">
        <f t="shared" si="2"/>
        <v>0</v>
      </c>
      <c r="F1606" s="11"/>
    </row>
    <row r="1607" spans="1:6" ht="16" x14ac:dyDescent="0.2">
      <c r="A1607" s="12" t="s">
        <v>5170</v>
      </c>
      <c r="B1607" s="13"/>
      <c r="C1607" t="e">
        <f t="shared" si="0"/>
        <v>#N/A</v>
      </c>
      <c r="D1607" t="b">
        <f t="shared" si="1"/>
        <v>0</v>
      </c>
      <c r="E1607">
        <f t="shared" si="2"/>
        <v>0</v>
      </c>
      <c r="F1607" s="11"/>
    </row>
    <row r="1608" spans="1:6" ht="16" x14ac:dyDescent="0.2">
      <c r="A1608" s="12" t="s">
        <v>5171</v>
      </c>
      <c r="B1608" s="13"/>
      <c r="C1608" t="e">
        <f t="shared" si="0"/>
        <v>#N/A</v>
      </c>
      <c r="D1608" t="b">
        <f t="shared" si="1"/>
        <v>0</v>
      </c>
      <c r="E1608">
        <f t="shared" si="2"/>
        <v>0</v>
      </c>
      <c r="F1608" s="11"/>
    </row>
    <row r="1609" spans="1:6" ht="16" x14ac:dyDescent="0.2">
      <c r="A1609" s="12" t="s">
        <v>5172</v>
      </c>
      <c r="B1609" s="13"/>
      <c r="C1609" t="e">
        <f t="shared" si="0"/>
        <v>#N/A</v>
      </c>
      <c r="D1609" t="b">
        <f t="shared" si="1"/>
        <v>0</v>
      </c>
      <c r="E1609">
        <f t="shared" si="2"/>
        <v>0</v>
      </c>
      <c r="F1609" s="11"/>
    </row>
    <row r="1610" spans="1:6" ht="16" x14ac:dyDescent="0.2">
      <c r="A1610" s="12" t="s">
        <v>5173</v>
      </c>
      <c r="B1610" s="13"/>
      <c r="C1610" t="e">
        <f t="shared" si="0"/>
        <v>#N/A</v>
      </c>
      <c r="D1610" t="b">
        <f t="shared" si="1"/>
        <v>0</v>
      </c>
      <c r="E1610">
        <f t="shared" si="2"/>
        <v>0</v>
      </c>
      <c r="F1610" s="11"/>
    </row>
    <row r="1611" spans="1:6" ht="16" x14ac:dyDescent="0.2">
      <c r="A1611" s="12" t="s">
        <v>5174</v>
      </c>
      <c r="B1611" s="13"/>
      <c r="C1611" t="e">
        <f t="shared" si="0"/>
        <v>#N/A</v>
      </c>
      <c r="D1611" t="b">
        <f t="shared" si="1"/>
        <v>0</v>
      </c>
      <c r="E1611">
        <f t="shared" si="2"/>
        <v>0</v>
      </c>
      <c r="F1611" s="11"/>
    </row>
    <row r="1612" spans="1:6" ht="16" x14ac:dyDescent="0.2">
      <c r="A1612" s="12" t="s">
        <v>5175</v>
      </c>
      <c r="B1612" s="13"/>
      <c r="C1612" t="e">
        <f t="shared" si="0"/>
        <v>#N/A</v>
      </c>
      <c r="D1612" t="b">
        <f t="shared" si="1"/>
        <v>0</v>
      </c>
      <c r="E1612">
        <f t="shared" si="2"/>
        <v>0</v>
      </c>
      <c r="F1612" s="11"/>
    </row>
    <row r="1613" spans="1:6" ht="16" x14ac:dyDescent="0.2">
      <c r="A1613" s="12" t="s">
        <v>5176</v>
      </c>
      <c r="B1613" s="13"/>
      <c r="C1613" t="e">
        <f t="shared" si="0"/>
        <v>#N/A</v>
      </c>
      <c r="D1613" t="b">
        <f t="shared" si="1"/>
        <v>0</v>
      </c>
      <c r="E1613">
        <f t="shared" si="2"/>
        <v>0</v>
      </c>
      <c r="F1613" s="11"/>
    </row>
    <row r="1614" spans="1:6" ht="16" x14ac:dyDescent="0.2">
      <c r="A1614" s="12" t="s">
        <v>5177</v>
      </c>
      <c r="B1614" s="13"/>
      <c r="C1614" t="e">
        <f t="shared" si="0"/>
        <v>#N/A</v>
      </c>
      <c r="D1614" t="b">
        <f t="shared" si="1"/>
        <v>0</v>
      </c>
      <c r="E1614">
        <f t="shared" si="2"/>
        <v>0</v>
      </c>
      <c r="F1614" s="11"/>
    </row>
    <row r="1615" spans="1:6" ht="16" x14ac:dyDescent="0.2">
      <c r="A1615" s="12" t="s">
        <v>5178</v>
      </c>
      <c r="B1615" s="13"/>
      <c r="C1615" t="e">
        <f t="shared" si="0"/>
        <v>#N/A</v>
      </c>
      <c r="D1615" t="b">
        <f t="shared" si="1"/>
        <v>0</v>
      </c>
      <c r="E1615">
        <f t="shared" si="2"/>
        <v>0</v>
      </c>
      <c r="F1615" s="11"/>
    </row>
    <row r="1616" spans="1:6" ht="16" x14ac:dyDescent="0.2">
      <c r="A1616" s="12" t="s">
        <v>5179</v>
      </c>
      <c r="B1616" s="13"/>
      <c r="C1616" t="e">
        <f t="shared" si="0"/>
        <v>#N/A</v>
      </c>
      <c r="D1616" t="b">
        <f t="shared" si="1"/>
        <v>0</v>
      </c>
      <c r="E1616">
        <f t="shared" si="2"/>
        <v>0</v>
      </c>
      <c r="F1616" s="11"/>
    </row>
    <row r="1617" spans="1:6" ht="16" x14ac:dyDescent="0.2">
      <c r="A1617" s="12" t="s">
        <v>5180</v>
      </c>
      <c r="B1617" s="13"/>
      <c r="C1617" t="e">
        <f t="shared" si="0"/>
        <v>#N/A</v>
      </c>
      <c r="D1617" t="b">
        <f t="shared" si="1"/>
        <v>0</v>
      </c>
      <c r="E1617">
        <f t="shared" si="2"/>
        <v>0</v>
      </c>
      <c r="F1617" s="11"/>
    </row>
    <row r="1618" spans="1:6" ht="16" x14ac:dyDescent="0.2">
      <c r="A1618" s="12" t="s">
        <v>5181</v>
      </c>
      <c r="B1618" s="13"/>
      <c r="C1618" t="e">
        <f t="shared" si="0"/>
        <v>#N/A</v>
      </c>
      <c r="D1618" t="b">
        <f t="shared" si="1"/>
        <v>0</v>
      </c>
      <c r="E1618">
        <f t="shared" si="2"/>
        <v>0</v>
      </c>
      <c r="F1618" s="11"/>
    </row>
    <row r="1619" spans="1:6" ht="16" x14ac:dyDescent="0.2">
      <c r="A1619" s="12" t="s">
        <v>5182</v>
      </c>
      <c r="B1619" s="13"/>
      <c r="C1619" t="e">
        <f t="shared" si="0"/>
        <v>#N/A</v>
      </c>
      <c r="D1619" t="b">
        <f t="shared" si="1"/>
        <v>0</v>
      </c>
      <c r="E1619">
        <f t="shared" si="2"/>
        <v>0</v>
      </c>
      <c r="F1619" s="11"/>
    </row>
    <row r="1620" spans="1:6" ht="16" x14ac:dyDescent="0.2">
      <c r="A1620" s="12" t="s">
        <v>5183</v>
      </c>
      <c r="B1620" s="13"/>
      <c r="C1620" t="e">
        <f t="shared" si="0"/>
        <v>#N/A</v>
      </c>
      <c r="D1620" t="b">
        <f t="shared" si="1"/>
        <v>0</v>
      </c>
      <c r="E1620">
        <f t="shared" si="2"/>
        <v>0</v>
      </c>
      <c r="F1620" s="11"/>
    </row>
    <row r="1621" spans="1:6" ht="16" x14ac:dyDescent="0.2">
      <c r="A1621" s="12" t="s">
        <v>5184</v>
      </c>
      <c r="B1621" s="13"/>
      <c r="C1621" t="e">
        <f t="shared" si="0"/>
        <v>#N/A</v>
      </c>
      <c r="D1621" t="b">
        <f t="shared" si="1"/>
        <v>0</v>
      </c>
      <c r="E1621">
        <f t="shared" si="2"/>
        <v>0</v>
      </c>
      <c r="F1621" s="11"/>
    </row>
    <row r="1622" spans="1:6" ht="16" x14ac:dyDescent="0.2">
      <c r="A1622" s="12" t="s">
        <v>5185</v>
      </c>
      <c r="B1622" s="13"/>
      <c r="C1622" t="e">
        <f t="shared" si="0"/>
        <v>#N/A</v>
      </c>
      <c r="D1622" t="b">
        <f t="shared" si="1"/>
        <v>0</v>
      </c>
      <c r="E1622">
        <f t="shared" si="2"/>
        <v>0</v>
      </c>
      <c r="F1622" s="11"/>
    </row>
    <row r="1623" spans="1:6" ht="16" x14ac:dyDescent="0.2">
      <c r="A1623" s="12" t="s">
        <v>5186</v>
      </c>
      <c r="B1623" s="13"/>
      <c r="C1623" t="e">
        <f t="shared" si="0"/>
        <v>#N/A</v>
      </c>
      <c r="D1623" t="b">
        <f t="shared" si="1"/>
        <v>0</v>
      </c>
      <c r="E1623">
        <f t="shared" si="2"/>
        <v>0</v>
      </c>
      <c r="F1623" s="11"/>
    </row>
    <row r="1624" spans="1:6" ht="16" x14ac:dyDescent="0.2">
      <c r="A1624" s="12" t="s">
        <v>5187</v>
      </c>
      <c r="B1624" s="13"/>
      <c r="C1624" t="e">
        <f t="shared" si="0"/>
        <v>#N/A</v>
      </c>
      <c r="D1624" t="b">
        <f t="shared" si="1"/>
        <v>0</v>
      </c>
      <c r="E1624">
        <f t="shared" si="2"/>
        <v>0</v>
      </c>
      <c r="F1624" s="11"/>
    </row>
    <row r="1625" spans="1:6" ht="16" x14ac:dyDescent="0.2">
      <c r="A1625" s="12" t="s">
        <v>5188</v>
      </c>
      <c r="B1625" s="13"/>
      <c r="C1625" t="e">
        <f t="shared" si="0"/>
        <v>#N/A</v>
      </c>
      <c r="D1625" t="b">
        <f t="shared" si="1"/>
        <v>0</v>
      </c>
      <c r="E1625">
        <f t="shared" si="2"/>
        <v>0</v>
      </c>
      <c r="F1625" s="11"/>
    </row>
    <row r="1626" spans="1:6" ht="16" x14ac:dyDescent="0.2">
      <c r="A1626" s="12" t="s">
        <v>5189</v>
      </c>
      <c r="B1626" s="13"/>
      <c r="C1626" t="e">
        <f t="shared" si="0"/>
        <v>#N/A</v>
      </c>
      <c r="D1626" t="b">
        <f t="shared" si="1"/>
        <v>0</v>
      </c>
      <c r="E1626">
        <f t="shared" si="2"/>
        <v>0</v>
      </c>
      <c r="F1626" s="11"/>
    </row>
    <row r="1627" spans="1:6" ht="16" x14ac:dyDescent="0.2">
      <c r="A1627" s="12" t="s">
        <v>5190</v>
      </c>
      <c r="B1627" s="13"/>
      <c r="C1627" t="e">
        <f t="shared" si="0"/>
        <v>#N/A</v>
      </c>
      <c r="D1627" t="b">
        <f t="shared" si="1"/>
        <v>0</v>
      </c>
      <c r="E1627">
        <f t="shared" si="2"/>
        <v>0</v>
      </c>
      <c r="F1627" s="11"/>
    </row>
    <row r="1628" spans="1:6" ht="16" x14ac:dyDescent="0.2">
      <c r="A1628" s="12" t="s">
        <v>5191</v>
      </c>
      <c r="B1628" s="13"/>
      <c r="C1628" t="e">
        <f t="shared" si="0"/>
        <v>#N/A</v>
      </c>
      <c r="D1628" t="b">
        <f t="shared" si="1"/>
        <v>0</v>
      </c>
      <c r="E1628">
        <f t="shared" si="2"/>
        <v>0</v>
      </c>
      <c r="F1628" s="11"/>
    </row>
    <row r="1629" spans="1:6" ht="16" x14ac:dyDescent="0.2">
      <c r="A1629" s="12" t="s">
        <v>5192</v>
      </c>
      <c r="B1629" s="13"/>
      <c r="C1629" t="e">
        <f t="shared" si="0"/>
        <v>#N/A</v>
      </c>
      <c r="D1629" t="b">
        <f t="shared" si="1"/>
        <v>0</v>
      </c>
      <c r="E1629">
        <f t="shared" si="2"/>
        <v>0</v>
      </c>
      <c r="F1629" s="11"/>
    </row>
    <row r="1630" spans="1:6" ht="16" x14ac:dyDescent="0.2">
      <c r="A1630" s="12" t="s">
        <v>5193</v>
      </c>
      <c r="B1630" s="13"/>
      <c r="C1630" t="e">
        <f t="shared" si="0"/>
        <v>#N/A</v>
      </c>
      <c r="D1630" t="b">
        <f t="shared" si="1"/>
        <v>0</v>
      </c>
      <c r="E1630">
        <f t="shared" si="2"/>
        <v>0</v>
      </c>
      <c r="F1630" s="11"/>
    </row>
    <row r="1631" spans="1:6" ht="16" x14ac:dyDescent="0.2">
      <c r="A1631" s="12" t="s">
        <v>5194</v>
      </c>
      <c r="B1631" s="13"/>
      <c r="C1631" t="e">
        <f t="shared" si="0"/>
        <v>#N/A</v>
      </c>
      <c r="D1631" t="b">
        <f t="shared" si="1"/>
        <v>0</v>
      </c>
      <c r="E1631">
        <f t="shared" si="2"/>
        <v>0</v>
      </c>
      <c r="F1631" s="11"/>
    </row>
    <row r="1632" spans="1:6" ht="16" x14ac:dyDescent="0.2">
      <c r="A1632" s="12" t="s">
        <v>5195</v>
      </c>
      <c r="B1632" s="13"/>
      <c r="C1632" t="e">
        <f t="shared" si="0"/>
        <v>#N/A</v>
      </c>
      <c r="D1632" t="b">
        <f t="shared" si="1"/>
        <v>0</v>
      </c>
      <c r="E1632">
        <f t="shared" si="2"/>
        <v>0</v>
      </c>
      <c r="F1632" s="11"/>
    </row>
    <row r="1633" spans="1:6" ht="16" x14ac:dyDescent="0.2">
      <c r="A1633" s="12" t="s">
        <v>5196</v>
      </c>
      <c r="B1633" s="13"/>
      <c r="C1633" t="e">
        <f t="shared" si="0"/>
        <v>#N/A</v>
      </c>
      <c r="D1633" t="b">
        <f t="shared" si="1"/>
        <v>0</v>
      </c>
      <c r="E1633">
        <f t="shared" si="2"/>
        <v>0</v>
      </c>
      <c r="F1633" s="11"/>
    </row>
    <row r="1634" spans="1:6" ht="16" x14ac:dyDescent="0.2">
      <c r="A1634" s="12" t="s">
        <v>5197</v>
      </c>
      <c r="B1634" s="13"/>
      <c r="C1634" t="e">
        <f t="shared" si="0"/>
        <v>#N/A</v>
      </c>
      <c r="D1634" t="b">
        <f t="shared" si="1"/>
        <v>0</v>
      </c>
      <c r="E1634">
        <f t="shared" si="2"/>
        <v>0</v>
      </c>
      <c r="F1634" s="11"/>
    </row>
    <row r="1635" spans="1:6" ht="16" x14ac:dyDescent="0.2">
      <c r="A1635" s="12" t="s">
        <v>5198</v>
      </c>
      <c r="B1635" s="13"/>
      <c r="C1635" t="e">
        <f t="shared" si="0"/>
        <v>#N/A</v>
      </c>
      <c r="D1635" t="b">
        <f t="shared" si="1"/>
        <v>0</v>
      </c>
      <c r="E1635">
        <f t="shared" si="2"/>
        <v>0</v>
      </c>
      <c r="F1635" s="11"/>
    </row>
    <row r="1636" spans="1:6" ht="16" x14ac:dyDescent="0.2">
      <c r="A1636" s="12" t="s">
        <v>5199</v>
      </c>
      <c r="B1636" s="13"/>
      <c r="C1636" t="e">
        <f t="shared" si="0"/>
        <v>#N/A</v>
      </c>
      <c r="D1636" t="b">
        <f t="shared" si="1"/>
        <v>0</v>
      </c>
      <c r="E1636">
        <f t="shared" si="2"/>
        <v>0</v>
      </c>
      <c r="F1636" s="11"/>
    </row>
    <row r="1637" spans="1:6" ht="16" x14ac:dyDescent="0.2">
      <c r="A1637" s="12" t="s">
        <v>5200</v>
      </c>
      <c r="B1637" s="13"/>
      <c r="C1637" t="e">
        <f t="shared" si="0"/>
        <v>#N/A</v>
      </c>
      <c r="D1637" t="b">
        <f t="shared" si="1"/>
        <v>0</v>
      </c>
      <c r="E1637">
        <f t="shared" si="2"/>
        <v>0</v>
      </c>
      <c r="F1637" s="11"/>
    </row>
    <row r="1638" spans="1:6" ht="16" x14ac:dyDescent="0.2">
      <c r="A1638" s="12" t="s">
        <v>5201</v>
      </c>
      <c r="B1638" s="13"/>
      <c r="C1638" t="e">
        <f t="shared" si="0"/>
        <v>#N/A</v>
      </c>
      <c r="D1638" t="b">
        <f t="shared" si="1"/>
        <v>0</v>
      </c>
      <c r="E1638">
        <f t="shared" si="2"/>
        <v>0</v>
      </c>
      <c r="F1638" s="11"/>
    </row>
    <row r="1639" spans="1:6" ht="16" x14ac:dyDescent="0.2">
      <c r="A1639" s="12" t="s">
        <v>5202</v>
      </c>
      <c r="B1639" s="13"/>
      <c r="C1639" t="e">
        <f t="shared" si="0"/>
        <v>#N/A</v>
      </c>
      <c r="D1639" t="b">
        <f t="shared" si="1"/>
        <v>0</v>
      </c>
      <c r="E1639">
        <f t="shared" si="2"/>
        <v>0</v>
      </c>
      <c r="F1639" s="11"/>
    </row>
    <row r="1640" spans="1:6" ht="16" x14ac:dyDescent="0.2">
      <c r="A1640" s="12" t="s">
        <v>5203</v>
      </c>
      <c r="B1640" s="13"/>
      <c r="C1640" t="e">
        <f t="shared" si="0"/>
        <v>#N/A</v>
      </c>
      <c r="D1640" t="b">
        <f t="shared" si="1"/>
        <v>0</v>
      </c>
      <c r="E1640">
        <f t="shared" si="2"/>
        <v>0</v>
      </c>
      <c r="F1640" s="11"/>
    </row>
    <row r="1641" spans="1:6" ht="16" x14ac:dyDescent="0.2">
      <c r="A1641" s="12" t="s">
        <v>5204</v>
      </c>
      <c r="B1641" s="13"/>
      <c r="C1641" t="e">
        <f t="shared" si="0"/>
        <v>#N/A</v>
      </c>
      <c r="D1641" t="b">
        <f t="shared" si="1"/>
        <v>0</v>
      </c>
      <c r="E1641">
        <f t="shared" si="2"/>
        <v>0</v>
      </c>
      <c r="F1641" s="11"/>
    </row>
    <row r="1642" spans="1:6" ht="16" x14ac:dyDescent="0.2">
      <c r="A1642" s="12" t="s">
        <v>5205</v>
      </c>
      <c r="B1642" s="13"/>
      <c r="C1642" t="e">
        <f t="shared" si="0"/>
        <v>#N/A</v>
      </c>
      <c r="D1642" t="b">
        <f t="shared" si="1"/>
        <v>0</v>
      </c>
      <c r="E1642">
        <f t="shared" si="2"/>
        <v>0</v>
      </c>
      <c r="F1642" s="11"/>
    </row>
    <row r="1643" spans="1:6" ht="16" x14ac:dyDescent="0.2">
      <c r="A1643" s="12" t="s">
        <v>5206</v>
      </c>
      <c r="B1643" s="13"/>
      <c r="C1643" t="e">
        <f t="shared" si="0"/>
        <v>#N/A</v>
      </c>
      <c r="D1643" t="b">
        <f t="shared" si="1"/>
        <v>0</v>
      </c>
      <c r="E1643">
        <f t="shared" si="2"/>
        <v>0</v>
      </c>
      <c r="F1643" s="11"/>
    </row>
    <row r="1644" spans="1:6" ht="16" x14ac:dyDescent="0.2">
      <c r="A1644" s="12" t="s">
        <v>5207</v>
      </c>
      <c r="B1644" s="13"/>
      <c r="C1644" t="e">
        <f t="shared" si="0"/>
        <v>#N/A</v>
      </c>
      <c r="D1644" t="b">
        <f t="shared" si="1"/>
        <v>0</v>
      </c>
      <c r="E1644">
        <f t="shared" si="2"/>
        <v>0</v>
      </c>
      <c r="F1644" s="11"/>
    </row>
    <row r="1645" spans="1:6" ht="16" x14ac:dyDescent="0.2">
      <c r="A1645" s="12" t="s">
        <v>5208</v>
      </c>
      <c r="B1645" s="13"/>
      <c r="C1645" t="e">
        <f t="shared" si="0"/>
        <v>#N/A</v>
      </c>
      <c r="D1645" t="b">
        <f t="shared" si="1"/>
        <v>0</v>
      </c>
      <c r="E1645">
        <f t="shared" si="2"/>
        <v>0</v>
      </c>
      <c r="F1645" s="11"/>
    </row>
    <row r="1646" spans="1:6" ht="16" x14ac:dyDescent="0.2">
      <c r="A1646" s="12" t="s">
        <v>5209</v>
      </c>
      <c r="B1646" s="13"/>
      <c r="C1646" t="e">
        <f t="shared" si="0"/>
        <v>#N/A</v>
      </c>
      <c r="D1646" t="b">
        <f t="shared" si="1"/>
        <v>0</v>
      </c>
      <c r="E1646">
        <f t="shared" si="2"/>
        <v>0</v>
      </c>
      <c r="F1646" s="11"/>
    </row>
    <row r="1647" spans="1:6" ht="16" x14ac:dyDescent="0.2">
      <c r="A1647" s="12" t="s">
        <v>5210</v>
      </c>
      <c r="B1647" s="13"/>
      <c r="C1647" t="e">
        <f t="shared" si="0"/>
        <v>#N/A</v>
      </c>
      <c r="D1647" t="b">
        <f t="shared" si="1"/>
        <v>0</v>
      </c>
      <c r="E1647">
        <f t="shared" si="2"/>
        <v>0</v>
      </c>
      <c r="F1647" s="11"/>
    </row>
    <row r="1648" spans="1:6" ht="16" x14ac:dyDescent="0.2">
      <c r="A1648" s="12" t="s">
        <v>5211</v>
      </c>
      <c r="B1648" s="13"/>
      <c r="C1648" t="e">
        <f t="shared" si="0"/>
        <v>#N/A</v>
      </c>
      <c r="D1648" t="b">
        <f t="shared" si="1"/>
        <v>0</v>
      </c>
      <c r="E1648">
        <f t="shared" si="2"/>
        <v>0</v>
      </c>
      <c r="F1648" s="11"/>
    </row>
    <row r="1649" spans="1:6" ht="16" x14ac:dyDescent="0.2">
      <c r="A1649" s="12" t="s">
        <v>5212</v>
      </c>
      <c r="B1649" s="13"/>
      <c r="C1649" t="e">
        <f t="shared" si="0"/>
        <v>#N/A</v>
      </c>
      <c r="D1649" t="b">
        <f t="shared" si="1"/>
        <v>0</v>
      </c>
      <c r="E1649">
        <f t="shared" si="2"/>
        <v>0</v>
      </c>
      <c r="F1649" s="11"/>
    </row>
    <row r="1650" spans="1:6" ht="16" x14ac:dyDescent="0.2">
      <c r="A1650" s="12" t="s">
        <v>5213</v>
      </c>
      <c r="B1650" s="13"/>
      <c r="C1650" t="e">
        <f t="shared" si="0"/>
        <v>#N/A</v>
      </c>
      <c r="D1650" t="b">
        <f t="shared" si="1"/>
        <v>0</v>
      </c>
      <c r="E1650">
        <f t="shared" si="2"/>
        <v>0</v>
      </c>
      <c r="F1650" s="11"/>
    </row>
    <row r="1651" spans="1:6" ht="16" x14ac:dyDescent="0.2">
      <c r="A1651" s="12" t="s">
        <v>5214</v>
      </c>
      <c r="B1651" s="13"/>
      <c r="C1651" t="e">
        <f t="shared" si="0"/>
        <v>#N/A</v>
      </c>
      <c r="D1651" t="b">
        <f t="shared" si="1"/>
        <v>0</v>
      </c>
      <c r="E1651">
        <f t="shared" si="2"/>
        <v>0</v>
      </c>
      <c r="F1651" s="11"/>
    </row>
    <row r="1652" spans="1:6" ht="16" x14ac:dyDescent="0.2">
      <c r="A1652" s="12" t="s">
        <v>5215</v>
      </c>
      <c r="B1652" s="13"/>
      <c r="C1652" t="e">
        <f t="shared" si="0"/>
        <v>#N/A</v>
      </c>
      <c r="D1652" t="b">
        <f t="shared" si="1"/>
        <v>0</v>
      </c>
      <c r="E1652">
        <f t="shared" si="2"/>
        <v>0</v>
      </c>
      <c r="F1652" s="11"/>
    </row>
    <row r="1653" spans="1:6" ht="16" x14ac:dyDescent="0.2">
      <c r="A1653" s="12" t="s">
        <v>5216</v>
      </c>
      <c r="B1653" s="13"/>
      <c r="C1653" t="e">
        <f t="shared" si="0"/>
        <v>#N/A</v>
      </c>
      <c r="D1653" t="b">
        <f t="shared" si="1"/>
        <v>0</v>
      </c>
      <c r="E1653">
        <f t="shared" si="2"/>
        <v>0</v>
      </c>
      <c r="F1653" s="11"/>
    </row>
    <row r="1654" spans="1:6" ht="16" x14ac:dyDescent="0.2">
      <c r="A1654" s="12" t="s">
        <v>5217</v>
      </c>
      <c r="B1654" s="13"/>
      <c r="C1654" t="e">
        <f t="shared" si="0"/>
        <v>#N/A</v>
      </c>
      <c r="D1654" t="b">
        <f t="shared" si="1"/>
        <v>0</v>
      </c>
      <c r="E1654">
        <f t="shared" si="2"/>
        <v>0</v>
      </c>
      <c r="F1654" s="11"/>
    </row>
    <row r="1655" spans="1:6" ht="16" x14ac:dyDescent="0.2">
      <c r="A1655" s="12" t="s">
        <v>5218</v>
      </c>
      <c r="B1655" s="13"/>
      <c r="C1655" t="e">
        <f t="shared" si="0"/>
        <v>#N/A</v>
      </c>
      <c r="D1655" t="b">
        <f t="shared" si="1"/>
        <v>0</v>
      </c>
      <c r="E1655">
        <f t="shared" si="2"/>
        <v>0</v>
      </c>
      <c r="F1655" s="11"/>
    </row>
    <row r="1656" spans="1:6" ht="16" x14ac:dyDescent="0.2">
      <c r="A1656" s="12" t="s">
        <v>5219</v>
      </c>
      <c r="B1656" s="13"/>
      <c r="C1656" t="e">
        <f t="shared" si="0"/>
        <v>#N/A</v>
      </c>
      <c r="D1656" t="b">
        <f t="shared" si="1"/>
        <v>0</v>
      </c>
      <c r="E1656">
        <f t="shared" si="2"/>
        <v>0</v>
      </c>
      <c r="F1656" s="11"/>
    </row>
    <row r="1657" spans="1:6" ht="16" x14ac:dyDescent="0.2">
      <c r="A1657" s="12" t="s">
        <v>5220</v>
      </c>
      <c r="B1657" s="13"/>
      <c r="C1657" t="e">
        <f t="shared" si="0"/>
        <v>#N/A</v>
      </c>
      <c r="D1657" t="b">
        <f t="shared" si="1"/>
        <v>0</v>
      </c>
      <c r="E1657">
        <f t="shared" si="2"/>
        <v>0</v>
      </c>
      <c r="F1657" s="11"/>
    </row>
    <row r="1658" spans="1:6" ht="16" x14ac:dyDescent="0.2">
      <c r="A1658" s="12" t="s">
        <v>5221</v>
      </c>
      <c r="B1658" s="13"/>
      <c r="C1658" t="e">
        <f t="shared" si="0"/>
        <v>#N/A</v>
      </c>
      <c r="D1658" t="b">
        <f t="shared" si="1"/>
        <v>0</v>
      </c>
      <c r="E1658">
        <f t="shared" si="2"/>
        <v>0</v>
      </c>
      <c r="F1658" s="11"/>
    </row>
    <row r="1659" spans="1:6" ht="16" x14ac:dyDescent="0.2">
      <c r="A1659" s="12" t="s">
        <v>5222</v>
      </c>
      <c r="B1659" s="13"/>
      <c r="C1659" t="e">
        <f t="shared" si="0"/>
        <v>#N/A</v>
      </c>
      <c r="D1659" t="b">
        <f t="shared" si="1"/>
        <v>0</v>
      </c>
      <c r="E1659">
        <f t="shared" si="2"/>
        <v>0</v>
      </c>
      <c r="F1659" s="11"/>
    </row>
    <row r="1660" spans="1:6" ht="16" x14ac:dyDescent="0.2">
      <c r="A1660" s="12" t="s">
        <v>5223</v>
      </c>
      <c r="B1660" s="13"/>
      <c r="C1660" t="e">
        <f t="shared" si="0"/>
        <v>#N/A</v>
      </c>
      <c r="D1660" t="b">
        <f t="shared" si="1"/>
        <v>0</v>
      </c>
      <c r="E1660">
        <f t="shared" si="2"/>
        <v>0</v>
      </c>
      <c r="F1660" s="11"/>
    </row>
    <row r="1661" spans="1:6" ht="16" x14ac:dyDescent="0.2">
      <c r="A1661" s="12" t="s">
        <v>5224</v>
      </c>
      <c r="B1661" s="13"/>
      <c r="C1661" t="e">
        <f t="shared" si="0"/>
        <v>#N/A</v>
      </c>
      <c r="D1661" t="b">
        <f t="shared" si="1"/>
        <v>0</v>
      </c>
      <c r="E1661">
        <f t="shared" si="2"/>
        <v>0</v>
      </c>
      <c r="F1661" s="11"/>
    </row>
    <row r="1662" spans="1:6" ht="16" x14ac:dyDescent="0.2">
      <c r="A1662" s="12" t="s">
        <v>5225</v>
      </c>
      <c r="B1662" s="13"/>
      <c r="C1662" t="e">
        <f t="shared" si="0"/>
        <v>#N/A</v>
      </c>
      <c r="D1662" t="b">
        <f t="shared" si="1"/>
        <v>0</v>
      </c>
      <c r="E1662">
        <f t="shared" si="2"/>
        <v>0</v>
      </c>
      <c r="F1662" s="11"/>
    </row>
    <row r="1663" spans="1:6" ht="16" x14ac:dyDescent="0.2">
      <c r="A1663" s="12" t="s">
        <v>5226</v>
      </c>
      <c r="B1663" s="13"/>
      <c r="C1663" t="e">
        <f t="shared" si="0"/>
        <v>#N/A</v>
      </c>
      <c r="D1663" t="b">
        <f t="shared" si="1"/>
        <v>0</v>
      </c>
      <c r="E1663">
        <f t="shared" si="2"/>
        <v>0</v>
      </c>
      <c r="F1663" s="11"/>
    </row>
    <row r="1664" spans="1:6" ht="16" x14ac:dyDescent="0.2">
      <c r="A1664" s="12" t="s">
        <v>5227</v>
      </c>
      <c r="B1664" s="13"/>
      <c r="C1664" t="e">
        <f t="shared" si="0"/>
        <v>#N/A</v>
      </c>
      <c r="D1664" t="b">
        <f t="shared" si="1"/>
        <v>0</v>
      </c>
      <c r="E1664">
        <f t="shared" si="2"/>
        <v>0</v>
      </c>
      <c r="F1664" s="11"/>
    </row>
    <row r="1665" spans="1:6" ht="16" x14ac:dyDescent="0.2">
      <c r="A1665" s="12" t="s">
        <v>5228</v>
      </c>
      <c r="B1665" s="13"/>
      <c r="C1665" t="e">
        <f t="shared" si="0"/>
        <v>#N/A</v>
      </c>
      <c r="D1665" t="b">
        <f t="shared" si="1"/>
        <v>0</v>
      </c>
      <c r="E1665">
        <f t="shared" si="2"/>
        <v>0</v>
      </c>
      <c r="F1665" s="11"/>
    </row>
    <row r="1666" spans="1:6" ht="16" x14ac:dyDescent="0.2">
      <c r="A1666" s="12" t="s">
        <v>5229</v>
      </c>
      <c r="B1666" s="13"/>
      <c r="C1666" t="e">
        <f t="shared" si="0"/>
        <v>#N/A</v>
      </c>
      <c r="D1666" t="b">
        <f t="shared" si="1"/>
        <v>0</v>
      </c>
      <c r="E1666">
        <f t="shared" si="2"/>
        <v>0</v>
      </c>
      <c r="F1666" s="11"/>
    </row>
    <row r="1667" spans="1:6" ht="16" x14ac:dyDescent="0.2">
      <c r="A1667" s="12" t="s">
        <v>5230</v>
      </c>
      <c r="B1667" s="13"/>
      <c r="C1667" t="e">
        <f t="shared" si="0"/>
        <v>#N/A</v>
      </c>
      <c r="D1667" t="b">
        <f t="shared" si="1"/>
        <v>0</v>
      </c>
      <c r="E1667">
        <f t="shared" si="2"/>
        <v>0</v>
      </c>
      <c r="F1667" s="11"/>
    </row>
    <row r="1668" spans="1:6" ht="16" x14ac:dyDescent="0.2">
      <c r="A1668" s="12" t="s">
        <v>5231</v>
      </c>
      <c r="B1668" s="13"/>
      <c r="C1668" t="e">
        <f t="shared" si="0"/>
        <v>#N/A</v>
      </c>
      <c r="D1668" t="b">
        <f t="shared" si="1"/>
        <v>0</v>
      </c>
      <c r="E1668">
        <f t="shared" si="2"/>
        <v>0</v>
      </c>
      <c r="F1668" s="11"/>
    </row>
    <row r="1669" spans="1:6" ht="16" x14ac:dyDescent="0.2">
      <c r="A1669" s="12" t="s">
        <v>5232</v>
      </c>
      <c r="B1669" s="13"/>
      <c r="C1669" t="e">
        <f t="shared" si="0"/>
        <v>#N/A</v>
      </c>
      <c r="D1669" t="b">
        <f t="shared" si="1"/>
        <v>0</v>
      </c>
      <c r="E1669">
        <f t="shared" si="2"/>
        <v>0</v>
      </c>
      <c r="F1669" s="11"/>
    </row>
    <row r="1670" spans="1:6" ht="16" x14ac:dyDescent="0.2">
      <c r="A1670" s="12" t="s">
        <v>5233</v>
      </c>
      <c r="B1670" s="13"/>
      <c r="C1670" t="e">
        <f t="shared" si="0"/>
        <v>#N/A</v>
      </c>
      <c r="D1670" t="b">
        <f t="shared" si="1"/>
        <v>0</v>
      </c>
      <c r="E1670">
        <f t="shared" si="2"/>
        <v>0</v>
      </c>
      <c r="F1670" s="11"/>
    </row>
    <row r="1671" spans="1:6" ht="16" x14ac:dyDescent="0.2">
      <c r="A1671" s="12" t="s">
        <v>5234</v>
      </c>
      <c r="B1671" s="13"/>
      <c r="C1671" t="e">
        <f t="shared" si="0"/>
        <v>#N/A</v>
      </c>
      <c r="D1671" t="b">
        <f t="shared" si="1"/>
        <v>0</v>
      </c>
      <c r="E1671">
        <f t="shared" si="2"/>
        <v>0</v>
      </c>
      <c r="F1671" s="11"/>
    </row>
    <row r="1672" spans="1:6" ht="16" x14ac:dyDescent="0.2">
      <c r="A1672" s="12" t="s">
        <v>5235</v>
      </c>
      <c r="B1672" s="13"/>
      <c r="C1672" t="e">
        <f t="shared" si="0"/>
        <v>#N/A</v>
      </c>
      <c r="D1672" t="b">
        <f t="shared" si="1"/>
        <v>0</v>
      </c>
      <c r="E1672">
        <f t="shared" si="2"/>
        <v>0</v>
      </c>
      <c r="F1672" s="11"/>
    </row>
    <row r="1673" spans="1:6" ht="16" x14ac:dyDescent="0.2">
      <c r="A1673" s="12" t="s">
        <v>5236</v>
      </c>
      <c r="B1673" s="13"/>
      <c r="C1673" t="e">
        <f t="shared" si="0"/>
        <v>#N/A</v>
      </c>
      <c r="D1673" t="b">
        <f t="shared" si="1"/>
        <v>0</v>
      </c>
      <c r="E1673">
        <f t="shared" si="2"/>
        <v>0</v>
      </c>
      <c r="F1673" s="11"/>
    </row>
    <row r="1674" spans="1:6" ht="16" x14ac:dyDescent="0.2">
      <c r="A1674" s="12" t="s">
        <v>5237</v>
      </c>
      <c r="B1674" s="13"/>
      <c r="C1674" t="e">
        <f t="shared" si="0"/>
        <v>#N/A</v>
      </c>
      <c r="D1674" t="b">
        <f t="shared" si="1"/>
        <v>0</v>
      </c>
      <c r="E1674">
        <f t="shared" si="2"/>
        <v>0</v>
      </c>
      <c r="F1674" s="11"/>
    </row>
    <row r="1675" spans="1:6" ht="16" x14ac:dyDescent="0.2">
      <c r="A1675" s="12" t="s">
        <v>5238</v>
      </c>
      <c r="B1675" s="13"/>
      <c r="C1675" t="e">
        <f t="shared" si="0"/>
        <v>#N/A</v>
      </c>
      <c r="D1675" t="b">
        <f t="shared" si="1"/>
        <v>0</v>
      </c>
      <c r="E1675">
        <f t="shared" si="2"/>
        <v>0</v>
      </c>
      <c r="F1675" s="11"/>
    </row>
    <row r="1676" spans="1:6" ht="16" x14ac:dyDescent="0.2">
      <c r="A1676" s="12" t="s">
        <v>5239</v>
      </c>
      <c r="B1676" s="13"/>
      <c r="C1676" t="e">
        <f t="shared" si="0"/>
        <v>#N/A</v>
      </c>
      <c r="D1676" t="b">
        <f t="shared" si="1"/>
        <v>0</v>
      </c>
      <c r="E1676">
        <f t="shared" si="2"/>
        <v>0</v>
      </c>
      <c r="F1676" s="11"/>
    </row>
    <row r="1677" spans="1:6" ht="16" x14ac:dyDescent="0.2">
      <c r="A1677" s="12" t="s">
        <v>5240</v>
      </c>
      <c r="B1677" s="13"/>
      <c r="C1677" t="e">
        <f t="shared" si="0"/>
        <v>#N/A</v>
      </c>
      <c r="D1677" t="b">
        <f t="shared" si="1"/>
        <v>0</v>
      </c>
      <c r="E1677">
        <f t="shared" si="2"/>
        <v>0</v>
      </c>
      <c r="F1677" s="11"/>
    </row>
    <row r="1678" spans="1:6" ht="16" x14ac:dyDescent="0.2">
      <c r="A1678" s="12" t="s">
        <v>5241</v>
      </c>
      <c r="B1678" s="13"/>
      <c r="C1678" t="e">
        <f t="shared" si="0"/>
        <v>#N/A</v>
      </c>
      <c r="D1678" t="b">
        <f t="shared" si="1"/>
        <v>0</v>
      </c>
      <c r="E1678">
        <f t="shared" si="2"/>
        <v>0</v>
      </c>
      <c r="F1678" s="11"/>
    </row>
    <row r="1679" spans="1:6" ht="16" x14ac:dyDescent="0.2">
      <c r="A1679" s="12" t="s">
        <v>5242</v>
      </c>
      <c r="B1679" s="13"/>
      <c r="C1679" t="e">
        <f t="shared" si="0"/>
        <v>#N/A</v>
      </c>
      <c r="D1679" t="b">
        <f t="shared" si="1"/>
        <v>0</v>
      </c>
      <c r="E1679">
        <f t="shared" si="2"/>
        <v>0</v>
      </c>
      <c r="F1679" s="11"/>
    </row>
    <row r="1680" spans="1:6" ht="16" x14ac:dyDescent="0.2">
      <c r="A1680" s="12" t="s">
        <v>5243</v>
      </c>
      <c r="B1680" s="13"/>
      <c r="C1680" t="e">
        <f t="shared" si="0"/>
        <v>#N/A</v>
      </c>
      <c r="D1680" t="b">
        <f t="shared" si="1"/>
        <v>0</v>
      </c>
      <c r="E1680">
        <f t="shared" si="2"/>
        <v>0</v>
      </c>
      <c r="F1680" s="11"/>
    </row>
    <row r="1681" spans="1:6" ht="16" x14ac:dyDescent="0.2">
      <c r="A1681" s="12" t="s">
        <v>5244</v>
      </c>
      <c r="B1681" s="13"/>
      <c r="C1681" t="e">
        <f t="shared" si="0"/>
        <v>#N/A</v>
      </c>
      <c r="D1681" t="b">
        <f t="shared" si="1"/>
        <v>0</v>
      </c>
      <c r="E1681">
        <f t="shared" si="2"/>
        <v>0</v>
      </c>
      <c r="F1681" s="11"/>
    </row>
    <row r="1682" spans="1:6" ht="16" x14ac:dyDescent="0.2">
      <c r="A1682" s="12" t="s">
        <v>5245</v>
      </c>
      <c r="B1682" s="13"/>
      <c r="C1682" t="e">
        <f t="shared" si="0"/>
        <v>#N/A</v>
      </c>
      <c r="D1682" t="b">
        <f t="shared" si="1"/>
        <v>0</v>
      </c>
      <c r="E1682">
        <f t="shared" si="2"/>
        <v>0</v>
      </c>
      <c r="F1682" s="11"/>
    </row>
    <row r="1683" spans="1:6" ht="16" x14ac:dyDescent="0.2">
      <c r="A1683" s="12" t="s">
        <v>5246</v>
      </c>
      <c r="B1683" s="13"/>
      <c r="C1683" t="e">
        <f t="shared" si="0"/>
        <v>#N/A</v>
      </c>
      <c r="D1683" t="b">
        <f t="shared" si="1"/>
        <v>0</v>
      </c>
      <c r="E1683">
        <f t="shared" si="2"/>
        <v>0</v>
      </c>
      <c r="F1683" s="11"/>
    </row>
    <row r="1684" spans="1:6" ht="16" x14ac:dyDescent="0.2">
      <c r="A1684" s="12" t="s">
        <v>5247</v>
      </c>
      <c r="B1684" s="13"/>
      <c r="C1684" t="e">
        <f t="shared" si="0"/>
        <v>#N/A</v>
      </c>
      <c r="D1684" t="b">
        <f t="shared" si="1"/>
        <v>0</v>
      </c>
      <c r="E1684">
        <f t="shared" si="2"/>
        <v>0</v>
      </c>
      <c r="F1684" s="11"/>
    </row>
    <row r="1685" spans="1:6" ht="16" x14ac:dyDescent="0.2">
      <c r="A1685" s="12" t="s">
        <v>5248</v>
      </c>
      <c r="B1685" s="13"/>
      <c r="C1685" t="e">
        <f t="shared" si="0"/>
        <v>#N/A</v>
      </c>
      <c r="D1685" t="b">
        <f t="shared" si="1"/>
        <v>0</v>
      </c>
      <c r="E1685">
        <f t="shared" si="2"/>
        <v>0</v>
      </c>
      <c r="F1685" s="11"/>
    </row>
    <row r="1686" spans="1:6" ht="16" x14ac:dyDescent="0.2">
      <c r="A1686" s="12" t="s">
        <v>5249</v>
      </c>
      <c r="B1686" s="13"/>
      <c r="C1686" t="e">
        <f t="shared" si="0"/>
        <v>#N/A</v>
      </c>
      <c r="D1686" t="b">
        <f t="shared" si="1"/>
        <v>0</v>
      </c>
      <c r="E1686">
        <f t="shared" si="2"/>
        <v>0</v>
      </c>
      <c r="F1686" s="11"/>
    </row>
    <row r="1687" spans="1:6" ht="16" x14ac:dyDescent="0.2">
      <c r="A1687" s="12" t="s">
        <v>5250</v>
      </c>
      <c r="B1687" s="13"/>
      <c r="C1687" t="e">
        <f t="shared" si="0"/>
        <v>#N/A</v>
      </c>
      <c r="D1687" t="b">
        <f t="shared" si="1"/>
        <v>0</v>
      </c>
      <c r="E1687">
        <f t="shared" si="2"/>
        <v>0</v>
      </c>
      <c r="F1687" s="11"/>
    </row>
    <row r="1688" spans="1:6" ht="16" x14ac:dyDescent="0.2">
      <c r="A1688" s="12" t="s">
        <v>5251</v>
      </c>
      <c r="B1688" s="13"/>
      <c r="C1688" t="e">
        <f t="shared" si="0"/>
        <v>#N/A</v>
      </c>
      <c r="D1688" t="b">
        <f t="shared" si="1"/>
        <v>0</v>
      </c>
      <c r="E1688">
        <f t="shared" si="2"/>
        <v>0</v>
      </c>
      <c r="F1688" s="11"/>
    </row>
    <row r="1689" spans="1:6" ht="16" x14ac:dyDescent="0.2">
      <c r="A1689" s="12" t="s">
        <v>5252</v>
      </c>
      <c r="B1689" s="13"/>
      <c r="C1689" t="e">
        <f t="shared" si="0"/>
        <v>#N/A</v>
      </c>
      <c r="D1689" t="b">
        <f t="shared" si="1"/>
        <v>0</v>
      </c>
      <c r="E1689">
        <f t="shared" si="2"/>
        <v>0</v>
      </c>
      <c r="F1689" s="11"/>
    </row>
    <row r="1690" spans="1:6" ht="16" x14ac:dyDescent="0.2">
      <c r="A1690" s="12" t="s">
        <v>5253</v>
      </c>
      <c r="B1690" s="13"/>
      <c r="C1690" t="e">
        <f t="shared" si="0"/>
        <v>#N/A</v>
      </c>
      <c r="D1690" t="b">
        <f t="shared" si="1"/>
        <v>0</v>
      </c>
      <c r="E1690">
        <f t="shared" si="2"/>
        <v>0</v>
      </c>
      <c r="F1690" s="11"/>
    </row>
    <row r="1691" spans="1:6" ht="16" x14ac:dyDescent="0.2">
      <c r="A1691" s="12" t="s">
        <v>5254</v>
      </c>
      <c r="B1691" s="13"/>
      <c r="C1691" t="e">
        <f t="shared" si="0"/>
        <v>#N/A</v>
      </c>
      <c r="D1691" t="b">
        <f t="shared" si="1"/>
        <v>0</v>
      </c>
      <c r="E1691">
        <f t="shared" si="2"/>
        <v>0</v>
      </c>
      <c r="F1691" s="11"/>
    </row>
    <row r="1692" spans="1:6" ht="16" x14ac:dyDescent="0.2">
      <c r="A1692" s="12" t="s">
        <v>5255</v>
      </c>
      <c r="B1692" s="13"/>
      <c r="C1692" t="e">
        <f t="shared" si="0"/>
        <v>#N/A</v>
      </c>
      <c r="D1692" t="b">
        <f t="shared" si="1"/>
        <v>0</v>
      </c>
      <c r="E1692">
        <f t="shared" si="2"/>
        <v>0</v>
      </c>
      <c r="F1692" s="11"/>
    </row>
    <row r="1693" spans="1:6" ht="16" x14ac:dyDescent="0.2">
      <c r="A1693" s="12" t="s">
        <v>5256</v>
      </c>
      <c r="B1693" s="13"/>
      <c r="C1693" t="e">
        <f t="shared" si="0"/>
        <v>#N/A</v>
      </c>
      <c r="D1693" t="b">
        <f t="shared" si="1"/>
        <v>0</v>
      </c>
      <c r="E1693">
        <f t="shared" si="2"/>
        <v>0</v>
      </c>
      <c r="F1693" s="11"/>
    </row>
    <row r="1694" spans="1:6" ht="16" x14ac:dyDescent="0.2">
      <c r="A1694" s="12" t="s">
        <v>5257</v>
      </c>
      <c r="B1694" s="13"/>
      <c r="C1694" t="e">
        <f t="shared" si="0"/>
        <v>#N/A</v>
      </c>
      <c r="D1694" t="b">
        <f t="shared" si="1"/>
        <v>0</v>
      </c>
      <c r="E1694">
        <f t="shared" si="2"/>
        <v>0</v>
      </c>
      <c r="F1694" s="11"/>
    </row>
    <row r="1695" spans="1:6" ht="16" x14ac:dyDescent="0.2">
      <c r="A1695" s="12" t="s">
        <v>5258</v>
      </c>
      <c r="B1695" s="13"/>
      <c r="C1695" t="e">
        <f t="shared" si="0"/>
        <v>#N/A</v>
      </c>
      <c r="D1695" t="b">
        <f t="shared" si="1"/>
        <v>0</v>
      </c>
      <c r="E1695">
        <f t="shared" si="2"/>
        <v>0</v>
      </c>
      <c r="F1695" s="11"/>
    </row>
    <row r="1696" spans="1:6" ht="16" x14ac:dyDescent="0.2">
      <c r="A1696" s="12" t="s">
        <v>5259</v>
      </c>
      <c r="B1696" s="13"/>
      <c r="C1696" t="e">
        <f t="shared" si="0"/>
        <v>#N/A</v>
      </c>
      <c r="D1696" t="b">
        <f t="shared" si="1"/>
        <v>0</v>
      </c>
      <c r="E1696">
        <f t="shared" si="2"/>
        <v>0</v>
      </c>
      <c r="F1696" s="11"/>
    </row>
    <row r="1697" spans="1:6" ht="16" x14ac:dyDescent="0.2">
      <c r="A1697" s="12" t="s">
        <v>5260</v>
      </c>
      <c r="B1697" s="13"/>
      <c r="C1697" t="e">
        <f t="shared" si="0"/>
        <v>#N/A</v>
      </c>
      <c r="D1697" t="b">
        <f t="shared" si="1"/>
        <v>0</v>
      </c>
      <c r="E1697">
        <f t="shared" si="2"/>
        <v>0</v>
      </c>
      <c r="F1697" s="11"/>
    </row>
    <row r="1698" spans="1:6" ht="16" x14ac:dyDescent="0.2">
      <c r="A1698" s="12" t="s">
        <v>5261</v>
      </c>
      <c r="B1698" s="13"/>
      <c r="C1698" t="e">
        <f t="shared" si="0"/>
        <v>#N/A</v>
      </c>
      <c r="D1698" t="b">
        <f t="shared" si="1"/>
        <v>0</v>
      </c>
      <c r="E1698">
        <f t="shared" si="2"/>
        <v>0</v>
      </c>
      <c r="F1698" s="11"/>
    </row>
    <row r="1699" spans="1:6" ht="16" x14ac:dyDescent="0.2">
      <c r="A1699" s="12" t="s">
        <v>5262</v>
      </c>
      <c r="B1699" s="13"/>
      <c r="C1699" t="e">
        <f t="shared" si="0"/>
        <v>#N/A</v>
      </c>
      <c r="D1699" t="b">
        <f t="shared" si="1"/>
        <v>0</v>
      </c>
      <c r="E1699">
        <f t="shared" si="2"/>
        <v>0</v>
      </c>
      <c r="F1699" s="11"/>
    </row>
    <row r="1700" spans="1:6" ht="16" x14ac:dyDescent="0.2">
      <c r="A1700" s="12" t="s">
        <v>5262</v>
      </c>
      <c r="B1700" s="13"/>
      <c r="C1700" t="e">
        <f t="shared" si="0"/>
        <v>#N/A</v>
      </c>
      <c r="D1700" t="b">
        <f t="shared" si="1"/>
        <v>0</v>
      </c>
      <c r="E1700">
        <f t="shared" si="2"/>
        <v>0</v>
      </c>
      <c r="F1700" s="11"/>
    </row>
    <row r="1701" spans="1:6" ht="16" x14ac:dyDescent="0.2">
      <c r="A1701" s="12" t="s">
        <v>5263</v>
      </c>
      <c r="B1701" s="13"/>
      <c r="C1701" t="e">
        <f t="shared" si="0"/>
        <v>#N/A</v>
      </c>
      <c r="D1701" t="b">
        <f t="shared" si="1"/>
        <v>0</v>
      </c>
      <c r="E1701">
        <f t="shared" si="2"/>
        <v>0</v>
      </c>
      <c r="F1701" s="11"/>
    </row>
    <row r="1702" spans="1:6" ht="16" x14ac:dyDescent="0.2">
      <c r="A1702" s="12" t="s">
        <v>5264</v>
      </c>
      <c r="B1702" s="13"/>
      <c r="C1702" t="e">
        <f t="shared" si="0"/>
        <v>#N/A</v>
      </c>
      <c r="D1702" t="b">
        <f t="shared" si="1"/>
        <v>0</v>
      </c>
      <c r="E1702">
        <f t="shared" si="2"/>
        <v>0</v>
      </c>
      <c r="F1702" s="11"/>
    </row>
    <row r="1703" spans="1:6" ht="16" x14ac:dyDescent="0.2">
      <c r="A1703" s="12" t="s">
        <v>5265</v>
      </c>
      <c r="B1703" s="13"/>
      <c r="C1703" t="e">
        <f t="shared" si="0"/>
        <v>#N/A</v>
      </c>
      <c r="D1703" t="b">
        <f t="shared" si="1"/>
        <v>0</v>
      </c>
      <c r="E1703">
        <f t="shared" si="2"/>
        <v>0</v>
      </c>
      <c r="F1703" s="11"/>
    </row>
    <row r="1704" spans="1:6" ht="16" x14ac:dyDescent="0.2">
      <c r="A1704" s="12" t="s">
        <v>5266</v>
      </c>
      <c r="B1704" s="13"/>
      <c r="C1704" t="e">
        <f t="shared" si="0"/>
        <v>#N/A</v>
      </c>
      <c r="D1704" t="b">
        <f t="shared" si="1"/>
        <v>0</v>
      </c>
      <c r="E1704">
        <f t="shared" si="2"/>
        <v>0</v>
      </c>
      <c r="F1704" s="11"/>
    </row>
    <row r="1705" spans="1:6" ht="16" x14ac:dyDescent="0.2">
      <c r="A1705" s="12" t="s">
        <v>5267</v>
      </c>
      <c r="B1705" s="13"/>
      <c r="C1705" t="e">
        <f t="shared" si="0"/>
        <v>#N/A</v>
      </c>
      <c r="D1705" t="b">
        <f t="shared" si="1"/>
        <v>0</v>
      </c>
      <c r="E1705">
        <f t="shared" si="2"/>
        <v>0</v>
      </c>
      <c r="F1705" s="11"/>
    </row>
    <row r="1706" spans="1:6" ht="16" x14ac:dyDescent="0.2">
      <c r="A1706" s="12" t="s">
        <v>3602</v>
      </c>
      <c r="B1706" s="13"/>
      <c r="C1706">
        <f t="shared" si="0"/>
        <v>14</v>
      </c>
      <c r="D1706" t="b">
        <f t="shared" si="1"/>
        <v>1</v>
      </c>
      <c r="E1706">
        <f t="shared" si="2"/>
        <v>1</v>
      </c>
      <c r="F1706" s="11"/>
    </row>
    <row r="1707" spans="1:6" ht="16" x14ac:dyDescent="0.2">
      <c r="A1707" s="12" t="s">
        <v>5268</v>
      </c>
      <c r="B1707" s="13"/>
      <c r="C1707" t="e">
        <f t="shared" si="0"/>
        <v>#N/A</v>
      </c>
      <c r="D1707" t="b">
        <f t="shared" si="1"/>
        <v>0</v>
      </c>
      <c r="E1707">
        <f t="shared" si="2"/>
        <v>0</v>
      </c>
      <c r="F1707" s="11"/>
    </row>
    <row r="1708" spans="1:6" ht="16" x14ac:dyDescent="0.2">
      <c r="A1708" s="12" t="s">
        <v>5269</v>
      </c>
      <c r="B1708" s="13"/>
      <c r="C1708" t="e">
        <f t="shared" si="0"/>
        <v>#N/A</v>
      </c>
      <c r="D1708" t="b">
        <f t="shared" si="1"/>
        <v>0</v>
      </c>
      <c r="E1708">
        <f t="shared" si="2"/>
        <v>0</v>
      </c>
      <c r="F1708" s="11"/>
    </row>
    <row r="1709" spans="1:6" ht="16" x14ac:dyDescent="0.2">
      <c r="A1709" s="12" t="s">
        <v>5270</v>
      </c>
      <c r="B1709" s="13"/>
      <c r="C1709" t="e">
        <f t="shared" si="0"/>
        <v>#N/A</v>
      </c>
      <c r="D1709" t="b">
        <f t="shared" si="1"/>
        <v>0</v>
      </c>
      <c r="E1709">
        <f t="shared" si="2"/>
        <v>0</v>
      </c>
      <c r="F1709" s="11"/>
    </row>
    <row r="1710" spans="1:6" ht="16" x14ac:dyDescent="0.2">
      <c r="A1710" s="12" t="s">
        <v>5271</v>
      </c>
      <c r="B1710" s="13"/>
      <c r="C1710" t="e">
        <f t="shared" si="0"/>
        <v>#N/A</v>
      </c>
      <c r="D1710" t="b">
        <f t="shared" si="1"/>
        <v>0</v>
      </c>
      <c r="E1710">
        <f t="shared" si="2"/>
        <v>0</v>
      </c>
      <c r="F1710" s="11"/>
    </row>
    <row r="1711" spans="1:6" ht="16" x14ac:dyDescent="0.2">
      <c r="A1711" s="12" t="s">
        <v>5272</v>
      </c>
      <c r="B1711" s="13"/>
      <c r="C1711" t="e">
        <f t="shared" si="0"/>
        <v>#N/A</v>
      </c>
      <c r="D1711" t="b">
        <f t="shared" si="1"/>
        <v>0</v>
      </c>
      <c r="E1711">
        <f t="shared" si="2"/>
        <v>0</v>
      </c>
      <c r="F1711" s="11"/>
    </row>
    <row r="1712" spans="1:6" ht="16" x14ac:dyDescent="0.2">
      <c r="A1712" s="12" t="s">
        <v>5273</v>
      </c>
      <c r="B1712" s="13"/>
      <c r="C1712" t="e">
        <f t="shared" si="0"/>
        <v>#N/A</v>
      </c>
      <c r="D1712" t="b">
        <f t="shared" si="1"/>
        <v>0</v>
      </c>
      <c r="E1712">
        <f t="shared" si="2"/>
        <v>0</v>
      </c>
      <c r="F1712" s="11"/>
    </row>
    <row r="1713" spans="1:6" ht="16" x14ac:dyDescent="0.2">
      <c r="A1713" s="12" t="s">
        <v>5274</v>
      </c>
      <c r="B1713" s="13"/>
      <c r="C1713" t="e">
        <f t="shared" si="0"/>
        <v>#N/A</v>
      </c>
      <c r="D1713" t="b">
        <f t="shared" si="1"/>
        <v>0</v>
      </c>
      <c r="E1713">
        <f t="shared" si="2"/>
        <v>0</v>
      </c>
      <c r="F1713" s="11"/>
    </row>
    <row r="1714" spans="1:6" ht="16" x14ac:dyDescent="0.2">
      <c r="A1714" s="12" t="s">
        <v>5275</v>
      </c>
      <c r="B1714" s="13"/>
      <c r="C1714" t="e">
        <f t="shared" si="0"/>
        <v>#N/A</v>
      </c>
      <c r="D1714" t="b">
        <f t="shared" si="1"/>
        <v>0</v>
      </c>
      <c r="E1714">
        <f t="shared" si="2"/>
        <v>0</v>
      </c>
      <c r="F1714" s="11"/>
    </row>
    <row r="1715" spans="1:6" ht="16" x14ac:dyDescent="0.2">
      <c r="A1715" s="12" t="s">
        <v>5276</v>
      </c>
      <c r="B1715" s="13"/>
      <c r="C1715" t="e">
        <f t="shared" si="0"/>
        <v>#N/A</v>
      </c>
      <c r="D1715" t="b">
        <f t="shared" si="1"/>
        <v>0</v>
      </c>
      <c r="E1715">
        <f t="shared" si="2"/>
        <v>0</v>
      </c>
      <c r="F1715" s="11"/>
    </row>
    <row r="1716" spans="1:6" ht="16" x14ac:dyDescent="0.2">
      <c r="A1716" s="12" t="s">
        <v>5277</v>
      </c>
      <c r="B1716" s="13"/>
      <c r="C1716" t="e">
        <f t="shared" si="0"/>
        <v>#N/A</v>
      </c>
      <c r="D1716" t="b">
        <f t="shared" si="1"/>
        <v>0</v>
      </c>
      <c r="E1716">
        <f t="shared" si="2"/>
        <v>0</v>
      </c>
      <c r="F1716" s="11"/>
    </row>
    <row r="1717" spans="1:6" ht="16" x14ac:dyDescent="0.2">
      <c r="A1717" s="12" t="s">
        <v>5278</v>
      </c>
      <c r="B1717" s="13"/>
      <c r="C1717" t="e">
        <f t="shared" si="0"/>
        <v>#N/A</v>
      </c>
      <c r="D1717" t="b">
        <f t="shared" si="1"/>
        <v>0</v>
      </c>
      <c r="E1717">
        <f t="shared" si="2"/>
        <v>0</v>
      </c>
      <c r="F1717" s="11"/>
    </row>
    <row r="1718" spans="1:6" ht="16" x14ac:dyDescent="0.2">
      <c r="A1718" s="12" t="s">
        <v>5279</v>
      </c>
      <c r="B1718" s="13"/>
      <c r="C1718" t="e">
        <f t="shared" si="0"/>
        <v>#N/A</v>
      </c>
      <c r="D1718" t="b">
        <f t="shared" si="1"/>
        <v>0</v>
      </c>
      <c r="E1718">
        <f t="shared" si="2"/>
        <v>0</v>
      </c>
      <c r="F1718" s="11"/>
    </row>
    <row r="1719" spans="1:6" ht="16" x14ac:dyDescent="0.2">
      <c r="A1719" s="12" t="s">
        <v>5280</v>
      </c>
      <c r="B1719" s="13"/>
      <c r="C1719" t="e">
        <f t="shared" si="0"/>
        <v>#N/A</v>
      </c>
      <c r="D1719" t="b">
        <f t="shared" si="1"/>
        <v>0</v>
      </c>
      <c r="E1719">
        <f t="shared" si="2"/>
        <v>0</v>
      </c>
      <c r="F1719" s="11"/>
    </row>
    <row r="1720" spans="1:6" ht="16" x14ac:dyDescent="0.2">
      <c r="A1720" s="12" t="s">
        <v>5281</v>
      </c>
      <c r="B1720" s="13"/>
      <c r="C1720" t="e">
        <f t="shared" si="0"/>
        <v>#N/A</v>
      </c>
      <c r="D1720" t="b">
        <f t="shared" si="1"/>
        <v>0</v>
      </c>
      <c r="E1720">
        <f t="shared" si="2"/>
        <v>0</v>
      </c>
      <c r="F1720" s="11"/>
    </row>
    <row r="1721" spans="1:6" ht="16" x14ac:dyDescent="0.2">
      <c r="A1721" s="12" t="s">
        <v>5282</v>
      </c>
      <c r="B1721" s="13"/>
      <c r="C1721" t="e">
        <f t="shared" si="0"/>
        <v>#N/A</v>
      </c>
      <c r="D1721" t="b">
        <f t="shared" si="1"/>
        <v>0</v>
      </c>
      <c r="E1721">
        <f t="shared" si="2"/>
        <v>0</v>
      </c>
      <c r="F1721" s="11"/>
    </row>
    <row r="1722" spans="1:6" ht="16" x14ac:dyDescent="0.2">
      <c r="A1722" s="12" t="s">
        <v>5283</v>
      </c>
      <c r="B1722" s="13"/>
      <c r="C1722" t="e">
        <f t="shared" si="0"/>
        <v>#N/A</v>
      </c>
      <c r="D1722" t="b">
        <f t="shared" si="1"/>
        <v>0</v>
      </c>
      <c r="E1722">
        <f t="shared" si="2"/>
        <v>0</v>
      </c>
      <c r="F1722" s="11"/>
    </row>
    <row r="1723" spans="1:6" ht="16" x14ac:dyDescent="0.2">
      <c r="A1723" s="12" t="s">
        <v>5284</v>
      </c>
      <c r="B1723" s="13"/>
      <c r="C1723" t="e">
        <f t="shared" si="0"/>
        <v>#N/A</v>
      </c>
      <c r="D1723" t="b">
        <f t="shared" si="1"/>
        <v>0</v>
      </c>
      <c r="E1723">
        <f t="shared" si="2"/>
        <v>0</v>
      </c>
      <c r="F1723" s="11"/>
    </row>
    <row r="1724" spans="1:6" ht="16" x14ac:dyDescent="0.2">
      <c r="A1724" s="12" t="s">
        <v>5285</v>
      </c>
      <c r="B1724" s="13"/>
      <c r="C1724" t="e">
        <f t="shared" si="0"/>
        <v>#N/A</v>
      </c>
      <c r="D1724" t="b">
        <f t="shared" si="1"/>
        <v>0</v>
      </c>
      <c r="E1724">
        <f t="shared" si="2"/>
        <v>0</v>
      </c>
      <c r="F1724" s="11"/>
    </row>
    <row r="1725" spans="1:6" ht="16" x14ac:dyDescent="0.2">
      <c r="A1725" s="12" t="s">
        <v>5286</v>
      </c>
      <c r="B1725" s="13"/>
      <c r="C1725" t="e">
        <f t="shared" si="0"/>
        <v>#N/A</v>
      </c>
      <c r="D1725" t="b">
        <f t="shared" si="1"/>
        <v>0</v>
      </c>
      <c r="E1725">
        <f t="shared" si="2"/>
        <v>0</v>
      </c>
      <c r="F1725" s="11"/>
    </row>
    <row r="1726" spans="1:6" ht="16" x14ac:dyDescent="0.2">
      <c r="A1726" s="12" t="s">
        <v>5287</v>
      </c>
      <c r="B1726" s="13"/>
      <c r="C1726" t="e">
        <f t="shared" si="0"/>
        <v>#N/A</v>
      </c>
      <c r="D1726" t="b">
        <f t="shared" si="1"/>
        <v>0</v>
      </c>
      <c r="E1726">
        <f t="shared" si="2"/>
        <v>0</v>
      </c>
      <c r="F1726" s="11"/>
    </row>
    <row r="1727" spans="1:6" ht="16" x14ac:dyDescent="0.2">
      <c r="A1727" s="12" t="s">
        <v>5288</v>
      </c>
      <c r="B1727" s="13"/>
      <c r="C1727" t="e">
        <f t="shared" si="0"/>
        <v>#N/A</v>
      </c>
      <c r="D1727" t="b">
        <f t="shared" si="1"/>
        <v>0</v>
      </c>
      <c r="E1727">
        <f t="shared" si="2"/>
        <v>0</v>
      </c>
      <c r="F1727" s="11"/>
    </row>
    <row r="1728" spans="1:6" ht="16" x14ac:dyDescent="0.2">
      <c r="A1728" s="12" t="s">
        <v>5289</v>
      </c>
      <c r="B1728" s="13"/>
      <c r="C1728" t="e">
        <f t="shared" si="0"/>
        <v>#N/A</v>
      </c>
      <c r="D1728" t="b">
        <f t="shared" si="1"/>
        <v>0</v>
      </c>
      <c r="E1728">
        <f t="shared" si="2"/>
        <v>0</v>
      </c>
      <c r="F1728" s="11"/>
    </row>
    <row r="1729" spans="1:6" ht="16" x14ac:dyDescent="0.2">
      <c r="A1729" s="12" t="s">
        <v>5290</v>
      </c>
      <c r="B1729" s="13"/>
      <c r="C1729" t="e">
        <f t="shared" si="0"/>
        <v>#N/A</v>
      </c>
      <c r="D1729" t="b">
        <f t="shared" si="1"/>
        <v>0</v>
      </c>
      <c r="E1729">
        <f t="shared" si="2"/>
        <v>0</v>
      </c>
      <c r="F1729" s="11"/>
    </row>
    <row r="1730" spans="1:6" ht="16" x14ac:dyDescent="0.2">
      <c r="A1730" s="12" t="s">
        <v>5291</v>
      </c>
      <c r="B1730" s="13"/>
      <c r="C1730" t="e">
        <f t="shared" si="0"/>
        <v>#N/A</v>
      </c>
      <c r="D1730" t="b">
        <f t="shared" si="1"/>
        <v>0</v>
      </c>
      <c r="E1730">
        <f t="shared" si="2"/>
        <v>0</v>
      </c>
      <c r="F1730" s="11"/>
    </row>
    <row r="1731" spans="1:6" ht="16" x14ac:dyDescent="0.2">
      <c r="A1731" s="12" t="s">
        <v>5292</v>
      </c>
      <c r="B1731" s="13"/>
      <c r="C1731" t="e">
        <f t="shared" si="0"/>
        <v>#N/A</v>
      </c>
      <c r="D1731" t="b">
        <f t="shared" si="1"/>
        <v>0</v>
      </c>
      <c r="E1731">
        <f t="shared" si="2"/>
        <v>0</v>
      </c>
      <c r="F1731" s="11"/>
    </row>
    <row r="1732" spans="1:6" ht="16" x14ac:dyDescent="0.2">
      <c r="A1732" s="12" t="s">
        <v>5293</v>
      </c>
      <c r="B1732" s="13"/>
      <c r="C1732" t="e">
        <f t="shared" si="0"/>
        <v>#N/A</v>
      </c>
      <c r="D1732" t="b">
        <f t="shared" si="1"/>
        <v>0</v>
      </c>
      <c r="E1732">
        <f t="shared" si="2"/>
        <v>0</v>
      </c>
      <c r="F1732" s="11"/>
    </row>
    <row r="1733" spans="1:6" ht="16" x14ac:dyDescent="0.2">
      <c r="A1733" s="12" t="s">
        <v>5294</v>
      </c>
      <c r="B1733" s="13"/>
      <c r="C1733" t="e">
        <f t="shared" si="0"/>
        <v>#N/A</v>
      </c>
      <c r="D1733" t="b">
        <f t="shared" si="1"/>
        <v>0</v>
      </c>
      <c r="E1733">
        <f t="shared" si="2"/>
        <v>0</v>
      </c>
      <c r="F1733" s="11"/>
    </row>
    <row r="1734" spans="1:6" ht="16" x14ac:dyDescent="0.2">
      <c r="A1734" s="12" t="s">
        <v>5295</v>
      </c>
      <c r="B1734" s="13"/>
      <c r="C1734" t="e">
        <f t="shared" si="0"/>
        <v>#N/A</v>
      </c>
      <c r="D1734" t="b">
        <f t="shared" si="1"/>
        <v>0</v>
      </c>
      <c r="E1734">
        <f t="shared" si="2"/>
        <v>0</v>
      </c>
      <c r="F1734" s="11"/>
    </row>
    <row r="1735" spans="1:6" ht="16" x14ac:dyDescent="0.2">
      <c r="A1735" s="12" t="s">
        <v>5296</v>
      </c>
      <c r="B1735" s="13"/>
      <c r="C1735" t="e">
        <f t="shared" si="0"/>
        <v>#N/A</v>
      </c>
      <c r="D1735" t="b">
        <f t="shared" si="1"/>
        <v>0</v>
      </c>
      <c r="E1735">
        <f t="shared" si="2"/>
        <v>0</v>
      </c>
      <c r="F1735" s="11"/>
    </row>
    <row r="1736" spans="1:6" ht="16" x14ac:dyDescent="0.2">
      <c r="A1736" s="12" t="s">
        <v>5297</v>
      </c>
      <c r="B1736" s="13"/>
      <c r="C1736" t="e">
        <f t="shared" si="0"/>
        <v>#N/A</v>
      </c>
      <c r="D1736" t="b">
        <f t="shared" si="1"/>
        <v>0</v>
      </c>
      <c r="E1736">
        <f t="shared" si="2"/>
        <v>0</v>
      </c>
      <c r="F1736" s="11"/>
    </row>
    <row r="1737" spans="1:6" ht="16" x14ac:dyDescent="0.2">
      <c r="A1737" s="12" t="s">
        <v>5298</v>
      </c>
      <c r="B1737" s="13"/>
      <c r="C1737" t="e">
        <f t="shared" si="0"/>
        <v>#N/A</v>
      </c>
      <c r="D1737" t="b">
        <f t="shared" si="1"/>
        <v>0</v>
      </c>
      <c r="E1737">
        <f t="shared" si="2"/>
        <v>0</v>
      </c>
      <c r="F1737" s="11"/>
    </row>
    <row r="1738" spans="1:6" ht="16" x14ac:dyDescent="0.2">
      <c r="A1738" s="12" t="s">
        <v>5299</v>
      </c>
      <c r="B1738" s="13"/>
      <c r="C1738" t="e">
        <f t="shared" si="0"/>
        <v>#N/A</v>
      </c>
      <c r="D1738" t="b">
        <f t="shared" si="1"/>
        <v>0</v>
      </c>
      <c r="E1738">
        <f t="shared" si="2"/>
        <v>0</v>
      </c>
      <c r="F1738" s="11"/>
    </row>
    <row r="1739" spans="1:6" ht="16" x14ac:dyDescent="0.2">
      <c r="A1739" s="12" t="s">
        <v>5300</v>
      </c>
      <c r="B1739" s="13"/>
      <c r="C1739" t="e">
        <f t="shared" si="0"/>
        <v>#N/A</v>
      </c>
      <c r="D1739" t="b">
        <f t="shared" si="1"/>
        <v>0</v>
      </c>
      <c r="E1739">
        <f t="shared" si="2"/>
        <v>0</v>
      </c>
      <c r="F1739" s="11"/>
    </row>
    <row r="1740" spans="1:6" ht="16" x14ac:dyDescent="0.2">
      <c r="A1740" s="12" t="s">
        <v>5301</v>
      </c>
      <c r="B1740" s="13"/>
      <c r="C1740" t="e">
        <f t="shared" si="0"/>
        <v>#N/A</v>
      </c>
      <c r="D1740" t="b">
        <f t="shared" si="1"/>
        <v>0</v>
      </c>
      <c r="E1740">
        <f t="shared" si="2"/>
        <v>0</v>
      </c>
      <c r="F1740" s="11"/>
    </row>
    <row r="1741" spans="1:6" ht="16" x14ac:dyDescent="0.2">
      <c r="A1741" s="12" t="s">
        <v>5302</v>
      </c>
      <c r="B1741" s="13"/>
      <c r="C1741" t="e">
        <f t="shared" si="0"/>
        <v>#N/A</v>
      </c>
      <c r="D1741" t="b">
        <f t="shared" si="1"/>
        <v>0</v>
      </c>
      <c r="E1741">
        <f t="shared" si="2"/>
        <v>0</v>
      </c>
      <c r="F1741" s="11"/>
    </row>
    <row r="1742" spans="1:6" ht="16" x14ac:dyDescent="0.2">
      <c r="A1742" s="12" t="s">
        <v>5303</v>
      </c>
      <c r="B1742" s="13"/>
      <c r="C1742" t="e">
        <f t="shared" si="0"/>
        <v>#N/A</v>
      </c>
      <c r="D1742" t="b">
        <f t="shared" si="1"/>
        <v>0</v>
      </c>
      <c r="E1742">
        <f t="shared" si="2"/>
        <v>0</v>
      </c>
      <c r="F1742" s="11"/>
    </row>
    <row r="1743" spans="1:6" ht="16" x14ac:dyDescent="0.2">
      <c r="A1743" s="12" t="s">
        <v>5304</v>
      </c>
      <c r="B1743" s="13"/>
      <c r="C1743" t="e">
        <f t="shared" si="0"/>
        <v>#N/A</v>
      </c>
      <c r="D1743" t="b">
        <f t="shared" si="1"/>
        <v>0</v>
      </c>
      <c r="E1743">
        <f t="shared" si="2"/>
        <v>0</v>
      </c>
      <c r="F1743" s="11"/>
    </row>
    <row r="1744" spans="1:6" ht="16" x14ac:dyDescent="0.2">
      <c r="A1744" s="12" t="s">
        <v>5305</v>
      </c>
      <c r="B1744" s="13"/>
      <c r="C1744" t="e">
        <f t="shared" si="0"/>
        <v>#N/A</v>
      </c>
      <c r="D1744" t="b">
        <f t="shared" si="1"/>
        <v>0</v>
      </c>
      <c r="E1744">
        <f t="shared" si="2"/>
        <v>0</v>
      </c>
      <c r="F1744" s="11"/>
    </row>
    <row r="1745" spans="1:6" ht="16" x14ac:dyDescent="0.2">
      <c r="A1745" s="12" t="s">
        <v>5306</v>
      </c>
      <c r="B1745" s="13"/>
      <c r="C1745" t="e">
        <f t="shared" si="0"/>
        <v>#N/A</v>
      </c>
      <c r="D1745" t="b">
        <f t="shared" si="1"/>
        <v>0</v>
      </c>
      <c r="E1745">
        <f t="shared" si="2"/>
        <v>0</v>
      </c>
      <c r="F1745" s="11"/>
    </row>
    <row r="1746" spans="1:6" ht="16" x14ac:dyDescent="0.2">
      <c r="A1746" s="12" t="s">
        <v>5307</v>
      </c>
      <c r="B1746" s="13"/>
      <c r="C1746" t="e">
        <f t="shared" si="0"/>
        <v>#N/A</v>
      </c>
      <c r="D1746" t="b">
        <f t="shared" si="1"/>
        <v>0</v>
      </c>
      <c r="E1746">
        <f t="shared" si="2"/>
        <v>0</v>
      </c>
      <c r="F1746" s="11"/>
    </row>
    <row r="1747" spans="1:6" ht="16" x14ac:dyDescent="0.2">
      <c r="A1747" s="12" t="s">
        <v>5308</v>
      </c>
      <c r="B1747" s="13"/>
      <c r="C1747" t="e">
        <f t="shared" si="0"/>
        <v>#N/A</v>
      </c>
      <c r="D1747" t="b">
        <f t="shared" si="1"/>
        <v>0</v>
      </c>
      <c r="E1747">
        <f t="shared" si="2"/>
        <v>0</v>
      </c>
      <c r="F1747" s="11"/>
    </row>
    <row r="1748" spans="1:6" ht="16" x14ac:dyDescent="0.2">
      <c r="A1748" s="12" t="s">
        <v>5309</v>
      </c>
      <c r="B1748" s="13"/>
      <c r="C1748" t="e">
        <f t="shared" si="0"/>
        <v>#N/A</v>
      </c>
      <c r="D1748" t="b">
        <f t="shared" si="1"/>
        <v>0</v>
      </c>
      <c r="E1748">
        <f t="shared" si="2"/>
        <v>0</v>
      </c>
      <c r="F1748" s="11"/>
    </row>
    <row r="1749" spans="1:6" ht="16" x14ac:dyDescent="0.2">
      <c r="A1749" s="12" t="s">
        <v>5310</v>
      </c>
      <c r="B1749" s="13"/>
      <c r="C1749" t="e">
        <f t="shared" si="0"/>
        <v>#N/A</v>
      </c>
      <c r="D1749" t="b">
        <f t="shared" si="1"/>
        <v>0</v>
      </c>
      <c r="E1749">
        <f t="shared" si="2"/>
        <v>0</v>
      </c>
      <c r="F1749" s="11"/>
    </row>
    <row r="1750" spans="1:6" ht="16" x14ac:dyDescent="0.2">
      <c r="A1750" s="12" t="s">
        <v>5311</v>
      </c>
      <c r="B1750" s="13"/>
      <c r="C1750" t="e">
        <f t="shared" si="0"/>
        <v>#N/A</v>
      </c>
      <c r="D1750" t="b">
        <f t="shared" si="1"/>
        <v>0</v>
      </c>
      <c r="E1750">
        <f t="shared" si="2"/>
        <v>0</v>
      </c>
      <c r="F1750" s="11"/>
    </row>
    <row r="1751" spans="1:6" ht="16" x14ac:dyDescent="0.2">
      <c r="A1751" s="12" t="s">
        <v>5312</v>
      </c>
      <c r="B1751" s="13"/>
      <c r="C1751" t="e">
        <f t="shared" si="0"/>
        <v>#N/A</v>
      </c>
      <c r="D1751" t="b">
        <f t="shared" si="1"/>
        <v>0</v>
      </c>
      <c r="E1751">
        <f t="shared" si="2"/>
        <v>0</v>
      </c>
      <c r="F1751" s="11"/>
    </row>
    <row r="1752" spans="1:6" ht="16" x14ac:dyDescent="0.2">
      <c r="A1752" s="12" t="s">
        <v>5313</v>
      </c>
      <c r="B1752" s="13"/>
      <c r="C1752" t="e">
        <f t="shared" si="0"/>
        <v>#N/A</v>
      </c>
      <c r="D1752" t="b">
        <f t="shared" si="1"/>
        <v>0</v>
      </c>
      <c r="E1752">
        <f t="shared" si="2"/>
        <v>0</v>
      </c>
      <c r="F1752" s="11"/>
    </row>
    <row r="1753" spans="1:6" ht="16" x14ac:dyDescent="0.2">
      <c r="A1753" s="12" t="s">
        <v>5314</v>
      </c>
      <c r="B1753" s="13"/>
      <c r="C1753" t="e">
        <f t="shared" si="0"/>
        <v>#N/A</v>
      </c>
      <c r="D1753" t="b">
        <f t="shared" si="1"/>
        <v>0</v>
      </c>
      <c r="E1753">
        <f t="shared" si="2"/>
        <v>0</v>
      </c>
      <c r="F1753" s="11"/>
    </row>
    <row r="1754" spans="1:6" ht="16" x14ac:dyDescent="0.2">
      <c r="A1754" s="12" t="s">
        <v>5315</v>
      </c>
      <c r="B1754" s="13"/>
      <c r="C1754" t="e">
        <f t="shared" si="0"/>
        <v>#N/A</v>
      </c>
      <c r="D1754" t="b">
        <f t="shared" si="1"/>
        <v>0</v>
      </c>
      <c r="E1754">
        <f t="shared" si="2"/>
        <v>0</v>
      </c>
      <c r="F1754" s="11"/>
    </row>
    <row r="1755" spans="1:6" ht="16" x14ac:dyDescent="0.2">
      <c r="A1755" s="12" t="s">
        <v>5316</v>
      </c>
      <c r="B1755" s="13"/>
      <c r="C1755" t="e">
        <f t="shared" si="0"/>
        <v>#N/A</v>
      </c>
      <c r="D1755" t="b">
        <f t="shared" si="1"/>
        <v>0</v>
      </c>
      <c r="E1755">
        <f t="shared" si="2"/>
        <v>0</v>
      </c>
      <c r="F1755" s="11"/>
    </row>
    <row r="1756" spans="1:6" ht="16" x14ac:dyDescent="0.2">
      <c r="A1756" s="12" t="s">
        <v>5317</v>
      </c>
      <c r="B1756" s="13"/>
      <c r="C1756" t="e">
        <f t="shared" si="0"/>
        <v>#N/A</v>
      </c>
      <c r="D1756" t="b">
        <f t="shared" si="1"/>
        <v>0</v>
      </c>
      <c r="E1756">
        <f t="shared" si="2"/>
        <v>0</v>
      </c>
      <c r="F1756" s="11"/>
    </row>
    <row r="1757" spans="1:6" ht="16" x14ac:dyDescent="0.2">
      <c r="A1757" s="12" t="s">
        <v>5318</v>
      </c>
      <c r="B1757" s="13"/>
      <c r="C1757" t="e">
        <f t="shared" si="0"/>
        <v>#N/A</v>
      </c>
      <c r="D1757" t="b">
        <f t="shared" si="1"/>
        <v>0</v>
      </c>
      <c r="E1757">
        <f t="shared" si="2"/>
        <v>0</v>
      </c>
      <c r="F1757" s="11"/>
    </row>
    <row r="1758" spans="1:6" ht="16" x14ac:dyDescent="0.2">
      <c r="A1758" s="12" t="s">
        <v>5319</v>
      </c>
      <c r="B1758" s="13"/>
      <c r="C1758" t="e">
        <f t="shared" si="0"/>
        <v>#N/A</v>
      </c>
      <c r="D1758" t="b">
        <f t="shared" si="1"/>
        <v>0</v>
      </c>
      <c r="E1758">
        <f t="shared" si="2"/>
        <v>0</v>
      </c>
      <c r="F1758" s="11"/>
    </row>
    <row r="1759" spans="1:6" ht="16" x14ac:dyDescent="0.2">
      <c r="A1759" s="12" t="s">
        <v>5320</v>
      </c>
      <c r="B1759" s="13"/>
      <c r="C1759" t="e">
        <f t="shared" si="0"/>
        <v>#N/A</v>
      </c>
      <c r="D1759" t="b">
        <f t="shared" si="1"/>
        <v>0</v>
      </c>
      <c r="E1759">
        <f t="shared" si="2"/>
        <v>0</v>
      </c>
      <c r="F1759" s="11"/>
    </row>
    <row r="1760" spans="1:6" ht="16" x14ac:dyDescent="0.2">
      <c r="A1760" s="12" t="s">
        <v>5321</v>
      </c>
      <c r="B1760" s="13"/>
      <c r="C1760" t="e">
        <f t="shared" si="0"/>
        <v>#N/A</v>
      </c>
      <c r="D1760" t="b">
        <f t="shared" si="1"/>
        <v>0</v>
      </c>
      <c r="E1760">
        <f t="shared" si="2"/>
        <v>0</v>
      </c>
      <c r="F1760" s="11"/>
    </row>
    <row r="1761" spans="1:6" ht="16" x14ac:dyDescent="0.2">
      <c r="A1761" s="12" t="s">
        <v>5322</v>
      </c>
      <c r="B1761" s="13"/>
      <c r="C1761" t="e">
        <f t="shared" si="0"/>
        <v>#N/A</v>
      </c>
      <c r="D1761" t="b">
        <f t="shared" si="1"/>
        <v>0</v>
      </c>
      <c r="E1761">
        <f t="shared" si="2"/>
        <v>0</v>
      </c>
      <c r="F1761" s="11"/>
    </row>
    <row r="1762" spans="1:6" ht="16" x14ac:dyDescent="0.2">
      <c r="A1762" s="12" t="s">
        <v>5323</v>
      </c>
      <c r="B1762" s="13"/>
      <c r="C1762" t="e">
        <f t="shared" si="0"/>
        <v>#N/A</v>
      </c>
      <c r="D1762" t="b">
        <f t="shared" si="1"/>
        <v>0</v>
      </c>
      <c r="E1762">
        <f t="shared" si="2"/>
        <v>0</v>
      </c>
      <c r="F1762" s="11"/>
    </row>
    <row r="1763" spans="1:6" ht="16" x14ac:dyDescent="0.2">
      <c r="A1763" s="12" t="s">
        <v>5324</v>
      </c>
      <c r="B1763" s="13"/>
      <c r="C1763" t="e">
        <f t="shared" si="0"/>
        <v>#N/A</v>
      </c>
      <c r="D1763" t="b">
        <f t="shared" si="1"/>
        <v>0</v>
      </c>
      <c r="E1763">
        <f t="shared" si="2"/>
        <v>0</v>
      </c>
      <c r="F1763" s="11"/>
    </row>
    <row r="1764" spans="1:6" ht="16" x14ac:dyDescent="0.2">
      <c r="A1764" s="12" t="s">
        <v>5325</v>
      </c>
      <c r="B1764" s="13"/>
      <c r="C1764" t="e">
        <f t="shared" si="0"/>
        <v>#N/A</v>
      </c>
      <c r="D1764" t="b">
        <f t="shared" si="1"/>
        <v>0</v>
      </c>
      <c r="E1764">
        <f t="shared" si="2"/>
        <v>0</v>
      </c>
      <c r="F1764" s="11"/>
    </row>
    <row r="1765" spans="1:6" ht="16" x14ac:dyDescent="0.2">
      <c r="A1765" s="12" t="s">
        <v>5326</v>
      </c>
      <c r="B1765" s="13"/>
      <c r="C1765" t="e">
        <f t="shared" si="0"/>
        <v>#N/A</v>
      </c>
      <c r="D1765" t="b">
        <f t="shared" si="1"/>
        <v>0</v>
      </c>
      <c r="E1765">
        <f t="shared" si="2"/>
        <v>0</v>
      </c>
      <c r="F1765" s="11"/>
    </row>
    <row r="1766" spans="1:6" ht="16" x14ac:dyDescent="0.2">
      <c r="A1766" s="12" t="s">
        <v>5327</v>
      </c>
      <c r="B1766" s="13"/>
      <c r="C1766" t="e">
        <f t="shared" si="0"/>
        <v>#N/A</v>
      </c>
      <c r="D1766" t="b">
        <f t="shared" si="1"/>
        <v>0</v>
      </c>
      <c r="E1766">
        <f t="shared" si="2"/>
        <v>0</v>
      </c>
      <c r="F1766" s="11"/>
    </row>
    <row r="1767" spans="1:6" ht="16" x14ac:dyDescent="0.2">
      <c r="A1767" s="12" t="s">
        <v>5328</v>
      </c>
      <c r="B1767" s="13"/>
      <c r="C1767" t="e">
        <f t="shared" si="0"/>
        <v>#N/A</v>
      </c>
      <c r="D1767" t="b">
        <f t="shared" si="1"/>
        <v>0</v>
      </c>
      <c r="E1767">
        <f t="shared" si="2"/>
        <v>0</v>
      </c>
      <c r="F1767" s="11"/>
    </row>
    <row r="1768" spans="1:6" ht="16" x14ac:dyDescent="0.2">
      <c r="A1768" s="12" t="s">
        <v>5329</v>
      </c>
      <c r="B1768" s="13"/>
      <c r="C1768" t="e">
        <f t="shared" si="0"/>
        <v>#N/A</v>
      </c>
      <c r="D1768" t="b">
        <f t="shared" si="1"/>
        <v>0</v>
      </c>
      <c r="E1768">
        <f t="shared" si="2"/>
        <v>0</v>
      </c>
      <c r="F1768" s="11"/>
    </row>
    <row r="1769" spans="1:6" ht="16" x14ac:dyDescent="0.2">
      <c r="A1769" s="12" t="s">
        <v>5330</v>
      </c>
      <c r="B1769" s="13"/>
      <c r="C1769" t="e">
        <f t="shared" si="0"/>
        <v>#N/A</v>
      </c>
      <c r="D1769" t="b">
        <f t="shared" si="1"/>
        <v>0</v>
      </c>
      <c r="E1769">
        <f t="shared" si="2"/>
        <v>0</v>
      </c>
      <c r="F1769" s="11"/>
    </row>
    <row r="1770" spans="1:6" ht="16" x14ac:dyDescent="0.2">
      <c r="A1770" s="12" t="s">
        <v>5331</v>
      </c>
      <c r="B1770" s="13"/>
      <c r="C1770" t="e">
        <f t="shared" si="0"/>
        <v>#N/A</v>
      </c>
      <c r="D1770" t="b">
        <f t="shared" si="1"/>
        <v>0</v>
      </c>
      <c r="E1770">
        <f t="shared" si="2"/>
        <v>0</v>
      </c>
      <c r="F1770" s="11"/>
    </row>
    <row r="1771" spans="1:6" ht="16" x14ac:dyDescent="0.2">
      <c r="A1771" s="12" t="s">
        <v>5331</v>
      </c>
      <c r="B1771" s="13"/>
      <c r="C1771" t="e">
        <f t="shared" si="0"/>
        <v>#N/A</v>
      </c>
      <c r="D1771" t="b">
        <f t="shared" si="1"/>
        <v>0</v>
      </c>
      <c r="E1771">
        <f t="shared" si="2"/>
        <v>0</v>
      </c>
      <c r="F1771" s="11"/>
    </row>
    <row r="1772" spans="1:6" ht="16" x14ac:dyDescent="0.2">
      <c r="A1772" s="12" t="s">
        <v>5332</v>
      </c>
      <c r="B1772" s="13"/>
      <c r="C1772" t="e">
        <f t="shared" si="0"/>
        <v>#N/A</v>
      </c>
      <c r="D1772" t="b">
        <f t="shared" si="1"/>
        <v>0</v>
      </c>
      <c r="E1772">
        <f t="shared" si="2"/>
        <v>0</v>
      </c>
      <c r="F1772" s="11"/>
    </row>
    <row r="1773" spans="1:6" ht="16" x14ac:dyDescent="0.2">
      <c r="A1773" s="12" t="s">
        <v>5333</v>
      </c>
      <c r="B1773" s="13"/>
      <c r="C1773" t="e">
        <f t="shared" si="0"/>
        <v>#N/A</v>
      </c>
      <c r="D1773" t="b">
        <f t="shared" si="1"/>
        <v>0</v>
      </c>
      <c r="E1773">
        <f t="shared" si="2"/>
        <v>0</v>
      </c>
      <c r="F1773" s="11"/>
    </row>
    <row r="1774" spans="1:6" ht="16" x14ac:dyDescent="0.2">
      <c r="A1774" s="12" t="s">
        <v>5334</v>
      </c>
      <c r="B1774" s="13"/>
      <c r="C1774" t="e">
        <f t="shared" si="0"/>
        <v>#N/A</v>
      </c>
      <c r="D1774" t="b">
        <f t="shared" si="1"/>
        <v>0</v>
      </c>
      <c r="E1774">
        <f t="shared" si="2"/>
        <v>0</v>
      </c>
      <c r="F1774" s="11"/>
    </row>
    <row r="1775" spans="1:6" ht="16" x14ac:dyDescent="0.2">
      <c r="A1775" s="12" t="s">
        <v>5335</v>
      </c>
      <c r="B1775" s="13"/>
      <c r="C1775" t="e">
        <f t="shared" si="0"/>
        <v>#N/A</v>
      </c>
      <c r="D1775" t="b">
        <f t="shared" si="1"/>
        <v>0</v>
      </c>
      <c r="E1775">
        <f t="shared" si="2"/>
        <v>0</v>
      </c>
      <c r="F1775" s="11"/>
    </row>
    <row r="1776" spans="1:6" ht="16" x14ac:dyDescent="0.2">
      <c r="A1776" s="12" t="s">
        <v>5336</v>
      </c>
      <c r="B1776" s="13"/>
      <c r="C1776" t="e">
        <f t="shared" si="0"/>
        <v>#N/A</v>
      </c>
      <c r="D1776" t="b">
        <f t="shared" si="1"/>
        <v>0</v>
      </c>
      <c r="E1776">
        <f t="shared" si="2"/>
        <v>0</v>
      </c>
      <c r="F1776" s="11"/>
    </row>
    <row r="1777" spans="1:6" ht="16" x14ac:dyDescent="0.2">
      <c r="A1777" s="12" t="s">
        <v>5337</v>
      </c>
      <c r="B1777" s="13"/>
      <c r="C1777" t="e">
        <f t="shared" si="0"/>
        <v>#N/A</v>
      </c>
      <c r="D1777" t="b">
        <f t="shared" si="1"/>
        <v>0</v>
      </c>
      <c r="E1777">
        <f t="shared" si="2"/>
        <v>0</v>
      </c>
      <c r="F1777" s="11"/>
    </row>
    <row r="1778" spans="1:6" ht="16" x14ac:dyDescent="0.2">
      <c r="A1778" s="12" t="s">
        <v>5338</v>
      </c>
      <c r="B1778" s="13"/>
      <c r="C1778" t="e">
        <f t="shared" si="0"/>
        <v>#N/A</v>
      </c>
      <c r="D1778" t="b">
        <f t="shared" si="1"/>
        <v>0</v>
      </c>
      <c r="E1778">
        <f t="shared" si="2"/>
        <v>0</v>
      </c>
      <c r="F1778" s="11"/>
    </row>
    <row r="1779" spans="1:6" ht="16" x14ac:dyDescent="0.2">
      <c r="A1779" s="12" t="s">
        <v>5339</v>
      </c>
      <c r="B1779" s="13"/>
      <c r="C1779" t="e">
        <f t="shared" si="0"/>
        <v>#N/A</v>
      </c>
      <c r="D1779" t="b">
        <f t="shared" si="1"/>
        <v>0</v>
      </c>
      <c r="E1779">
        <f t="shared" si="2"/>
        <v>0</v>
      </c>
      <c r="F1779" s="11"/>
    </row>
    <row r="1780" spans="1:6" ht="16" x14ac:dyDescent="0.2">
      <c r="A1780" s="12" t="s">
        <v>5340</v>
      </c>
      <c r="B1780" s="13"/>
      <c r="C1780" t="e">
        <f t="shared" si="0"/>
        <v>#N/A</v>
      </c>
      <c r="D1780" t="b">
        <f t="shared" si="1"/>
        <v>0</v>
      </c>
      <c r="E1780">
        <f t="shared" si="2"/>
        <v>0</v>
      </c>
      <c r="F1780" s="11"/>
    </row>
    <row r="1781" spans="1:6" ht="16" x14ac:dyDescent="0.2">
      <c r="A1781" s="12" t="s">
        <v>5341</v>
      </c>
      <c r="B1781" s="13"/>
      <c r="C1781" t="e">
        <f t="shared" si="0"/>
        <v>#N/A</v>
      </c>
      <c r="D1781" t="b">
        <f t="shared" si="1"/>
        <v>0</v>
      </c>
      <c r="E1781">
        <f t="shared" si="2"/>
        <v>0</v>
      </c>
      <c r="F1781" s="11"/>
    </row>
    <row r="1782" spans="1:6" ht="16" x14ac:dyDescent="0.2">
      <c r="A1782" s="12" t="s">
        <v>5342</v>
      </c>
      <c r="B1782" s="13"/>
      <c r="C1782" t="e">
        <f t="shared" si="0"/>
        <v>#N/A</v>
      </c>
      <c r="D1782" t="b">
        <f t="shared" si="1"/>
        <v>0</v>
      </c>
      <c r="E1782">
        <f t="shared" si="2"/>
        <v>0</v>
      </c>
      <c r="F1782" s="11"/>
    </row>
    <row r="1783" spans="1:6" ht="16" x14ac:dyDescent="0.2">
      <c r="A1783" s="12" t="s">
        <v>5343</v>
      </c>
      <c r="B1783" s="13"/>
      <c r="C1783" t="e">
        <f t="shared" si="0"/>
        <v>#N/A</v>
      </c>
      <c r="D1783" t="b">
        <f t="shared" si="1"/>
        <v>0</v>
      </c>
      <c r="E1783">
        <f t="shared" si="2"/>
        <v>0</v>
      </c>
      <c r="F1783" s="11"/>
    </row>
    <row r="1784" spans="1:6" ht="16" x14ac:dyDescent="0.2">
      <c r="A1784" s="12" t="s">
        <v>5344</v>
      </c>
      <c r="B1784" s="13"/>
      <c r="C1784" t="e">
        <f t="shared" si="0"/>
        <v>#N/A</v>
      </c>
      <c r="D1784" t="b">
        <f t="shared" si="1"/>
        <v>0</v>
      </c>
      <c r="E1784">
        <f t="shared" si="2"/>
        <v>0</v>
      </c>
      <c r="F1784" s="11"/>
    </row>
    <row r="1785" spans="1:6" ht="16" x14ac:dyDescent="0.2">
      <c r="A1785" s="12" t="s">
        <v>5345</v>
      </c>
      <c r="B1785" s="13"/>
      <c r="C1785" t="e">
        <f t="shared" si="0"/>
        <v>#N/A</v>
      </c>
      <c r="D1785" t="b">
        <f t="shared" si="1"/>
        <v>0</v>
      </c>
      <c r="E1785">
        <f t="shared" si="2"/>
        <v>0</v>
      </c>
      <c r="F1785" s="11"/>
    </row>
    <row r="1786" spans="1:6" ht="16" x14ac:dyDescent="0.2">
      <c r="A1786" s="12" t="s">
        <v>5346</v>
      </c>
      <c r="B1786" s="13"/>
      <c r="C1786" t="e">
        <f t="shared" si="0"/>
        <v>#N/A</v>
      </c>
      <c r="D1786" t="b">
        <f t="shared" si="1"/>
        <v>0</v>
      </c>
      <c r="E1786">
        <f t="shared" si="2"/>
        <v>0</v>
      </c>
      <c r="F1786" s="11"/>
    </row>
    <row r="1787" spans="1:6" ht="16" x14ac:dyDescent="0.2">
      <c r="A1787" s="12" t="s">
        <v>5347</v>
      </c>
      <c r="B1787" s="13"/>
      <c r="C1787" t="e">
        <f t="shared" si="0"/>
        <v>#N/A</v>
      </c>
      <c r="D1787" t="b">
        <f t="shared" si="1"/>
        <v>0</v>
      </c>
      <c r="E1787">
        <f t="shared" si="2"/>
        <v>0</v>
      </c>
      <c r="F1787" s="11"/>
    </row>
    <row r="1788" spans="1:6" ht="16" x14ac:dyDescent="0.2">
      <c r="A1788" s="12" t="s">
        <v>5348</v>
      </c>
      <c r="B1788" s="13"/>
      <c r="C1788" t="e">
        <f t="shared" si="0"/>
        <v>#N/A</v>
      </c>
      <c r="D1788" t="b">
        <f t="shared" si="1"/>
        <v>0</v>
      </c>
      <c r="E1788">
        <f t="shared" si="2"/>
        <v>0</v>
      </c>
      <c r="F1788" s="11"/>
    </row>
    <row r="1789" spans="1:6" ht="16" x14ac:dyDescent="0.2">
      <c r="A1789" s="12" t="s">
        <v>5349</v>
      </c>
      <c r="B1789" s="13"/>
      <c r="C1789" t="e">
        <f t="shared" si="0"/>
        <v>#N/A</v>
      </c>
      <c r="D1789" t="b">
        <f t="shared" si="1"/>
        <v>0</v>
      </c>
      <c r="E1789">
        <f t="shared" si="2"/>
        <v>0</v>
      </c>
      <c r="F1789" s="11"/>
    </row>
    <row r="1790" spans="1:6" ht="16" x14ac:dyDescent="0.2">
      <c r="A1790" s="12" t="s">
        <v>5350</v>
      </c>
      <c r="B1790" s="13"/>
      <c r="C1790" t="e">
        <f t="shared" si="0"/>
        <v>#N/A</v>
      </c>
      <c r="D1790" t="b">
        <f t="shared" si="1"/>
        <v>0</v>
      </c>
      <c r="E1790">
        <f t="shared" si="2"/>
        <v>0</v>
      </c>
      <c r="F1790" s="11"/>
    </row>
    <row r="1791" spans="1:6" ht="16" x14ac:dyDescent="0.2">
      <c r="A1791" s="12" t="s">
        <v>5351</v>
      </c>
      <c r="B1791" s="13"/>
      <c r="C1791" t="e">
        <f t="shared" si="0"/>
        <v>#N/A</v>
      </c>
      <c r="D1791" t="b">
        <f t="shared" si="1"/>
        <v>0</v>
      </c>
      <c r="E1791">
        <f t="shared" si="2"/>
        <v>0</v>
      </c>
      <c r="F1791" s="11"/>
    </row>
    <row r="1792" spans="1:6" ht="16" x14ac:dyDescent="0.2">
      <c r="A1792" s="12" t="s">
        <v>5352</v>
      </c>
      <c r="B1792" s="13"/>
      <c r="C1792" t="e">
        <f t="shared" si="0"/>
        <v>#N/A</v>
      </c>
      <c r="D1792" t="b">
        <f t="shared" si="1"/>
        <v>0</v>
      </c>
      <c r="E1792">
        <f t="shared" si="2"/>
        <v>0</v>
      </c>
      <c r="F1792" s="11"/>
    </row>
    <row r="1793" spans="1:6" ht="16" x14ac:dyDescent="0.2">
      <c r="A1793" s="12" t="s">
        <v>5353</v>
      </c>
      <c r="B1793" s="13"/>
      <c r="C1793" t="e">
        <f t="shared" si="0"/>
        <v>#N/A</v>
      </c>
      <c r="D1793" t="b">
        <f t="shared" si="1"/>
        <v>0</v>
      </c>
      <c r="E1793">
        <f t="shared" si="2"/>
        <v>0</v>
      </c>
      <c r="F1793" s="11"/>
    </row>
    <row r="1794" spans="1:6" ht="16" x14ac:dyDescent="0.2">
      <c r="A1794" s="12" t="s">
        <v>5354</v>
      </c>
      <c r="B1794" s="13"/>
      <c r="C1794" t="e">
        <f t="shared" si="0"/>
        <v>#N/A</v>
      </c>
      <c r="D1794" t="b">
        <f t="shared" si="1"/>
        <v>0</v>
      </c>
      <c r="E1794">
        <f t="shared" si="2"/>
        <v>0</v>
      </c>
      <c r="F1794" s="11"/>
    </row>
    <row r="1795" spans="1:6" ht="16" x14ac:dyDescent="0.2">
      <c r="A1795" s="12" t="s">
        <v>5355</v>
      </c>
      <c r="B1795" s="13"/>
      <c r="C1795" t="e">
        <f t="shared" si="0"/>
        <v>#N/A</v>
      </c>
      <c r="D1795" t="b">
        <f t="shared" si="1"/>
        <v>0</v>
      </c>
      <c r="E1795">
        <f t="shared" si="2"/>
        <v>0</v>
      </c>
      <c r="F1795" s="11"/>
    </row>
    <row r="1796" spans="1:6" ht="16" x14ac:dyDescent="0.2">
      <c r="A1796" s="12" t="s">
        <v>5356</v>
      </c>
      <c r="B1796" s="13"/>
      <c r="C1796" t="e">
        <f t="shared" si="0"/>
        <v>#N/A</v>
      </c>
      <c r="D1796" t="b">
        <f t="shared" si="1"/>
        <v>0</v>
      </c>
      <c r="E1796">
        <f t="shared" si="2"/>
        <v>0</v>
      </c>
      <c r="F1796" s="11"/>
    </row>
    <row r="1797" spans="1:6" ht="16" x14ac:dyDescent="0.2">
      <c r="A1797" s="12" t="s">
        <v>5357</v>
      </c>
      <c r="B1797" s="13"/>
      <c r="C1797" t="e">
        <f t="shared" si="0"/>
        <v>#N/A</v>
      </c>
      <c r="D1797" t="b">
        <f t="shared" si="1"/>
        <v>0</v>
      </c>
      <c r="E1797">
        <f t="shared" si="2"/>
        <v>0</v>
      </c>
      <c r="F1797" s="11"/>
    </row>
    <row r="1798" spans="1:6" ht="16" x14ac:dyDescent="0.2">
      <c r="A1798" s="12" t="s">
        <v>5358</v>
      </c>
      <c r="B1798" s="13"/>
      <c r="C1798" t="e">
        <f t="shared" si="0"/>
        <v>#N/A</v>
      </c>
      <c r="D1798" t="b">
        <f t="shared" si="1"/>
        <v>0</v>
      </c>
      <c r="E1798">
        <f t="shared" si="2"/>
        <v>0</v>
      </c>
      <c r="F1798" s="11"/>
    </row>
    <row r="1799" spans="1:6" ht="16" x14ac:dyDescent="0.2">
      <c r="A1799" s="12" t="s">
        <v>5359</v>
      </c>
      <c r="B1799" s="13"/>
      <c r="C1799" t="e">
        <f t="shared" si="0"/>
        <v>#N/A</v>
      </c>
      <c r="D1799" t="b">
        <f t="shared" si="1"/>
        <v>0</v>
      </c>
      <c r="E1799">
        <f t="shared" si="2"/>
        <v>0</v>
      </c>
      <c r="F1799" s="11"/>
    </row>
    <row r="1800" spans="1:6" ht="16" x14ac:dyDescent="0.2">
      <c r="A1800" s="12" t="s">
        <v>5360</v>
      </c>
      <c r="B1800" s="13"/>
      <c r="C1800" t="e">
        <f t="shared" si="0"/>
        <v>#N/A</v>
      </c>
      <c r="D1800" t="b">
        <f t="shared" si="1"/>
        <v>0</v>
      </c>
      <c r="E1800">
        <f t="shared" si="2"/>
        <v>0</v>
      </c>
      <c r="F1800" s="11"/>
    </row>
    <row r="1801" spans="1:6" ht="16" x14ac:dyDescent="0.2">
      <c r="A1801" s="12" t="s">
        <v>5361</v>
      </c>
      <c r="B1801" s="13"/>
      <c r="C1801" t="e">
        <f t="shared" si="0"/>
        <v>#N/A</v>
      </c>
      <c r="D1801" t="b">
        <f t="shared" si="1"/>
        <v>0</v>
      </c>
      <c r="E1801">
        <f t="shared" si="2"/>
        <v>0</v>
      </c>
      <c r="F1801" s="11"/>
    </row>
    <row r="1802" spans="1:6" ht="16" x14ac:dyDescent="0.2">
      <c r="A1802" s="12" t="s">
        <v>5362</v>
      </c>
      <c r="B1802" s="13"/>
      <c r="C1802" t="e">
        <f t="shared" si="0"/>
        <v>#N/A</v>
      </c>
      <c r="D1802" t="b">
        <f t="shared" si="1"/>
        <v>0</v>
      </c>
      <c r="E1802">
        <f t="shared" si="2"/>
        <v>0</v>
      </c>
      <c r="F1802" s="11"/>
    </row>
    <row r="1803" spans="1:6" ht="16" x14ac:dyDescent="0.2">
      <c r="A1803" s="12" t="s">
        <v>5363</v>
      </c>
      <c r="B1803" s="13"/>
      <c r="C1803" t="e">
        <f t="shared" si="0"/>
        <v>#N/A</v>
      </c>
      <c r="D1803" t="b">
        <f t="shared" si="1"/>
        <v>0</v>
      </c>
      <c r="E1803">
        <f t="shared" si="2"/>
        <v>0</v>
      </c>
      <c r="F1803" s="11"/>
    </row>
    <row r="1804" spans="1:6" ht="16" x14ac:dyDescent="0.2">
      <c r="A1804" s="12" t="s">
        <v>5364</v>
      </c>
      <c r="B1804" s="13"/>
      <c r="C1804" t="e">
        <f t="shared" si="0"/>
        <v>#N/A</v>
      </c>
      <c r="D1804" t="b">
        <f t="shared" si="1"/>
        <v>0</v>
      </c>
      <c r="E1804">
        <f t="shared" si="2"/>
        <v>0</v>
      </c>
      <c r="F1804" s="11"/>
    </row>
    <row r="1805" spans="1:6" ht="16" x14ac:dyDescent="0.2">
      <c r="A1805" s="12" t="s">
        <v>5365</v>
      </c>
      <c r="B1805" s="13"/>
      <c r="C1805" t="e">
        <f t="shared" si="0"/>
        <v>#N/A</v>
      </c>
      <c r="D1805" t="b">
        <f t="shared" si="1"/>
        <v>0</v>
      </c>
      <c r="E1805">
        <f t="shared" si="2"/>
        <v>0</v>
      </c>
      <c r="F1805" s="11"/>
    </row>
    <row r="1806" spans="1:6" ht="16" x14ac:dyDescent="0.2">
      <c r="A1806" s="12" t="s">
        <v>5366</v>
      </c>
      <c r="B1806" s="13"/>
      <c r="C1806" t="e">
        <f t="shared" si="0"/>
        <v>#N/A</v>
      </c>
      <c r="D1806" t="b">
        <f t="shared" si="1"/>
        <v>0</v>
      </c>
      <c r="E1806">
        <f t="shared" si="2"/>
        <v>0</v>
      </c>
      <c r="F1806" s="11"/>
    </row>
    <row r="1807" spans="1:6" ht="16" x14ac:dyDescent="0.2">
      <c r="A1807" s="12" t="s">
        <v>5367</v>
      </c>
      <c r="B1807" s="13"/>
      <c r="C1807" t="e">
        <f t="shared" si="0"/>
        <v>#N/A</v>
      </c>
      <c r="D1807" t="b">
        <f t="shared" si="1"/>
        <v>0</v>
      </c>
      <c r="E1807">
        <f t="shared" si="2"/>
        <v>0</v>
      </c>
      <c r="F1807" s="11"/>
    </row>
    <row r="1808" spans="1:6" ht="16" x14ac:dyDescent="0.2">
      <c r="A1808" s="12" t="s">
        <v>5368</v>
      </c>
      <c r="B1808" s="13"/>
      <c r="C1808" t="e">
        <f t="shared" si="0"/>
        <v>#N/A</v>
      </c>
      <c r="D1808" t="b">
        <f t="shared" si="1"/>
        <v>0</v>
      </c>
      <c r="E1808">
        <f t="shared" si="2"/>
        <v>0</v>
      </c>
      <c r="F1808" s="11"/>
    </row>
    <row r="1809" spans="1:6" ht="16" x14ac:dyDescent="0.2">
      <c r="A1809" s="12" t="s">
        <v>5369</v>
      </c>
      <c r="B1809" s="13"/>
      <c r="C1809" t="e">
        <f t="shared" si="0"/>
        <v>#N/A</v>
      </c>
      <c r="D1809" t="b">
        <f t="shared" si="1"/>
        <v>0</v>
      </c>
      <c r="E1809">
        <f t="shared" si="2"/>
        <v>0</v>
      </c>
      <c r="F1809" s="11"/>
    </row>
    <row r="1810" spans="1:6" ht="16" x14ac:dyDescent="0.2">
      <c r="A1810" s="12" t="s">
        <v>5370</v>
      </c>
      <c r="B1810" s="13"/>
      <c r="C1810" t="e">
        <f t="shared" si="0"/>
        <v>#N/A</v>
      </c>
      <c r="D1810" t="b">
        <f t="shared" si="1"/>
        <v>0</v>
      </c>
      <c r="E1810">
        <f t="shared" si="2"/>
        <v>0</v>
      </c>
      <c r="F1810" s="11"/>
    </row>
    <row r="1811" spans="1:6" ht="16" x14ac:dyDescent="0.2">
      <c r="A1811" s="12" t="s">
        <v>5371</v>
      </c>
      <c r="B1811" s="13"/>
      <c r="C1811" t="e">
        <f t="shared" si="0"/>
        <v>#N/A</v>
      </c>
      <c r="D1811" t="b">
        <f t="shared" si="1"/>
        <v>0</v>
      </c>
      <c r="E1811">
        <f t="shared" si="2"/>
        <v>0</v>
      </c>
      <c r="F1811" s="11"/>
    </row>
    <row r="1812" spans="1:6" ht="16" x14ac:dyDescent="0.2">
      <c r="A1812" s="12" t="s">
        <v>5372</v>
      </c>
      <c r="B1812" s="13"/>
      <c r="C1812" t="e">
        <f t="shared" si="0"/>
        <v>#N/A</v>
      </c>
      <c r="D1812" t="b">
        <f t="shared" si="1"/>
        <v>0</v>
      </c>
      <c r="E1812">
        <f t="shared" si="2"/>
        <v>0</v>
      </c>
      <c r="F1812" s="11"/>
    </row>
    <row r="1813" spans="1:6" ht="16" x14ac:dyDescent="0.2">
      <c r="A1813" s="12" t="s">
        <v>5373</v>
      </c>
      <c r="B1813" s="13"/>
      <c r="C1813" t="e">
        <f t="shared" si="0"/>
        <v>#N/A</v>
      </c>
      <c r="D1813" t="b">
        <f t="shared" si="1"/>
        <v>0</v>
      </c>
      <c r="E1813">
        <f t="shared" si="2"/>
        <v>0</v>
      </c>
      <c r="F1813" s="11"/>
    </row>
    <row r="1814" spans="1:6" ht="16" x14ac:dyDescent="0.2">
      <c r="A1814" s="12" t="s">
        <v>5374</v>
      </c>
      <c r="B1814" s="13"/>
      <c r="C1814" t="e">
        <f t="shared" si="0"/>
        <v>#N/A</v>
      </c>
      <c r="D1814" t="b">
        <f t="shared" si="1"/>
        <v>0</v>
      </c>
      <c r="E1814">
        <f t="shared" si="2"/>
        <v>0</v>
      </c>
      <c r="F1814" s="11"/>
    </row>
    <row r="1815" spans="1:6" ht="16" x14ac:dyDescent="0.2">
      <c r="A1815" s="12" t="s">
        <v>5375</v>
      </c>
      <c r="B1815" s="13"/>
      <c r="C1815" t="e">
        <f t="shared" si="0"/>
        <v>#N/A</v>
      </c>
      <c r="D1815" t="b">
        <f t="shared" si="1"/>
        <v>0</v>
      </c>
      <c r="E1815">
        <f t="shared" si="2"/>
        <v>0</v>
      </c>
      <c r="F1815" s="11"/>
    </row>
    <row r="1816" spans="1:6" ht="16" x14ac:dyDescent="0.2">
      <c r="A1816" s="12" t="s">
        <v>5376</v>
      </c>
      <c r="B1816" s="13"/>
      <c r="C1816" t="e">
        <f t="shared" si="0"/>
        <v>#N/A</v>
      </c>
      <c r="D1816" t="b">
        <f t="shared" si="1"/>
        <v>0</v>
      </c>
      <c r="E1816">
        <f t="shared" si="2"/>
        <v>0</v>
      </c>
      <c r="F1816" s="11"/>
    </row>
    <row r="1817" spans="1:6" ht="16" x14ac:dyDescent="0.2">
      <c r="A1817" s="12" t="s">
        <v>5377</v>
      </c>
      <c r="B1817" s="13"/>
      <c r="C1817" t="e">
        <f t="shared" si="0"/>
        <v>#N/A</v>
      </c>
      <c r="D1817" t="b">
        <f t="shared" si="1"/>
        <v>0</v>
      </c>
      <c r="E1817">
        <f t="shared" si="2"/>
        <v>0</v>
      </c>
      <c r="F1817" s="11"/>
    </row>
    <row r="1818" spans="1:6" ht="16" x14ac:dyDescent="0.2">
      <c r="A1818" s="12" t="s">
        <v>5378</v>
      </c>
      <c r="B1818" s="13"/>
      <c r="C1818" t="e">
        <f t="shared" si="0"/>
        <v>#N/A</v>
      </c>
      <c r="D1818" t="b">
        <f t="shared" si="1"/>
        <v>0</v>
      </c>
      <c r="E1818">
        <f t="shared" si="2"/>
        <v>0</v>
      </c>
      <c r="F1818" s="11"/>
    </row>
    <row r="1819" spans="1:6" ht="16" x14ac:dyDescent="0.2">
      <c r="A1819" s="12" t="s">
        <v>5379</v>
      </c>
      <c r="B1819" s="13"/>
      <c r="C1819" t="e">
        <f t="shared" si="0"/>
        <v>#N/A</v>
      </c>
      <c r="D1819" t="b">
        <f t="shared" si="1"/>
        <v>0</v>
      </c>
      <c r="E1819">
        <f t="shared" si="2"/>
        <v>0</v>
      </c>
      <c r="F1819" s="11"/>
    </row>
    <row r="1820" spans="1:6" ht="16" x14ac:dyDescent="0.2">
      <c r="A1820" s="12" t="s">
        <v>5380</v>
      </c>
      <c r="B1820" s="13"/>
      <c r="C1820" t="e">
        <f t="shared" si="0"/>
        <v>#N/A</v>
      </c>
      <c r="D1820" t="b">
        <f t="shared" si="1"/>
        <v>0</v>
      </c>
      <c r="E1820">
        <f t="shared" si="2"/>
        <v>0</v>
      </c>
      <c r="F1820" s="11"/>
    </row>
    <row r="1821" spans="1:6" ht="16" x14ac:dyDescent="0.2">
      <c r="A1821" s="12" t="s">
        <v>5381</v>
      </c>
      <c r="B1821" s="13"/>
      <c r="C1821" t="e">
        <f t="shared" si="0"/>
        <v>#N/A</v>
      </c>
      <c r="D1821" t="b">
        <f t="shared" si="1"/>
        <v>0</v>
      </c>
      <c r="E1821">
        <f t="shared" si="2"/>
        <v>0</v>
      </c>
      <c r="F1821" s="11"/>
    </row>
    <row r="1822" spans="1:6" ht="16" x14ac:dyDescent="0.2">
      <c r="A1822" s="12" t="s">
        <v>5382</v>
      </c>
      <c r="B1822" s="13"/>
      <c r="C1822" t="e">
        <f t="shared" si="0"/>
        <v>#N/A</v>
      </c>
      <c r="D1822" t="b">
        <f t="shared" si="1"/>
        <v>0</v>
      </c>
      <c r="E1822">
        <f t="shared" si="2"/>
        <v>0</v>
      </c>
      <c r="F1822" s="11"/>
    </row>
    <row r="1823" spans="1:6" ht="16" x14ac:dyDescent="0.2">
      <c r="A1823" s="12" t="s">
        <v>5383</v>
      </c>
      <c r="B1823" s="13"/>
      <c r="C1823" t="e">
        <f t="shared" si="0"/>
        <v>#N/A</v>
      </c>
      <c r="D1823" t="b">
        <f t="shared" si="1"/>
        <v>0</v>
      </c>
      <c r="E1823">
        <f t="shared" si="2"/>
        <v>0</v>
      </c>
      <c r="F1823" s="11"/>
    </row>
    <row r="1824" spans="1:6" ht="16" x14ac:dyDescent="0.2">
      <c r="A1824" s="12" t="s">
        <v>5384</v>
      </c>
      <c r="B1824" s="13"/>
      <c r="C1824" t="e">
        <f t="shared" si="0"/>
        <v>#N/A</v>
      </c>
      <c r="D1824" t="b">
        <f t="shared" si="1"/>
        <v>0</v>
      </c>
      <c r="E1824">
        <f t="shared" si="2"/>
        <v>0</v>
      </c>
      <c r="F1824" s="11"/>
    </row>
    <row r="1825" spans="1:6" ht="16" x14ac:dyDescent="0.2">
      <c r="A1825" s="12" t="s">
        <v>5385</v>
      </c>
      <c r="B1825" s="13"/>
      <c r="C1825" t="e">
        <f t="shared" si="0"/>
        <v>#N/A</v>
      </c>
      <c r="D1825" t="b">
        <f t="shared" si="1"/>
        <v>0</v>
      </c>
      <c r="E1825">
        <f t="shared" si="2"/>
        <v>0</v>
      </c>
      <c r="F1825" s="11"/>
    </row>
    <row r="1826" spans="1:6" ht="16" x14ac:dyDescent="0.2">
      <c r="A1826" s="12" t="s">
        <v>5386</v>
      </c>
      <c r="B1826" s="13"/>
      <c r="C1826" t="e">
        <f t="shared" si="0"/>
        <v>#N/A</v>
      </c>
      <c r="D1826" t="b">
        <f t="shared" si="1"/>
        <v>0</v>
      </c>
      <c r="E1826">
        <f t="shared" si="2"/>
        <v>0</v>
      </c>
      <c r="F1826" s="11"/>
    </row>
    <row r="1827" spans="1:6" ht="16" x14ac:dyDescent="0.2">
      <c r="A1827" s="12" t="s">
        <v>5387</v>
      </c>
      <c r="B1827" s="13"/>
      <c r="C1827" t="e">
        <f t="shared" si="0"/>
        <v>#N/A</v>
      </c>
      <c r="D1827" t="b">
        <f t="shared" si="1"/>
        <v>0</v>
      </c>
      <c r="E1827">
        <f t="shared" si="2"/>
        <v>0</v>
      </c>
      <c r="F1827" s="11"/>
    </row>
    <row r="1828" spans="1:6" ht="16" x14ac:dyDescent="0.2">
      <c r="A1828" s="12" t="s">
        <v>5388</v>
      </c>
      <c r="B1828" s="13"/>
      <c r="C1828" t="e">
        <f t="shared" si="0"/>
        <v>#N/A</v>
      </c>
      <c r="D1828" t="b">
        <f t="shared" si="1"/>
        <v>0</v>
      </c>
      <c r="E1828">
        <f t="shared" si="2"/>
        <v>0</v>
      </c>
      <c r="F1828" s="11"/>
    </row>
    <row r="1829" spans="1:6" ht="16" x14ac:dyDescent="0.2">
      <c r="A1829" s="12" t="s">
        <v>5389</v>
      </c>
      <c r="B1829" s="13"/>
      <c r="C1829" t="e">
        <f t="shared" si="0"/>
        <v>#N/A</v>
      </c>
      <c r="D1829" t="b">
        <f t="shared" si="1"/>
        <v>0</v>
      </c>
      <c r="E1829">
        <f t="shared" si="2"/>
        <v>0</v>
      </c>
      <c r="F1829" s="11"/>
    </row>
    <row r="1830" spans="1:6" ht="16" x14ac:dyDescent="0.2">
      <c r="A1830" s="12" t="s">
        <v>3597</v>
      </c>
      <c r="B1830" s="13"/>
      <c r="C1830">
        <f t="shared" si="0"/>
        <v>11</v>
      </c>
      <c r="D1830" t="b">
        <f t="shared" si="1"/>
        <v>1</v>
      </c>
      <c r="E1830">
        <f t="shared" si="2"/>
        <v>1</v>
      </c>
      <c r="F1830" s="11"/>
    </row>
    <row r="1831" spans="1:6" ht="16" x14ac:dyDescent="0.2">
      <c r="A1831" s="12" t="s">
        <v>5390</v>
      </c>
      <c r="B1831" s="13"/>
      <c r="C1831" t="e">
        <f t="shared" si="0"/>
        <v>#N/A</v>
      </c>
      <c r="D1831" t="b">
        <f t="shared" si="1"/>
        <v>0</v>
      </c>
      <c r="E1831">
        <f t="shared" si="2"/>
        <v>0</v>
      </c>
      <c r="F1831" s="11"/>
    </row>
    <row r="1832" spans="1:6" ht="16" x14ac:dyDescent="0.2">
      <c r="A1832" s="12" t="s">
        <v>5391</v>
      </c>
      <c r="B1832" s="13"/>
      <c r="C1832" t="e">
        <f t="shared" si="0"/>
        <v>#N/A</v>
      </c>
      <c r="D1832" t="b">
        <f t="shared" si="1"/>
        <v>0</v>
      </c>
      <c r="E1832">
        <f t="shared" si="2"/>
        <v>0</v>
      </c>
      <c r="F1832" s="11"/>
    </row>
    <row r="1833" spans="1:6" ht="16" x14ac:dyDescent="0.2">
      <c r="A1833" s="12" t="s">
        <v>5392</v>
      </c>
      <c r="B1833" s="13"/>
      <c r="C1833" t="e">
        <f t="shared" si="0"/>
        <v>#N/A</v>
      </c>
      <c r="D1833" t="b">
        <f t="shared" si="1"/>
        <v>0</v>
      </c>
      <c r="E1833">
        <f t="shared" si="2"/>
        <v>0</v>
      </c>
      <c r="F1833" s="11"/>
    </row>
    <row r="1834" spans="1:6" ht="16" x14ac:dyDescent="0.2">
      <c r="A1834" s="12" t="s">
        <v>5393</v>
      </c>
      <c r="B1834" s="13"/>
      <c r="C1834" t="e">
        <f t="shared" si="0"/>
        <v>#N/A</v>
      </c>
      <c r="D1834" t="b">
        <f t="shared" si="1"/>
        <v>0</v>
      </c>
      <c r="E1834">
        <f t="shared" si="2"/>
        <v>0</v>
      </c>
      <c r="F1834" s="11"/>
    </row>
    <row r="1835" spans="1:6" ht="16" x14ac:dyDescent="0.2">
      <c r="A1835" s="12" t="s">
        <v>5394</v>
      </c>
      <c r="B1835" s="13"/>
      <c r="C1835" t="e">
        <f t="shared" si="0"/>
        <v>#N/A</v>
      </c>
      <c r="D1835" t="b">
        <f t="shared" si="1"/>
        <v>0</v>
      </c>
      <c r="E1835">
        <f t="shared" si="2"/>
        <v>0</v>
      </c>
      <c r="F1835" s="11"/>
    </row>
    <row r="1836" spans="1:6" ht="16" x14ac:dyDescent="0.2">
      <c r="A1836" s="12" t="s">
        <v>5395</v>
      </c>
      <c r="B1836" s="13"/>
      <c r="C1836" t="e">
        <f t="shared" si="0"/>
        <v>#N/A</v>
      </c>
      <c r="D1836" t="b">
        <f t="shared" si="1"/>
        <v>0</v>
      </c>
      <c r="E1836">
        <f t="shared" si="2"/>
        <v>0</v>
      </c>
      <c r="F1836" s="11"/>
    </row>
    <row r="1837" spans="1:6" ht="16" x14ac:dyDescent="0.2">
      <c r="A1837" s="12" t="s">
        <v>5396</v>
      </c>
      <c r="B1837" s="13"/>
      <c r="C1837" t="e">
        <f t="shared" si="0"/>
        <v>#N/A</v>
      </c>
      <c r="D1837" t="b">
        <f t="shared" si="1"/>
        <v>0</v>
      </c>
      <c r="E1837">
        <f t="shared" si="2"/>
        <v>0</v>
      </c>
      <c r="F1837" s="11"/>
    </row>
    <row r="1838" spans="1:6" ht="16" x14ac:dyDescent="0.2">
      <c r="A1838" s="12" t="s">
        <v>5397</v>
      </c>
      <c r="B1838" s="13"/>
      <c r="C1838" t="e">
        <f t="shared" si="0"/>
        <v>#N/A</v>
      </c>
      <c r="D1838" t="b">
        <f t="shared" si="1"/>
        <v>0</v>
      </c>
      <c r="E1838">
        <f t="shared" si="2"/>
        <v>0</v>
      </c>
      <c r="F1838" s="11"/>
    </row>
    <row r="1839" spans="1:6" ht="16" x14ac:dyDescent="0.2">
      <c r="A1839" s="12" t="s">
        <v>5398</v>
      </c>
      <c r="B1839" s="13"/>
      <c r="C1839" t="e">
        <f t="shared" si="0"/>
        <v>#N/A</v>
      </c>
      <c r="D1839" t="b">
        <f t="shared" si="1"/>
        <v>0</v>
      </c>
      <c r="E1839">
        <f t="shared" si="2"/>
        <v>0</v>
      </c>
      <c r="F1839" s="11"/>
    </row>
    <row r="1840" spans="1:6" ht="16" x14ac:dyDescent="0.2">
      <c r="A1840" s="12" t="s">
        <v>5399</v>
      </c>
      <c r="B1840" s="13"/>
      <c r="C1840" t="e">
        <f t="shared" si="0"/>
        <v>#N/A</v>
      </c>
      <c r="D1840" t="b">
        <f t="shared" si="1"/>
        <v>0</v>
      </c>
      <c r="E1840">
        <f t="shared" si="2"/>
        <v>0</v>
      </c>
      <c r="F1840" s="11"/>
    </row>
    <row r="1841" spans="1:6" ht="16" x14ac:dyDescent="0.2">
      <c r="A1841" s="12" t="s">
        <v>5400</v>
      </c>
      <c r="B1841" s="13"/>
      <c r="C1841" t="e">
        <f t="shared" si="0"/>
        <v>#N/A</v>
      </c>
      <c r="D1841" t="b">
        <f t="shared" si="1"/>
        <v>0</v>
      </c>
      <c r="E1841">
        <f t="shared" si="2"/>
        <v>0</v>
      </c>
      <c r="F1841" s="11"/>
    </row>
    <row r="1842" spans="1:6" ht="16" x14ac:dyDescent="0.2">
      <c r="A1842" s="12" t="s">
        <v>5401</v>
      </c>
      <c r="B1842" s="13"/>
      <c r="C1842" t="e">
        <f t="shared" si="0"/>
        <v>#N/A</v>
      </c>
      <c r="D1842" t="b">
        <f t="shared" si="1"/>
        <v>0</v>
      </c>
      <c r="E1842">
        <f t="shared" si="2"/>
        <v>0</v>
      </c>
      <c r="F1842" s="11"/>
    </row>
    <row r="1843" spans="1:6" ht="16" x14ac:dyDescent="0.2">
      <c r="A1843" s="12" t="s">
        <v>5402</v>
      </c>
      <c r="B1843" s="13"/>
      <c r="C1843" t="e">
        <f t="shared" si="0"/>
        <v>#N/A</v>
      </c>
      <c r="D1843" t="b">
        <f t="shared" si="1"/>
        <v>0</v>
      </c>
      <c r="E1843">
        <f t="shared" si="2"/>
        <v>0</v>
      </c>
      <c r="F1843" s="11"/>
    </row>
    <row r="1844" spans="1:6" ht="16" x14ac:dyDescent="0.2">
      <c r="A1844" s="12" t="s">
        <v>5403</v>
      </c>
      <c r="B1844" s="13"/>
      <c r="C1844" t="e">
        <f t="shared" si="0"/>
        <v>#N/A</v>
      </c>
      <c r="D1844" t="b">
        <f t="shared" si="1"/>
        <v>0</v>
      </c>
      <c r="E1844">
        <f t="shared" si="2"/>
        <v>0</v>
      </c>
      <c r="F1844" s="11"/>
    </row>
    <row r="1845" spans="1:6" ht="16" x14ac:dyDescent="0.2">
      <c r="A1845" s="12" t="s">
        <v>5404</v>
      </c>
      <c r="B1845" s="13"/>
      <c r="C1845" t="e">
        <f t="shared" si="0"/>
        <v>#N/A</v>
      </c>
      <c r="D1845" t="b">
        <f t="shared" si="1"/>
        <v>0</v>
      </c>
      <c r="E1845">
        <f t="shared" si="2"/>
        <v>0</v>
      </c>
      <c r="F1845" s="11"/>
    </row>
    <row r="1846" spans="1:6" ht="16" x14ac:dyDescent="0.2">
      <c r="A1846" s="12" t="s">
        <v>5405</v>
      </c>
      <c r="B1846" s="13"/>
      <c r="C1846" t="e">
        <f t="shared" si="0"/>
        <v>#N/A</v>
      </c>
      <c r="D1846" t="b">
        <f t="shared" si="1"/>
        <v>0</v>
      </c>
      <c r="E1846">
        <f t="shared" si="2"/>
        <v>0</v>
      </c>
      <c r="F1846" s="11"/>
    </row>
    <row r="1847" spans="1:6" ht="16" x14ac:dyDescent="0.2">
      <c r="A1847" s="12" t="s">
        <v>5406</v>
      </c>
      <c r="B1847" s="13"/>
      <c r="C1847" t="e">
        <f t="shared" si="0"/>
        <v>#N/A</v>
      </c>
      <c r="D1847" t="b">
        <f t="shared" si="1"/>
        <v>0</v>
      </c>
      <c r="E1847">
        <f t="shared" si="2"/>
        <v>0</v>
      </c>
      <c r="F1847" s="11"/>
    </row>
    <row r="1848" spans="1:6" ht="16" x14ac:dyDescent="0.2">
      <c r="A1848" s="12" t="s">
        <v>5407</v>
      </c>
      <c r="B1848" s="13"/>
      <c r="C1848" t="e">
        <f t="shared" si="0"/>
        <v>#N/A</v>
      </c>
      <c r="D1848" t="b">
        <f t="shared" si="1"/>
        <v>0</v>
      </c>
      <c r="E1848">
        <f t="shared" si="2"/>
        <v>0</v>
      </c>
      <c r="F1848" s="11"/>
    </row>
    <row r="1849" spans="1:6" ht="16" x14ac:dyDescent="0.2">
      <c r="A1849" s="12" t="s">
        <v>5408</v>
      </c>
      <c r="B1849" s="13"/>
      <c r="C1849" t="e">
        <f t="shared" si="0"/>
        <v>#N/A</v>
      </c>
      <c r="D1849" t="b">
        <f t="shared" si="1"/>
        <v>0</v>
      </c>
      <c r="E1849">
        <f t="shared" si="2"/>
        <v>0</v>
      </c>
      <c r="F1849" s="11"/>
    </row>
    <row r="1850" spans="1:6" ht="16" x14ac:dyDescent="0.2">
      <c r="A1850" s="12" t="s">
        <v>5409</v>
      </c>
      <c r="B1850" s="13"/>
      <c r="C1850" t="e">
        <f t="shared" si="0"/>
        <v>#N/A</v>
      </c>
      <c r="D1850" t="b">
        <f t="shared" si="1"/>
        <v>0</v>
      </c>
      <c r="E1850">
        <f t="shared" si="2"/>
        <v>0</v>
      </c>
      <c r="F1850" s="11"/>
    </row>
    <row r="1851" spans="1:6" ht="16" x14ac:dyDescent="0.2">
      <c r="A1851" s="12" t="s">
        <v>5410</v>
      </c>
      <c r="B1851" s="13"/>
      <c r="C1851" t="e">
        <f t="shared" si="0"/>
        <v>#N/A</v>
      </c>
      <c r="D1851" t="b">
        <f t="shared" si="1"/>
        <v>0</v>
      </c>
      <c r="E1851">
        <f t="shared" si="2"/>
        <v>0</v>
      </c>
      <c r="F1851" s="11"/>
    </row>
    <row r="1852" spans="1:6" ht="16" x14ac:dyDescent="0.2">
      <c r="A1852" s="12" t="s">
        <v>5410</v>
      </c>
      <c r="B1852" s="13"/>
      <c r="C1852" t="e">
        <f t="shared" si="0"/>
        <v>#N/A</v>
      </c>
      <c r="D1852" t="b">
        <f t="shared" si="1"/>
        <v>0</v>
      </c>
      <c r="E1852">
        <f t="shared" si="2"/>
        <v>0</v>
      </c>
      <c r="F1852" s="11"/>
    </row>
    <row r="1853" spans="1:6" ht="16" x14ac:dyDescent="0.2">
      <c r="A1853" s="12" t="s">
        <v>5411</v>
      </c>
      <c r="B1853" s="13"/>
      <c r="C1853" t="e">
        <f t="shared" si="0"/>
        <v>#N/A</v>
      </c>
      <c r="D1853" t="b">
        <f t="shared" si="1"/>
        <v>0</v>
      </c>
      <c r="E1853">
        <f t="shared" si="2"/>
        <v>0</v>
      </c>
      <c r="F1853" s="11"/>
    </row>
    <row r="1854" spans="1:6" ht="16" x14ac:dyDescent="0.2">
      <c r="A1854" s="12" t="s">
        <v>5412</v>
      </c>
      <c r="B1854" s="13"/>
      <c r="C1854" t="e">
        <f t="shared" si="0"/>
        <v>#N/A</v>
      </c>
      <c r="D1854" t="b">
        <f t="shared" si="1"/>
        <v>0</v>
      </c>
      <c r="E1854">
        <f t="shared" si="2"/>
        <v>0</v>
      </c>
      <c r="F1854" s="11"/>
    </row>
    <row r="1855" spans="1:6" ht="16" x14ac:dyDescent="0.2">
      <c r="A1855" s="12" t="s">
        <v>5413</v>
      </c>
      <c r="B1855" s="13"/>
      <c r="C1855" t="e">
        <f t="shared" si="0"/>
        <v>#N/A</v>
      </c>
      <c r="D1855" t="b">
        <f t="shared" si="1"/>
        <v>0</v>
      </c>
      <c r="E1855">
        <f t="shared" si="2"/>
        <v>0</v>
      </c>
      <c r="F1855" s="11"/>
    </row>
    <row r="1856" spans="1:6" ht="16" x14ac:dyDescent="0.2">
      <c r="A1856" s="12" t="s">
        <v>5414</v>
      </c>
      <c r="B1856" s="13"/>
      <c r="C1856" t="e">
        <f t="shared" si="0"/>
        <v>#N/A</v>
      </c>
      <c r="D1856" t="b">
        <f t="shared" si="1"/>
        <v>0</v>
      </c>
      <c r="E1856">
        <f t="shared" si="2"/>
        <v>0</v>
      </c>
      <c r="F1856" s="11"/>
    </row>
    <row r="1857" spans="1:6" ht="16" x14ac:dyDescent="0.2">
      <c r="A1857" s="12" t="s">
        <v>5415</v>
      </c>
      <c r="B1857" s="13"/>
      <c r="C1857" t="e">
        <f t="shared" si="0"/>
        <v>#N/A</v>
      </c>
      <c r="D1857" t="b">
        <f t="shared" si="1"/>
        <v>0</v>
      </c>
      <c r="E1857">
        <f t="shared" si="2"/>
        <v>0</v>
      </c>
      <c r="F1857" s="11"/>
    </row>
    <row r="1858" spans="1:6" ht="16" x14ac:dyDescent="0.2">
      <c r="A1858" s="12" t="s">
        <v>5416</v>
      </c>
      <c r="B1858" s="13"/>
      <c r="C1858" t="e">
        <f t="shared" si="0"/>
        <v>#N/A</v>
      </c>
      <c r="D1858" t="b">
        <f t="shared" si="1"/>
        <v>0</v>
      </c>
      <c r="E1858">
        <f t="shared" si="2"/>
        <v>0</v>
      </c>
      <c r="F1858" s="11"/>
    </row>
    <row r="1859" spans="1:6" ht="16" x14ac:dyDescent="0.2">
      <c r="A1859" s="12" t="s">
        <v>5417</v>
      </c>
      <c r="B1859" s="13"/>
      <c r="C1859" t="e">
        <f t="shared" si="0"/>
        <v>#N/A</v>
      </c>
      <c r="D1859" t="b">
        <f t="shared" si="1"/>
        <v>0</v>
      </c>
      <c r="E1859">
        <f t="shared" si="2"/>
        <v>0</v>
      </c>
      <c r="F1859" s="11"/>
    </row>
    <row r="1860" spans="1:6" ht="16" x14ac:dyDescent="0.2">
      <c r="A1860" s="12" t="s">
        <v>5418</v>
      </c>
      <c r="B1860" s="13"/>
      <c r="C1860" t="e">
        <f t="shared" si="0"/>
        <v>#N/A</v>
      </c>
      <c r="D1860" t="b">
        <f t="shared" si="1"/>
        <v>0</v>
      </c>
      <c r="E1860">
        <f t="shared" si="2"/>
        <v>0</v>
      </c>
      <c r="F1860" s="11"/>
    </row>
    <row r="1861" spans="1:6" ht="16" x14ac:dyDescent="0.2">
      <c r="A1861" s="12" t="s">
        <v>5419</v>
      </c>
      <c r="B1861" s="13"/>
      <c r="C1861" t="e">
        <f t="shared" si="0"/>
        <v>#N/A</v>
      </c>
      <c r="D1861" t="b">
        <f t="shared" si="1"/>
        <v>0</v>
      </c>
      <c r="E1861">
        <f t="shared" si="2"/>
        <v>0</v>
      </c>
      <c r="F1861" s="11"/>
    </row>
    <row r="1862" spans="1:6" ht="16" x14ac:dyDescent="0.2">
      <c r="A1862" s="12" t="s">
        <v>5420</v>
      </c>
      <c r="B1862" s="13"/>
      <c r="C1862" t="e">
        <f t="shared" si="0"/>
        <v>#N/A</v>
      </c>
      <c r="D1862" t="b">
        <f t="shared" si="1"/>
        <v>0</v>
      </c>
      <c r="E1862">
        <f t="shared" si="2"/>
        <v>0</v>
      </c>
      <c r="F1862" s="11"/>
    </row>
    <row r="1863" spans="1:6" ht="16" x14ac:dyDescent="0.2">
      <c r="A1863" s="12" t="s">
        <v>5421</v>
      </c>
      <c r="B1863" s="13"/>
      <c r="C1863" t="e">
        <f t="shared" si="0"/>
        <v>#N/A</v>
      </c>
      <c r="D1863" t="b">
        <f t="shared" si="1"/>
        <v>0</v>
      </c>
      <c r="E1863">
        <f t="shared" si="2"/>
        <v>0</v>
      </c>
      <c r="F1863" s="11"/>
    </row>
    <row r="1864" spans="1:6" ht="16" x14ac:dyDescent="0.2">
      <c r="A1864" s="12" t="s">
        <v>5422</v>
      </c>
      <c r="B1864" s="13"/>
      <c r="C1864" t="e">
        <f t="shared" si="0"/>
        <v>#N/A</v>
      </c>
      <c r="D1864" t="b">
        <f t="shared" si="1"/>
        <v>0</v>
      </c>
      <c r="E1864">
        <f t="shared" si="2"/>
        <v>0</v>
      </c>
      <c r="F1864" s="11"/>
    </row>
    <row r="1865" spans="1:6" ht="16" x14ac:dyDescent="0.2">
      <c r="A1865" s="12" t="s">
        <v>5423</v>
      </c>
      <c r="B1865" s="13"/>
      <c r="C1865" t="e">
        <f t="shared" si="0"/>
        <v>#N/A</v>
      </c>
      <c r="D1865" t="b">
        <f t="shared" si="1"/>
        <v>0</v>
      </c>
      <c r="E1865">
        <f t="shared" si="2"/>
        <v>0</v>
      </c>
      <c r="F1865" s="11"/>
    </row>
    <row r="1866" spans="1:6" ht="16" x14ac:dyDescent="0.2">
      <c r="A1866" s="12" t="s">
        <v>5424</v>
      </c>
      <c r="B1866" s="13"/>
      <c r="C1866" t="e">
        <f t="shared" si="0"/>
        <v>#N/A</v>
      </c>
      <c r="D1866" t="b">
        <f t="shared" si="1"/>
        <v>0</v>
      </c>
      <c r="E1866">
        <f t="shared" si="2"/>
        <v>0</v>
      </c>
      <c r="F1866" s="11"/>
    </row>
    <row r="1867" spans="1:6" ht="16" x14ac:dyDescent="0.2">
      <c r="A1867" s="12" t="s">
        <v>5425</v>
      </c>
      <c r="B1867" s="13"/>
      <c r="C1867" t="e">
        <f t="shared" si="0"/>
        <v>#N/A</v>
      </c>
      <c r="D1867" t="b">
        <f t="shared" si="1"/>
        <v>0</v>
      </c>
      <c r="E1867">
        <f t="shared" si="2"/>
        <v>0</v>
      </c>
      <c r="F1867" s="11"/>
    </row>
    <row r="1868" spans="1:6" ht="16" x14ac:dyDescent="0.2">
      <c r="A1868" s="12" t="s">
        <v>5426</v>
      </c>
      <c r="B1868" s="13"/>
      <c r="C1868" t="e">
        <f t="shared" si="0"/>
        <v>#N/A</v>
      </c>
      <c r="D1868" t="b">
        <f t="shared" si="1"/>
        <v>0</v>
      </c>
      <c r="E1868">
        <f t="shared" si="2"/>
        <v>0</v>
      </c>
      <c r="F1868" s="11"/>
    </row>
    <row r="1869" spans="1:6" ht="16" x14ac:dyDescent="0.2">
      <c r="A1869" s="12" t="s">
        <v>5427</v>
      </c>
      <c r="B1869" s="13"/>
      <c r="C1869" t="e">
        <f t="shared" si="0"/>
        <v>#N/A</v>
      </c>
      <c r="D1869" t="b">
        <f t="shared" si="1"/>
        <v>0</v>
      </c>
      <c r="E1869">
        <f t="shared" si="2"/>
        <v>0</v>
      </c>
      <c r="F1869" s="11"/>
    </row>
    <row r="1870" spans="1:6" ht="16" x14ac:dyDescent="0.2">
      <c r="A1870" s="12" t="s">
        <v>5428</v>
      </c>
      <c r="B1870" s="13"/>
      <c r="C1870" t="e">
        <f t="shared" si="0"/>
        <v>#N/A</v>
      </c>
      <c r="D1870" t="b">
        <f t="shared" si="1"/>
        <v>0</v>
      </c>
      <c r="E1870">
        <f t="shared" si="2"/>
        <v>0</v>
      </c>
      <c r="F1870" s="11"/>
    </row>
    <row r="1871" spans="1:6" ht="16" x14ac:dyDescent="0.2">
      <c r="A1871" s="12" t="s">
        <v>5429</v>
      </c>
      <c r="B1871" s="13"/>
      <c r="C1871" t="e">
        <f t="shared" si="0"/>
        <v>#N/A</v>
      </c>
      <c r="D1871" t="b">
        <f t="shared" si="1"/>
        <v>0</v>
      </c>
      <c r="E1871">
        <f t="shared" si="2"/>
        <v>0</v>
      </c>
      <c r="F1871" s="11"/>
    </row>
    <row r="1872" spans="1:6" ht="16" x14ac:dyDescent="0.2">
      <c r="A1872" s="12" t="s">
        <v>5430</v>
      </c>
      <c r="B1872" s="13"/>
      <c r="C1872" t="e">
        <f t="shared" si="0"/>
        <v>#N/A</v>
      </c>
      <c r="D1872" t="b">
        <f t="shared" si="1"/>
        <v>0</v>
      </c>
      <c r="E1872">
        <f t="shared" si="2"/>
        <v>0</v>
      </c>
      <c r="F1872" s="11"/>
    </row>
    <row r="1873" spans="1:6" ht="16" x14ac:dyDescent="0.2">
      <c r="A1873" s="12" t="s">
        <v>5431</v>
      </c>
      <c r="B1873" s="13"/>
      <c r="C1873" t="e">
        <f t="shared" si="0"/>
        <v>#N/A</v>
      </c>
      <c r="D1873" t="b">
        <f t="shared" si="1"/>
        <v>0</v>
      </c>
      <c r="E1873">
        <f t="shared" si="2"/>
        <v>0</v>
      </c>
      <c r="F1873" s="11"/>
    </row>
    <row r="1874" spans="1:6" ht="16" x14ac:dyDescent="0.2">
      <c r="A1874" s="12" t="s">
        <v>5432</v>
      </c>
      <c r="B1874" s="13"/>
      <c r="C1874" t="e">
        <f t="shared" si="0"/>
        <v>#N/A</v>
      </c>
      <c r="D1874" t="b">
        <f t="shared" si="1"/>
        <v>0</v>
      </c>
      <c r="E1874">
        <f t="shared" si="2"/>
        <v>0</v>
      </c>
      <c r="F1874" s="11"/>
    </row>
    <row r="1875" spans="1:6" ht="16" x14ac:dyDescent="0.2">
      <c r="A1875" s="12" t="s">
        <v>5433</v>
      </c>
      <c r="B1875" s="13"/>
      <c r="C1875" t="e">
        <f t="shared" si="0"/>
        <v>#N/A</v>
      </c>
      <c r="D1875" t="b">
        <f t="shared" si="1"/>
        <v>0</v>
      </c>
      <c r="E1875">
        <f t="shared" si="2"/>
        <v>0</v>
      </c>
      <c r="F1875" s="11"/>
    </row>
    <row r="1876" spans="1:6" ht="16" x14ac:dyDescent="0.2">
      <c r="A1876" s="12" t="s">
        <v>5434</v>
      </c>
      <c r="B1876" s="13"/>
      <c r="C1876" t="e">
        <f t="shared" si="0"/>
        <v>#N/A</v>
      </c>
      <c r="D1876" t="b">
        <f t="shared" si="1"/>
        <v>0</v>
      </c>
      <c r="E1876">
        <f t="shared" si="2"/>
        <v>0</v>
      </c>
      <c r="F1876" s="11"/>
    </row>
    <row r="1877" spans="1:6" ht="16" x14ac:dyDescent="0.2">
      <c r="A1877" s="12" t="s">
        <v>5435</v>
      </c>
      <c r="B1877" s="13"/>
      <c r="C1877" t="e">
        <f t="shared" si="0"/>
        <v>#N/A</v>
      </c>
      <c r="D1877" t="b">
        <f t="shared" si="1"/>
        <v>0</v>
      </c>
      <c r="E1877">
        <f t="shared" si="2"/>
        <v>0</v>
      </c>
      <c r="F1877" s="11"/>
    </row>
    <row r="1878" spans="1:6" ht="16" x14ac:dyDescent="0.2">
      <c r="A1878" s="12" t="s">
        <v>5436</v>
      </c>
      <c r="B1878" s="13"/>
      <c r="C1878" t="e">
        <f t="shared" si="0"/>
        <v>#N/A</v>
      </c>
      <c r="D1878" t="b">
        <f t="shared" si="1"/>
        <v>0</v>
      </c>
      <c r="E1878">
        <f t="shared" si="2"/>
        <v>0</v>
      </c>
      <c r="F1878" s="11"/>
    </row>
    <row r="1879" spans="1:6" ht="16" x14ac:dyDescent="0.2">
      <c r="A1879" s="12" t="s">
        <v>5437</v>
      </c>
      <c r="B1879" s="13"/>
      <c r="C1879" t="e">
        <f t="shared" si="0"/>
        <v>#N/A</v>
      </c>
      <c r="D1879" t="b">
        <f t="shared" si="1"/>
        <v>0</v>
      </c>
      <c r="E1879">
        <f t="shared" si="2"/>
        <v>0</v>
      </c>
      <c r="F1879" s="11"/>
    </row>
    <row r="1880" spans="1:6" ht="16" x14ac:dyDescent="0.2">
      <c r="A1880" s="12" t="s">
        <v>5438</v>
      </c>
      <c r="B1880" s="13"/>
      <c r="C1880" t="e">
        <f t="shared" si="0"/>
        <v>#N/A</v>
      </c>
      <c r="D1880" t="b">
        <f t="shared" si="1"/>
        <v>0</v>
      </c>
      <c r="E1880">
        <f t="shared" si="2"/>
        <v>0</v>
      </c>
      <c r="F1880" s="11"/>
    </row>
    <row r="1881" spans="1:6" ht="16" x14ac:dyDescent="0.2">
      <c r="A1881" s="12" t="s">
        <v>5439</v>
      </c>
      <c r="B1881" s="13"/>
      <c r="C1881" t="e">
        <f t="shared" si="0"/>
        <v>#N/A</v>
      </c>
      <c r="D1881" t="b">
        <f t="shared" si="1"/>
        <v>0</v>
      </c>
      <c r="E1881">
        <f t="shared" si="2"/>
        <v>0</v>
      </c>
      <c r="F1881" s="11"/>
    </row>
    <row r="1882" spans="1:6" ht="16" x14ac:dyDescent="0.2">
      <c r="A1882" s="12" t="s">
        <v>5440</v>
      </c>
      <c r="B1882" s="13"/>
      <c r="C1882" t="e">
        <f t="shared" si="0"/>
        <v>#N/A</v>
      </c>
      <c r="D1882" t="b">
        <f t="shared" si="1"/>
        <v>0</v>
      </c>
      <c r="E1882">
        <f t="shared" si="2"/>
        <v>0</v>
      </c>
      <c r="F1882" s="11"/>
    </row>
    <row r="1883" spans="1:6" ht="16" x14ac:dyDescent="0.2">
      <c r="A1883" s="12" t="s">
        <v>5441</v>
      </c>
      <c r="B1883" s="13"/>
      <c r="C1883" t="e">
        <f t="shared" si="0"/>
        <v>#N/A</v>
      </c>
      <c r="D1883" t="b">
        <f t="shared" si="1"/>
        <v>0</v>
      </c>
      <c r="E1883">
        <f t="shared" si="2"/>
        <v>0</v>
      </c>
      <c r="F1883" s="11"/>
    </row>
    <row r="1884" spans="1:6" ht="16" x14ac:dyDescent="0.2">
      <c r="A1884" s="12" t="s">
        <v>5442</v>
      </c>
      <c r="B1884" s="13"/>
      <c r="C1884" t="e">
        <f t="shared" si="0"/>
        <v>#N/A</v>
      </c>
      <c r="D1884" t="b">
        <f t="shared" si="1"/>
        <v>0</v>
      </c>
      <c r="E1884">
        <f t="shared" si="2"/>
        <v>0</v>
      </c>
      <c r="F1884" s="11"/>
    </row>
    <row r="1885" spans="1:6" ht="16" x14ac:dyDescent="0.2">
      <c r="A1885" s="12" t="s">
        <v>5443</v>
      </c>
      <c r="B1885" s="13"/>
      <c r="C1885" t="e">
        <f t="shared" si="0"/>
        <v>#N/A</v>
      </c>
      <c r="D1885" t="b">
        <f t="shared" si="1"/>
        <v>0</v>
      </c>
      <c r="E1885">
        <f t="shared" si="2"/>
        <v>0</v>
      </c>
      <c r="F1885" s="11"/>
    </row>
    <row r="1886" spans="1:6" ht="16" x14ac:dyDescent="0.2">
      <c r="A1886" s="12" t="s">
        <v>5444</v>
      </c>
      <c r="B1886" s="13"/>
      <c r="C1886" t="e">
        <f t="shared" si="0"/>
        <v>#N/A</v>
      </c>
      <c r="D1886" t="b">
        <f t="shared" si="1"/>
        <v>0</v>
      </c>
      <c r="E1886">
        <f t="shared" si="2"/>
        <v>0</v>
      </c>
      <c r="F1886" s="11"/>
    </row>
    <row r="1887" spans="1:6" ht="16" x14ac:dyDescent="0.2">
      <c r="A1887" s="12" t="s">
        <v>5445</v>
      </c>
      <c r="B1887" s="13"/>
      <c r="C1887" t="e">
        <f t="shared" si="0"/>
        <v>#N/A</v>
      </c>
      <c r="D1887" t="b">
        <f t="shared" si="1"/>
        <v>0</v>
      </c>
      <c r="E1887">
        <f t="shared" si="2"/>
        <v>0</v>
      </c>
      <c r="F1887" s="11"/>
    </row>
    <row r="1888" spans="1:6" ht="16" x14ac:dyDescent="0.2">
      <c r="A1888" s="12" t="s">
        <v>5446</v>
      </c>
      <c r="B1888" s="13"/>
      <c r="C1888" t="e">
        <f t="shared" si="0"/>
        <v>#N/A</v>
      </c>
      <c r="D1888" t="b">
        <f t="shared" si="1"/>
        <v>0</v>
      </c>
      <c r="E1888">
        <f t="shared" si="2"/>
        <v>0</v>
      </c>
      <c r="F1888" s="11"/>
    </row>
    <row r="1889" spans="1:6" ht="16" x14ac:dyDescent="0.2">
      <c r="A1889" s="12" t="s">
        <v>5447</v>
      </c>
      <c r="B1889" s="13"/>
      <c r="C1889" t="e">
        <f t="shared" si="0"/>
        <v>#N/A</v>
      </c>
      <c r="D1889" t="b">
        <f t="shared" si="1"/>
        <v>0</v>
      </c>
      <c r="E1889">
        <f t="shared" si="2"/>
        <v>0</v>
      </c>
      <c r="F1889" s="11"/>
    </row>
    <row r="1890" spans="1:6" ht="16" x14ac:dyDescent="0.2">
      <c r="A1890" s="12" t="s">
        <v>5448</v>
      </c>
      <c r="B1890" s="13"/>
      <c r="C1890" t="e">
        <f t="shared" si="0"/>
        <v>#N/A</v>
      </c>
      <c r="D1890" t="b">
        <f t="shared" si="1"/>
        <v>0</v>
      </c>
      <c r="E1890">
        <f t="shared" si="2"/>
        <v>0</v>
      </c>
      <c r="F1890" s="11"/>
    </row>
    <row r="1891" spans="1:6" ht="16" x14ac:dyDescent="0.2">
      <c r="A1891" s="12" t="s">
        <v>5449</v>
      </c>
      <c r="B1891" s="13"/>
      <c r="C1891" t="e">
        <f t="shared" si="0"/>
        <v>#N/A</v>
      </c>
      <c r="D1891" t="b">
        <f t="shared" si="1"/>
        <v>0</v>
      </c>
      <c r="E1891">
        <f t="shared" si="2"/>
        <v>0</v>
      </c>
      <c r="F1891" s="11"/>
    </row>
    <row r="1892" spans="1:6" ht="16" x14ac:dyDescent="0.2">
      <c r="A1892" s="12" t="s">
        <v>5450</v>
      </c>
      <c r="B1892" s="13"/>
      <c r="C1892" t="e">
        <f t="shared" si="0"/>
        <v>#N/A</v>
      </c>
      <c r="D1892" t="b">
        <f t="shared" si="1"/>
        <v>0</v>
      </c>
      <c r="E1892">
        <f t="shared" si="2"/>
        <v>0</v>
      </c>
      <c r="F1892" s="11"/>
    </row>
    <row r="1893" spans="1:6" ht="16" x14ac:dyDescent="0.2">
      <c r="A1893" s="12" t="s">
        <v>5451</v>
      </c>
      <c r="B1893" s="13"/>
      <c r="C1893" t="e">
        <f t="shared" si="0"/>
        <v>#N/A</v>
      </c>
      <c r="D1893" t="b">
        <f t="shared" si="1"/>
        <v>0</v>
      </c>
      <c r="E1893">
        <f t="shared" si="2"/>
        <v>0</v>
      </c>
      <c r="F1893" s="11"/>
    </row>
    <row r="1894" spans="1:6" ht="16" x14ac:dyDescent="0.2">
      <c r="A1894" s="12" t="s">
        <v>5452</v>
      </c>
      <c r="B1894" s="13"/>
      <c r="C1894" t="e">
        <f t="shared" si="0"/>
        <v>#N/A</v>
      </c>
      <c r="D1894" t="b">
        <f t="shared" si="1"/>
        <v>0</v>
      </c>
      <c r="E1894">
        <f t="shared" si="2"/>
        <v>0</v>
      </c>
      <c r="F1894" s="11"/>
    </row>
    <row r="1895" spans="1:6" ht="16" x14ac:dyDescent="0.2">
      <c r="A1895" s="12" t="s">
        <v>5453</v>
      </c>
      <c r="B1895" s="13"/>
      <c r="C1895" t="e">
        <f t="shared" si="0"/>
        <v>#N/A</v>
      </c>
      <c r="D1895" t="b">
        <f t="shared" si="1"/>
        <v>0</v>
      </c>
      <c r="E1895">
        <f t="shared" si="2"/>
        <v>0</v>
      </c>
      <c r="F1895" s="11"/>
    </row>
    <row r="1896" spans="1:6" ht="16" x14ac:dyDescent="0.2">
      <c r="A1896" s="12" t="s">
        <v>5454</v>
      </c>
      <c r="B1896" s="13"/>
      <c r="C1896" t="e">
        <f t="shared" si="0"/>
        <v>#N/A</v>
      </c>
      <c r="D1896" t="b">
        <f t="shared" si="1"/>
        <v>0</v>
      </c>
      <c r="E1896">
        <f t="shared" si="2"/>
        <v>0</v>
      </c>
      <c r="F1896" s="11"/>
    </row>
    <row r="1897" spans="1:6" ht="16" x14ac:dyDescent="0.2">
      <c r="A1897" s="12" t="s">
        <v>5455</v>
      </c>
      <c r="B1897" s="13"/>
      <c r="C1897" t="e">
        <f t="shared" si="0"/>
        <v>#N/A</v>
      </c>
      <c r="D1897" t="b">
        <f t="shared" si="1"/>
        <v>0</v>
      </c>
      <c r="E1897">
        <f t="shared" si="2"/>
        <v>0</v>
      </c>
      <c r="F1897" s="11"/>
    </row>
    <row r="1898" spans="1:6" ht="16" x14ac:dyDescent="0.2">
      <c r="A1898" s="12" t="s">
        <v>5456</v>
      </c>
      <c r="B1898" s="13"/>
      <c r="C1898" t="e">
        <f t="shared" si="0"/>
        <v>#N/A</v>
      </c>
      <c r="D1898" t="b">
        <f t="shared" si="1"/>
        <v>0</v>
      </c>
      <c r="E1898">
        <f t="shared" si="2"/>
        <v>0</v>
      </c>
      <c r="F1898" s="11"/>
    </row>
    <row r="1899" spans="1:6" ht="16" x14ac:dyDescent="0.2">
      <c r="A1899" s="12" t="s">
        <v>5457</v>
      </c>
      <c r="B1899" s="13"/>
      <c r="C1899" t="e">
        <f t="shared" si="0"/>
        <v>#N/A</v>
      </c>
      <c r="D1899" t="b">
        <f t="shared" si="1"/>
        <v>0</v>
      </c>
      <c r="E1899">
        <f t="shared" si="2"/>
        <v>0</v>
      </c>
      <c r="F1899" s="11"/>
    </row>
    <row r="1900" spans="1:6" ht="16" x14ac:dyDescent="0.2">
      <c r="A1900" s="12" t="s">
        <v>5458</v>
      </c>
      <c r="B1900" s="13"/>
      <c r="C1900" t="e">
        <f t="shared" si="0"/>
        <v>#N/A</v>
      </c>
      <c r="D1900" t="b">
        <f t="shared" si="1"/>
        <v>0</v>
      </c>
      <c r="E1900">
        <f t="shared" si="2"/>
        <v>0</v>
      </c>
      <c r="F1900" s="11"/>
    </row>
    <row r="1901" spans="1:6" ht="16" x14ac:dyDescent="0.2">
      <c r="A1901" s="12" t="s">
        <v>5459</v>
      </c>
      <c r="B1901" s="13"/>
      <c r="C1901" t="e">
        <f t="shared" si="0"/>
        <v>#N/A</v>
      </c>
      <c r="D1901" t="b">
        <f t="shared" si="1"/>
        <v>0</v>
      </c>
      <c r="E1901">
        <f t="shared" si="2"/>
        <v>0</v>
      </c>
      <c r="F1901" s="11"/>
    </row>
    <row r="1902" spans="1:6" ht="16" x14ac:dyDescent="0.2">
      <c r="A1902" s="12" t="s">
        <v>5460</v>
      </c>
      <c r="B1902" s="13"/>
      <c r="C1902" t="e">
        <f t="shared" si="0"/>
        <v>#N/A</v>
      </c>
      <c r="D1902" t="b">
        <f t="shared" si="1"/>
        <v>0</v>
      </c>
      <c r="E1902">
        <f t="shared" si="2"/>
        <v>0</v>
      </c>
      <c r="F1902" s="11"/>
    </row>
    <row r="1903" spans="1:6" ht="16" x14ac:dyDescent="0.2">
      <c r="A1903" s="12" t="s">
        <v>5461</v>
      </c>
      <c r="B1903" s="13"/>
      <c r="C1903" t="e">
        <f t="shared" si="0"/>
        <v>#N/A</v>
      </c>
      <c r="D1903" t="b">
        <f t="shared" si="1"/>
        <v>0</v>
      </c>
      <c r="E1903">
        <f t="shared" si="2"/>
        <v>0</v>
      </c>
      <c r="F1903" s="11"/>
    </row>
    <row r="1904" spans="1:6" ht="16" x14ac:dyDescent="0.2">
      <c r="A1904" s="12" t="s">
        <v>5462</v>
      </c>
      <c r="B1904" s="13"/>
      <c r="C1904" t="e">
        <f t="shared" si="0"/>
        <v>#N/A</v>
      </c>
      <c r="D1904" t="b">
        <f t="shared" si="1"/>
        <v>0</v>
      </c>
      <c r="E1904">
        <f t="shared" si="2"/>
        <v>0</v>
      </c>
      <c r="F1904" s="11"/>
    </row>
    <row r="1905" spans="1:6" ht="16" x14ac:dyDescent="0.2">
      <c r="A1905" s="12" t="s">
        <v>5463</v>
      </c>
      <c r="B1905" s="13"/>
      <c r="C1905" t="e">
        <f t="shared" si="0"/>
        <v>#N/A</v>
      </c>
      <c r="D1905" t="b">
        <f t="shared" si="1"/>
        <v>0</v>
      </c>
      <c r="E1905">
        <f t="shared" si="2"/>
        <v>0</v>
      </c>
      <c r="F1905" s="11"/>
    </row>
    <row r="1906" spans="1:6" ht="16" x14ac:dyDescent="0.2">
      <c r="A1906" s="12" t="s">
        <v>5464</v>
      </c>
      <c r="B1906" s="13"/>
      <c r="C1906" t="e">
        <f t="shared" si="0"/>
        <v>#N/A</v>
      </c>
      <c r="D1906" t="b">
        <f t="shared" si="1"/>
        <v>0</v>
      </c>
      <c r="E1906">
        <f t="shared" si="2"/>
        <v>0</v>
      </c>
      <c r="F1906" s="11"/>
    </row>
    <row r="1907" spans="1:6" ht="16" x14ac:dyDescent="0.2">
      <c r="A1907" s="12" t="s">
        <v>5465</v>
      </c>
      <c r="B1907" s="13"/>
      <c r="C1907" t="e">
        <f t="shared" si="0"/>
        <v>#N/A</v>
      </c>
      <c r="D1907" t="b">
        <f t="shared" si="1"/>
        <v>0</v>
      </c>
      <c r="E1907">
        <f t="shared" si="2"/>
        <v>0</v>
      </c>
      <c r="F1907" s="11"/>
    </row>
    <row r="1908" spans="1:6" ht="16" x14ac:dyDescent="0.2">
      <c r="A1908" s="12" t="s">
        <v>5466</v>
      </c>
      <c r="B1908" s="13"/>
      <c r="C1908" t="e">
        <f t="shared" si="0"/>
        <v>#N/A</v>
      </c>
      <c r="D1908" t="b">
        <f t="shared" si="1"/>
        <v>0</v>
      </c>
      <c r="E1908">
        <f t="shared" si="2"/>
        <v>0</v>
      </c>
      <c r="F1908" s="11"/>
    </row>
    <row r="1909" spans="1:6" ht="16" x14ac:dyDescent="0.2">
      <c r="A1909" s="12" t="s">
        <v>5467</v>
      </c>
      <c r="B1909" s="13"/>
      <c r="C1909" t="e">
        <f t="shared" si="0"/>
        <v>#N/A</v>
      </c>
      <c r="D1909" t="b">
        <f t="shared" si="1"/>
        <v>0</v>
      </c>
      <c r="E1909">
        <f t="shared" si="2"/>
        <v>0</v>
      </c>
      <c r="F1909" s="11"/>
    </row>
    <row r="1910" spans="1:6" ht="16" x14ac:dyDescent="0.2">
      <c r="A1910" s="12" t="s">
        <v>5468</v>
      </c>
      <c r="B1910" s="13"/>
      <c r="C1910" t="e">
        <f t="shared" si="0"/>
        <v>#N/A</v>
      </c>
      <c r="D1910" t="b">
        <f t="shared" si="1"/>
        <v>0</v>
      </c>
      <c r="E1910">
        <f t="shared" si="2"/>
        <v>0</v>
      </c>
      <c r="F1910" s="11"/>
    </row>
    <row r="1911" spans="1:6" ht="16" x14ac:dyDescent="0.2">
      <c r="A1911" s="12" t="s">
        <v>5469</v>
      </c>
      <c r="B1911" s="13"/>
      <c r="C1911" t="e">
        <f t="shared" si="0"/>
        <v>#N/A</v>
      </c>
      <c r="D1911" t="b">
        <f t="shared" si="1"/>
        <v>0</v>
      </c>
      <c r="E1911">
        <f t="shared" si="2"/>
        <v>0</v>
      </c>
      <c r="F1911" s="11"/>
    </row>
    <row r="1912" spans="1:6" ht="16" x14ac:dyDescent="0.2">
      <c r="A1912" s="12" t="s">
        <v>5470</v>
      </c>
      <c r="B1912" s="13"/>
      <c r="C1912" t="e">
        <f t="shared" si="0"/>
        <v>#N/A</v>
      </c>
      <c r="D1912" t="b">
        <f t="shared" si="1"/>
        <v>0</v>
      </c>
      <c r="E1912">
        <f t="shared" si="2"/>
        <v>0</v>
      </c>
      <c r="F1912" s="11"/>
    </row>
    <row r="1913" spans="1:6" ht="16" x14ac:dyDescent="0.2">
      <c r="A1913" s="12" t="s">
        <v>5471</v>
      </c>
      <c r="B1913" s="13"/>
      <c r="C1913" t="e">
        <f t="shared" si="0"/>
        <v>#N/A</v>
      </c>
      <c r="D1913" t="b">
        <f t="shared" si="1"/>
        <v>0</v>
      </c>
      <c r="E1913">
        <f t="shared" si="2"/>
        <v>0</v>
      </c>
      <c r="F1913" s="11"/>
    </row>
    <row r="1914" spans="1:6" ht="16" x14ac:dyDescent="0.2">
      <c r="A1914" s="12" t="s">
        <v>5472</v>
      </c>
      <c r="B1914" s="13"/>
      <c r="C1914" t="e">
        <f t="shared" si="0"/>
        <v>#N/A</v>
      </c>
      <c r="D1914" t="b">
        <f t="shared" si="1"/>
        <v>0</v>
      </c>
      <c r="E1914">
        <f t="shared" si="2"/>
        <v>0</v>
      </c>
      <c r="F1914" s="11"/>
    </row>
    <row r="1915" spans="1:6" ht="16" x14ac:dyDescent="0.2">
      <c r="A1915" s="12" t="s">
        <v>5473</v>
      </c>
      <c r="B1915" s="13"/>
      <c r="C1915" t="e">
        <f t="shared" si="0"/>
        <v>#N/A</v>
      </c>
      <c r="D1915" t="b">
        <f t="shared" si="1"/>
        <v>0</v>
      </c>
      <c r="E1915">
        <f t="shared" si="2"/>
        <v>0</v>
      </c>
      <c r="F1915" s="11"/>
    </row>
    <row r="1916" spans="1:6" ht="16" x14ac:dyDescent="0.2">
      <c r="A1916" s="12" t="s">
        <v>5474</v>
      </c>
      <c r="B1916" s="13"/>
      <c r="C1916" t="e">
        <f t="shared" si="0"/>
        <v>#N/A</v>
      </c>
      <c r="D1916" t="b">
        <f t="shared" si="1"/>
        <v>0</v>
      </c>
      <c r="E1916">
        <f t="shared" si="2"/>
        <v>0</v>
      </c>
      <c r="F1916" s="11"/>
    </row>
    <row r="1917" spans="1:6" ht="16" x14ac:dyDescent="0.2">
      <c r="A1917" s="12" t="s">
        <v>5475</v>
      </c>
      <c r="B1917" s="13"/>
      <c r="C1917" t="e">
        <f t="shared" si="0"/>
        <v>#N/A</v>
      </c>
      <c r="D1917" t="b">
        <f t="shared" si="1"/>
        <v>0</v>
      </c>
      <c r="E1917">
        <f t="shared" si="2"/>
        <v>0</v>
      </c>
      <c r="F1917" s="11"/>
    </row>
    <row r="1918" spans="1:6" ht="16" x14ac:dyDescent="0.2">
      <c r="A1918" s="12" t="s">
        <v>5476</v>
      </c>
      <c r="B1918" s="13"/>
      <c r="C1918" t="e">
        <f t="shared" si="0"/>
        <v>#N/A</v>
      </c>
      <c r="D1918" t="b">
        <f t="shared" si="1"/>
        <v>0</v>
      </c>
      <c r="E1918">
        <f t="shared" si="2"/>
        <v>0</v>
      </c>
      <c r="F1918" s="11"/>
    </row>
    <row r="1919" spans="1:6" ht="16" x14ac:dyDescent="0.2">
      <c r="A1919" s="12" t="s">
        <v>5477</v>
      </c>
      <c r="B1919" s="13"/>
      <c r="C1919" t="e">
        <f t="shared" si="0"/>
        <v>#N/A</v>
      </c>
      <c r="D1919" t="b">
        <f t="shared" si="1"/>
        <v>0</v>
      </c>
      <c r="E1919">
        <f t="shared" si="2"/>
        <v>0</v>
      </c>
      <c r="F1919" s="11"/>
    </row>
    <row r="1920" spans="1:6" ht="16" x14ac:dyDescent="0.2">
      <c r="A1920" s="12" t="s">
        <v>5478</v>
      </c>
      <c r="B1920" s="13"/>
      <c r="C1920" t="e">
        <f t="shared" si="0"/>
        <v>#N/A</v>
      </c>
      <c r="D1920" t="b">
        <f t="shared" si="1"/>
        <v>0</v>
      </c>
      <c r="E1920">
        <f t="shared" si="2"/>
        <v>0</v>
      </c>
      <c r="F1920" s="11"/>
    </row>
    <row r="1921" spans="1:6" ht="16" x14ac:dyDescent="0.2">
      <c r="A1921" s="12" t="s">
        <v>5479</v>
      </c>
      <c r="B1921" s="13"/>
      <c r="C1921" t="e">
        <f t="shared" si="0"/>
        <v>#N/A</v>
      </c>
      <c r="D1921" t="b">
        <f t="shared" si="1"/>
        <v>0</v>
      </c>
      <c r="E1921">
        <f t="shared" si="2"/>
        <v>0</v>
      </c>
      <c r="F1921" s="11"/>
    </row>
    <row r="1922" spans="1:6" ht="16" x14ac:dyDescent="0.2">
      <c r="A1922" s="12" t="s">
        <v>5480</v>
      </c>
      <c r="B1922" s="13"/>
      <c r="C1922" t="e">
        <f t="shared" si="0"/>
        <v>#N/A</v>
      </c>
      <c r="D1922" t="b">
        <f t="shared" si="1"/>
        <v>0</v>
      </c>
      <c r="E1922">
        <f t="shared" si="2"/>
        <v>0</v>
      </c>
      <c r="F1922" s="11"/>
    </row>
    <row r="1923" spans="1:6" ht="16" x14ac:dyDescent="0.2">
      <c r="A1923" s="12" t="s">
        <v>5481</v>
      </c>
      <c r="B1923" s="13"/>
      <c r="C1923" t="e">
        <f t="shared" si="0"/>
        <v>#N/A</v>
      </c>
      <c r="D1923" t="b">
        <f t="shared" si="1"/>
        <v>0</v>
      </c>
      <c r="E1923">
        <f t="shared" si="2"/>
        <v>0</v>
      </c>
      <c r="F1923" s="11"/>
    </row>
    <row r="1924" spans="1:6" ht="16" x14ac:dyDescent="0.2">
      <c r="A1924" s="12" t="s">
        <v>5482</v>
      </c>
      <c r="B1924" s="13"/>
      <c r="C1924" t="e">
        <f t="shared" si="0"/>
        <v>#N/A</v>
      </c>
      <c r="D1924" t="b">
        <f t="shared" si="1"/>
        <v>0</v>
      </c>
      <c r="E1924">
        <f t="shared" si="2"/>
        <v>0</v>
      </c>
      <c r="F1924" s="11"/>
    </row>
    <row r="1925" spans="1:6" ht="16" x14ac:dyDescent="0.2">
      <c r="A1925" s="12" t="s">
        <v>5483</v>
      </c>
      <c r="B1925" s="13"/>
      <c r="C1925" t="e">
        <f t="shared" si="0"/>
        <v>#N/A</v>
      </c>
      <c r="D1925" t="b">
        <f t="shared" si="1"/>
        <v>0</v>
      </c>
      <c r="E1925">
        <f t="shared" si="2"/>
        <v>0</v>
      </c>
      <c r="F1925" s="11"/>
    </row>
    <row r="1926" spans="1:6" ht="16" x14ac:dyDescent="0.2">
      <c r="A1926" s="12" t="s">
        <v>5484</v>
      </c>
      <c r="B1926" s="13"/>
      <c r="C1926" t="e">
        <f t="shared" si="0"/>
        <v>#N/A</v>
      </c>
      <c r="D1926" t="b">
        <f t="shared" si="1"/>
        <v>0</v>
      </c>
      <c r="E1926">
        <f t="shared" si="2"/>
        <v>0</v>
      </c>
      <c r="F1926" s="11"/>
    </row>
    <row r="1927" spans="1:6" ht="16" x14ac:dyDescent="0.2">
      <c r="A1927" s="12" t="s">
        <v>5485</v>
      </c>
      <c r="B1927" s="13"/>
      <c r="C1927" t="e">
        <f t="shared" si="0"/>
        <v>#N/A</v>
      </c>
      <c r="D1927" t="b">
        <f t="shared" si="1"/>
        <v>0</v>
      </c>
      <c r="E1927">
        <f t="shared" si="2"/>
        <v>0</v>
      </c>
      <c r="F1927" s="11"/>
    </row>
    <row r="1928" spans="1:6" ht="16" x14ac:dyDescent="0.2">
      <c r="A1928" s="12" t="s">
        <v>5486</v>
      </c>
      <c r="B1928" s="13"/>
      <c r="C1928" t="e">
        <f t="shared" si="0"/>
        <v>#N/A</v>
      </c>
      <c r="D1928" t="b">
        <f t="shared" si="1"/>
        <v>0</v>
      </c>
      <c r="E1928">
        <f t="shared" si="2"/>
        <v>0</v>
      </c>
      <c r="F1928" s="11"/>
    </row>
    <row r="1929" spans="1:6" ht="16" x14ac:dyDescent="0.2">
      <c r="A1929" s="12" t="s">
        <v>5487</v>
      </c>
      <c r="B1929" s="13"/>
      <c r="C1929" t="e">
        <f t="shared" si="0"/>
        <v>#N/A</v>
      </c>
      <c r="D1929" t="b">
        <f t="shared" si="1"/>
        <v>0</v>
      </c>
      <c r="E1929">
        <f t="shared" si="2"/>
        <v>0</v>
      </c>
      <c r="F1929" s="11"/>
    </row>
    <row r="1930" spans="1:6" ht="16" x14ac:dyDescent="0.2">
      <c r="A1930" s="12" t="s">
        <v>5488</v>
      </c>
      <c r="B1930" s="13"/>
      <c r="C1930" t="e">
        <f t="shared" si="0"/>
        <v>#N/A</v>
      </c>
      <c r="D1930" t="b">
        <f t="shared" si="1"/>
        <v>0</v>
      </c>
      <c r="E1930">
        <f t="shared" si="2"/>
        <v>0</v>
      </c>
      <c r="F1930" s="11"/>
    </row>
    <row r="1931" spans="1:6" ht="16" x14ac:dyDescent="0.2">
      <c r="A1931" s="12" t="s">
        <v>5489</v>
      </c>
      <c r="B1931" s="13"/>
      <c r="C1931" t="e">
        <f t="shared" si="0"/>
        <v>#N/A</v>
      </c>
      <c r="D1931" t="b">
        <f t="shared" si="1"/>
        <v>0</v>
      </c>
      <c r="E1931">
        <f t="shared" si="2"/>
        <v>0</v>
      </c>
      <c r="F1931" s="11"/>
    </row>
    <row r="1932" spans="1:6" ht="16" x14ac:dyDescent="0.2">
      <c r="A1932" s="12" t="s">
        <v>5490</v>
      </c>
      <c r="B1932" s="13"/>
      <c r="C1932" t="e">
        <f t="shared" si="0"/>
        <v>#N/A</v>
      </c>
      <c r="D1932" t="b">
        <f t="shared" si="1"/>
        <v>0</v>
      </c>
      <c r="E1932">
        <f t="shared" si="2"/>
        <v>0</v>
      </c>
      <c r="F1932" s="11"/>
    </row>
    <row r="1933" spans="1:6" ht="16" x14ac:dyDescent="0.2">
      <c r="A1933" s="12" t="s">
        <v>5491</v>
      </c>
      <c r="B1933" s="13"/>
      <c r="C1933" t="e">
        <f t="shared" si="0"/>
        <v>#N/A</v>
      </c>
      <c r="D1933" t="b">
        <f t="shared" si="1"/>
        <v>0</v>
      </c>
      <c r="E1933">
        <f t="shared" si="2"/>
        <v>0</v>
      </c>
      <c r="F1933" s="11"/>
    </row>
    <row r="1934" spans="1:6" ht="16" x14ac:dyDescent="0.2">
      <c r="A1934" s="12" t="s">
        <v>5492</v>
      </c>
      <c r="B1934" s="13"/>
      <c r="C1934" t="e">
        <f t="shared" si="0"/>
        <v>#N/A</v>
      </c>
      <c r="D1934" t="b">
        <f t="shared" si="1"/>
        <v>0</v>
      </c>
      <c r="E1934">
        <f t="shared" si="2"/>
        <v>0</v>
      </c>
      <c r="F1934" s="11"/>
    </row>
    <row r="1935" spans="1:6" ht="16" x14ac:dyDescent="0.2">
      <c r="A1935" s="12" t="s">
        <v>5493</v>
      </c>
      <c r="B1935" s="13"/>
      <c r="C1935" t="e">
        <f t="shared" si="0"/>
        <v>#N/A</v>
      </c>
      <c r="D1935" t="b">
        <f t="shared" si="1"/>
        <v>0</v>
      </c>
      <c r="E1935">
        <f t="shared" si="2"/>
        <v>0</v>
      </c>
      <c r="F1935" s="11"/>
    </row>
    <row r="1936" spans="1:6" ht="16" x14ac:dyDescent="0.2">
      <c r="A1936" s="12" t="s">
        <v>5494</v>
      </c>
      <c r="B1936" s="13"/>
      <c r="C1936" t="e">
        <f t="shared" si="0"/>
        <v>#N/A</v>
      </c>
      <c r="D1936" t="b">
        <f t="shared" si="1"/>
        <v>0</v>
      </c>
      <c r="E1936">
        <f t="shared" si="2"/>
        <v>0</v>
      </c>
      <c r="F1936" s="11"/>
    </row>
    <row r="1937" spans="1:6" ht="16" x14ac:dyDescent="0.2">
      <c r="A1937" s="12" t="s">
        <v>5495</v>
      </c>
      <c r="B1937" s="13"/>
      <c r="C1937" t="e">
        <f t="shared" si="0"/>
        <v>#N/A</v>
      </c>
      <c r="D1937" t="b">
        <f t="shared" si="1"/>
        <v>0</v>
      </c>
      <c r="E1937">
        <f t="shared" si="2"/>
        <v>0</v>
      </c>
      <c r="F1937" s="11"/>
    </row>
    <row r="1938" spans="1:6" ht="16" x14ac:dyDescent="0.2">
      <c r="A1938" s="12" t="s">
        <v>5496</v>
      </c>
      <c r="B1938" s="13"/>
      <c r="C1938" t="e">
        <f t="shared" si="0"/>
        <v>#N/A</v>
      </c>
      <c r="D1938" t="b">
        <f t="shared" si="1"/>
        <v>0</v>
      </c>
      <c r="E1938">
        <f t="shared" si="2"/>
        <v>0</v>
      </c>
      <c r="F1938" s="11"/>
    </row>
    <row r="1939" spans="1:6" ht="16" x14ac:dyDescent="0.2">
      <c r="A1939" s="12" t="s">
        <v>5497</v>
      </c>
      <c r="B1939" s="13"/>
      <c r="C1939" t="e">
        <f t="shared" si="0"/>
        <v>#N/A</v>
      </c>
      <c r="D1939" t="b">
        <f t="shared" si="1"/>
        <v>0</v>
      </c>
      <c r="E1939">
        <f t="shared" si="2"/>
        <v>0</v>
      </c>
      <c r="F1939" s="11"/>
    </row>
    <row r="1940" spans="1:6" ht="16" x14ac:dyDescent="0.2">
      <c r="A1940" s="12" t="s">
        <v>5498</v>
      </c>
      <c r="B1940" s="13"/>
      <c r="C1940" t="e">
        <f t="shared" si="0"/>
        <v>#N/A</v>
      </c>
      <c r="D1940" t="b">
        <f t="shared" si="1"/>
        <v>0</v>
      </c>
      <c r="E1940">
        <f t="shared" si="2"/>
        <v>0</v>
      </c>
      <c r="F1940" s="11"/>
    </row>
    <row r="1941" spans="1:6" ht="16" x14ac:dyDescent="0.2">
      <c r="A1941" s="12" t="s">
        <v>5499</v>
      </c>
      <c r="B1941" s="13"/>
      <c r="C1941" t="e">
        <f t="shared" si="0"/>
        <v>#N/A</v>
      </c>
      <c r="D1941" t="b">
        <f t="shared" si="1"/>
        <v>0</v>
      </c>
      <c r="E1941">
        <f t="shared" si="2"/>
        <v>0</v>
      </c>
      <c r="F1941" s="11"/>
    </row>
    <row r="1942" spans="1:6" ht="16" x14ac:dyDescent="0.2">
      <c r="A1942" s="12" t="s">
        <v>5500</v>
      </c>
      <c r="B1942" s="13"/>
      <c r="C1942" t="e">
        <f t="shared" si="0"/>
        <v>#N/A</v>
      </c>
      <c r="D1942" t="b">
        <f t="shared" si="1"/>
        <v>0</v>
      </c>
      <c r="E1942">
        <f t="shared" si="2"/>
        <v>0</v>
      </c>
      <c r="F1942" s="11"/>
    </row>
    <row r="1943" spans="1:6" ht="16" x14ac:dyDescent="0.2">
      <c r="A1943" s="12" t="s">
        <v>5501</v>
      </c>
      <c r="B1943" s="13"/>
      <c r="C1943" t="e">
        <f t="shared" si="0"/>
        <v>#N/A</v>
      </c>
      <c r="D1943" t="b">
        <f t="shared" si="1"/>
        <v>0</v>
      </c>
      <c r="E1943">
        <f t="shared" si="2"/>
        <v>0</v>
      </c>
      <c r="F1943" s="11"/>
    </row>
    <row r="1944" spans="1:6" ht="16" x14ac:dyDescent="0.2">
      <c r="A1944" s="12" t="s">
        <v>5502</v>
      </c>
      <c r="B1944" s="13"/>
      <c r="C1944" t="e">
        <f t="shared" si="0"/>
        <v>#N/A</v>
      </c>
      <c r="D1944" t="b">
        <f t="shared" si="1"/>
        <v>0</v>
      </c>
      <c r="E1944">
        <f t="shared" si="2"/>
        <v>0</v>
      </c>
      <c r="F1944" s="11"/>
    </row>
    <row r="1945" spans="1:6" ht="16" x14ac:dyDescent="0.2">
      <c r="A1945" s="12" t="s">
        <v>5503</v>
      </c>
      <c r="B1945" s="13"/>
      <c r="C1945" t="e">
        <f t="shared" si="0"/>
        <v>#N/A</v>
      </c>
      <c r="D1945" t="b">
        <f t="shared" si="1"/>
        <v>0</v>
      </c>
      <c r="E1945">
        <f t="shared" si="2"/>
        <v>0</v>
      </c>
      <c r="F1945" s="11"/>
    </row>
    <row r="1946" spans="1:6" ht="16" x14ac:dyDescent="0.2">
      <c r="A1946" s="12" t="s">
        <v>5504</v>
      </c>
      <c r="B1946" s="13"/>
      <c r="C1946" t="e">
        <f t="shared" si="0"/>
        <v>#N/A</v>
      </c>
      <c r="D1946" t="b">
        <f t="shared" si="1"/>
        <v>0</v>
      </c>
      <c r="E1946">
        <f t="shared" si="2"/>
        <v>0</v>
      </c>
      <c r="F1946" s="11"/>
    </row>
    <row r="1947" spans="1:6" ht="16" x14ac:dyDescent="0.2">
      <c r="A1947" s="12" t="s">
        <v>5505</v>
      </c>
      <c r="B1947" s="13"/>
      <c r="C1947" t="e">
        <f t="shared" si="0"/>
        <v>#N/A</v>
      </c>
      <c r="D1947" t="b">
        <f t="shared" si="1"/>
        <v>0</v>
      </c>
      <c r="E1947">
        <f t="shared" si="2"/>
        <v>0</v>
      </c>
      <c r="F1947" s="11"/>
    </row>
    <row r="1948" spans="1:6" ht="16" x14ac:dyDescent="0.2">
      <c r="A1948" s="12" t="s">
        <v>5506</v>
      </c>
      <c r="B1948" s="13"/>
      <c r="C1948" t="e">
        <f t="shared" si="0"/>
        <v>#N/A</v>
      </c>
      <c r="D1948" t="b">
        <f t="shared" si="1"/>
        <v>0</v>
      </c>
      <c r="E1948">
        <f t="shared" si="2"/>
        <v>0</v>
      </c>
      <c r="F1948" s="11"/>
    </row>
    <row r="1949" spans="1:6" ht="16" x14ac:dyDescent="0.2">
      <c r="A1949" s="12" t="s">
        <v>5507</v>
      </c>
      <c r="B1949" s="13"/>
      <c r="C1949" t="e">
        <f t="shared" si="0"/>
        <v>#N/A</v>
      </c>
      <c r="D1949" t="b">
        <f t="shared" si="1"/>
        <v>0</v>
      </c>
      <c r="E1949">
        <f t="shared" si="2"/>
        <v>0</v>
      </c>
      <c r="F1949" s="11"/>
    </row>
    <row r="1950" spans="1:6" ht="16" x14ac:dyDescent="0.2">
      <c r="A1950" s="12" t="s">
        <v>5508</v>
      </c>
      <c r="B1950" s="13"/>
      <c r="C1950" t="e">
        <f t="shared" si="0"/>
        <v>#N/A</v>
      </c>
      <c r="D1950" t="b">
        <f t="shared" si="1"/>
        <v>0</v>
      </c>
      <c r="E1950">
        <f t="shared" si="2"/>
        <v>0</v>
      </c>
      <c r="F1950" s="11"/>
    </row>
    <row r="1951" spans="1:6" ht="16" x14ac:dyDescent="0.2">
      <c r="A1951" s="12" t="s">
        <v>5509</v>
      </c>
      <c r="B1951" s="13"/>
      <c r="C1951" t="e">
        <f t="shared" si="0"/>
        <v>#N/A</v>
      </c>
      <c r="D1951" t="b">
        <f t="shared" si="1"/>
        <v>0</v>
      </c>
      <c r="E1951">
        <f t="shared" si="2"/>
        <v>0</v>
      </c>
      <c r="F1951" s="11"/>
    </row>
    <row r="1952" spans="1:6" ht="16" x14ac:dyDescent="0.2">
      <c r="A1952" s="12" t="s">
        <v>5510</v>
      </c>
      <c r="B1952" s="13"/>
      <c r="C1952" t="e">
        <f t="shared" si="0"/>
        <v>#N/A</v>
      </c>
      <c r="D1952" t="b">
        <f t="shared" si="1"/>
        <v>0</v>
      </c>
      <c r="E1952">
        <f t="shared" si="2"/>
        <v>0</v>
      </c>
      <c r="F1952" s="11"/>
    </row>
    <row r="1953" spans="1:6" ht="16" x14ac:dyDescent="0.2">
      <c r="A1953" s="12" t="s">
        <v>5511</v>
      </c>
      <c r="B1953" s="13"/>
      <c r="C1953" t="e">
        <f t="shared" si="0"/>
        <v>#N/A</v>
      </c>
      <c r="D1953" t="b">
        <f t="shared" si="1"/>
        <v>0</v>
      </c>
      <c r="E1953">
        <f t="shared" si="2"/>
        <v>0</v>
      </c>
      <c r="F1953" s="11"/>
    </row>
    <row r="1954" spans="1:6" ht="16" x14ac:dyDescent="0.2">
      <c r="A1954" s="12" t="s">
        <v>5512</v>
      </c>
      <c r="B1954" s="13"/>
      <c r="C1954" t="e">
        <f t="shared" si="0"/>
        <v>#N/A</v>
      </c>
      <c r="D1954" t="b">
        <f t="shared" si="1"/>
        <v>0</v>
      </c>
      <c r="E1954">
        <f t="shared" si="2"/>
        <v>0</v>
      </c>
      <c r="F1954" s="11"/>
    </row>
    <row r="1955" spans="1:6" ht="16" x14ac:dyDescent="0.2">
      <c r="A1955" s="12" t="s">
        <v>5513</v>
      </c>
      <c r="B1955" s="13"/>
      <c r="C1955" t="e">
        <f t="shared" si="0"/>
        <v>#N/A</v>
      </c>
      <c r="D1955" t="b">
        <f t="shared" si="1"/>
        <v>0</v>
      </c>
      <c r="E1955">
        <f t="shared" si="2"/>
        <v>0</v>
      </c>
      <c r="F1955" s="11"/>
    </row>
    <row r="1956" spans="1:6" ht="16" x14ac:dyDescent="0.2">
      <c r="A1956" s="12" t="s">
        <v>5514</v>
      </c>
      <c r="B1956" s="13"/>
      <c r="C1956" t="e">
        <f t="shared" si="0"/>
        <v>#N/A</v>
      </c>
      <c r="D1956" t="b">
        <f t="shared" si="1"/>
        <v>0</v>
      </c>
      <c r="E1956">
        <f t="shared" si="2"/>
        <v>0</v>
      </c>
      <c r="F1956" s="11"/>
    </row>
    <row r="1957" spans="1:6" ht="16" x14ac:dyDescent="0.2">
      <c r="A1957" s="12" t="s">
        <v>5515</v>
      </c>
      <c r="B1957" s="13"/>
      <c r="C1957" t="e">
        <f t="shared" si="0"/>
        <v>#N/A</v>
      </c>
      <c r="D1957" t="b">
        <f t="shared" si="1"/>
        <v>0</v>
      </c>
      <c r="E1957">
        <f t="shared" si="2"/>
        <v>0</v>
      </c>
      <c r="F1957" s="11"/>
    </row>
    <row r="1958" spans="1:6" ht="16" x14ac:dyDescent="0.2">
      <c r="A1958" s="12" t="s">
        <v>5516</v>
      </c>
      <c r="B1958" s="13"/>
      <c r="C1958" t="e">
        <f t="shared" si="0"/>
        <v>#N/A</v>
      </c>
      <c r="D1958" t="b">
        <f t="shared" si="1"/>
        <v>0</v>
      </c>
      <c r="E1958">
        <f t="shared" si="2"/>
        <v>0</v>
      </c>
      <c r="F1958" s="11"/>
    </row>
    <row r="1959" spans="1:6" ht="16" x14ac:dyDescent="0.2">
      <c r="A1959" s="12" t="s">
        <v>5517</v>
      </c>
      <c r="B1959" s="13"/>
      <c r="C1959" t="e">
        <f t="shared" si="0"/>
        <v>#N/A</v>
      </c>
      <c r="D1959" t="b">
        <f t="shared" si="1"/>
        <v>0</v>
      </c>
      <c r="E1959">
        <f t="shared" si="2"/>
        <v>0</v>
      </c>
      <c r="F1959" s="11"/>
    </row>
    <row r="1960" spans="1:6" ht="16" x14ac:dyDescent="0.2">
      <c r="A1960" s="12" t="s">
        <v>5518</v>
      </c>
      <c r="B1960" s="13"/>
      <c r="C1960" t="e">
        <f t="shared" si="0"/>
        <v>#N/A</v>
      </c>
      <c r="D1960" t="b">
        <f t="shared" si="1"/>
        <v>0</v>
      </c>
      <c r="E1960">
        <f t="shared" si="2"/>
        <v>0</v>
      </c>
      <c r="F1960" s="11"/>
    </row>
    <row r="1961" spans="1:6" ht="16" x14ac:dyDescent="0.2">
      <c r="A1961" s="12" t="s">
        <v>5519</v>
      </c>
      <c r="B1961" s="13"/>
      <c r="C1961" t="e">
        <f t="shared" si="0"/>
        <v>#N/A</v>
      </c>
      <c r="D1961" t="b">
        <f t="shared" si="1"/>
        <v>0</v>
      </c>
      <c r="E1961">
        <f t="shared" si="2"/>
        <v>0</v>
      </c>
      <c r="F1961" s="11"/>
    </row>
    <row r="1962" spans="1:6" ht="16" x14ac:dyDescent="0.2">
      <c r="A1962" s="12" t="s">
        <v>5520</v>
      </c>
      <c r="B1962" s="13"/>
      <c r="C1962" t="e">
        <f t="shared" si="0"/>
        <v>#N/A</v>
      </c>
      <c r="D1962" t="b">
        <f t="shared" si="1"/>
        <v>0</v>
      </c>
      <c r="E1962">
        <f t="shared" si="2"/>
        <v>0</v>
      </c>
      <c r="F1962" s="11"/>
    </row>
    <row r="1963" spans="1:6" ht="16" x14ac:dyDescent="0.2">
      <c r="A1963" s="12" t="s">
        <v>5521</v>
      </c>
      <c r="B1963" s="13"/>
      <c r="C1963" t="e">
        <f t="shared" si="0"/>
        <v>#N/A</v>
      </c>
      <c r="D1963" t="b">
        <f t="shared" si="1"/>
        <v>0</v>
      </c>
      <c r="E1963">
        <f t="shared" si="2"/>
        <v>0</v>
      </c>
      <c r="F1963" s="11"/>
    </row>
    <row r="1964" spans="1:6" ht="16" x14ac:dyDescent="0.2">
      <c r="A1964" s="12" t="s">
        <v>5522</v>
      </c>
      <c r="B1964" s="13"/>
      <c r="C1964" t="e">
        <f t="shared" si="0"/>
        <v>#N/A</v>
      </c>
      <c r="D1964" t="b">
        <f t="shared" si="1"/>
        <v>0</v>
      </c>
      <c r="E1964">
        <f t="shared" si="2"/>
        <v>0</v>
      </c>
      <c r="F1964" s="11"/>
    </row>
    <row r="1965" spans="1:6" ht="16" x14ac:dyDescent="0.2">
      <c r="A1965" s="12" t="s">
        <v>5523</v>
      </c>
      <c r="B1965" s="13"/>
      <c r="C1965" t="e">
        <f t="shared" si="0"/>
        <v>#N/A</v>
      </c>
      <c r="D1965" t="b">
        <f t="shared" si="1"/>
        <v>0</v>
      </c>
      <c r="E1965">
        <f t="shared" si="2"/>
        <v>0</v>
      </c>
      <c r="F1965" s="11"/>
    </row>
    <row r="1966" spans="1:6" ht="16" x14ac:dyDescent="0.2">
      <c r="A1966" s="12" t="s">
        <v>5524</v>
      </c>
      <c r="B1966" s="13"/>
      <c r="C1966" t="e">
        <f t="shared" si="0"/>
        <v>#N/A</v>
      </c>
      <c r="D1966" t="b">
        <f t="shared" si="1"/>
        <v>0</v>
      </c>
      <c r="E1966">
        <f t="shared" si="2"/>
        <v>0</v>
      </c>
      <c r="F1966" s="11"/>
    </row>
    <row r="1967" spans="1:6" ht="16" x14ac:dyDescent="0.2">
      <c r="A1967" s="12" t="s">
        <v>5525</v>
      </c>
      <c r="B1967" s="13"/>
      <c r="C1967" t="e">
        <f t="shared" si="0"/>
        <v>#N/A</v>
      </c>
      <c r="D1967" t="b">
        <f t="shared" si="1"/>
        <v>0</v>
      </c>
      <c r="E1967">
        <f t="shared" si="2"/>
        <v>0</v>
      </c>
      <c r="F1967" s="11"/>
    </row>
    <row r="1968" spans="1:6" ht="16" x14ac:dyDescent="0.2">
      <c r="A1968" s="12" t="s">
        <v>5526</v>
      </c>
      <c r="B1968" s="13"/>
      <c r="C1968" t="e">
        <f t="shared" si="0"/>
        <v>#N/A</v>
      </c>
      <c r="D1968" t="b">
        <f t="shared" si="1"/>
        <v>0</v>
      </c>
      <c r="E1968">
        <f t="shared" si="2"/>
        <v>0</v>
      </c>
      <c r="F1968" s="11"/>
    </row>
    <row r="1969" spans="1:6" ht="16" x14ac:dyDescent="0.2">
      <c r="A1969" s="12" t="s">
        <v>5527</v>
      </c>
      <c r="B1969" s="13"/>
      <c r="C1969" t="e">
        <f t="shared" si="0"/>
        <v>#N/A</v>
      </c>
      <c r="D1969" t="b">
        <f t="shared" si="1"/>
        <v>0</v>
      </c>
      <c r="E1969">
        <f t="shared" si="2"/>
        <v>0</v>
      </c>
      <c r="F1969" s="11"/>
    </row>
    <row r="1970" spans="1:6" ht="16" x14ac:dyDescent="0.2">
      <c r="A1970" s="12" t="s">
        <v>5528</v>
      </c>
      <c r="B1970" s="13"/>
      <c r="C1970" t="e">
        <f t="shared" si="0"/>
        <v>#N/A</v>
      </c>
      <c r="D1970" t="b">
        <f t="shared" si="1"/>
        <v>0</v>
      </c>
      <c r="E1970">
        <f t="shared" si="2"/>
        <v>0</v>
      </c>
      <c r="F1970" s="11"/>
    </row>
    <row r="1971" spans="1:6" ht="16" x14ac:dyDescent="0.2">
      <c r="A1971" s="12" t="s">
        <v>5529</v>
      </c>
      <c r="B1971" s="13"/>
      <c r="C1971" t="e">
        <f t="shared" si="0"/>
        <v>#N/A</v>
      </c>
      <c r="D1971" t="b">
        <f t="shared" si="1"/>
        <v>0</v>
      </c>
      <c r="E1971">
        <f t="shared" si="2"/>
        <v>0</v>
      </c>
      <c r="F1971" s="11"/>
    </row>
    <row r="1972" spans="1:6" ht="16" x14ac:dyDescent="0.2">
      <c r="A1972" s="12" t="s">
        <v>5530</v>
      </c>
      <c r="B1972" s="13"/>
      <c r="C1972" t="e">
        <f t="shared" si="0"/>
        <v>#N/A</v>
      </c>
      <c r="D1972" t="b">
        <f t="shared" si="1"/>
        <v>0</v>
      </c>
      <c r="E1972">
        <f t="shared" si="2"/>
        <v>0</v>
      </c>
      <c r="F1972" s="11"/>
    </row>
    <row r="1973" spans="1:6" ht="16" x14ac:dyDescent="0.2">
      <c r="A1973" s="12" t="s">
        <v>5531</v>
      </c>
      <c r="B1973" s="13"/>
      <c r="C1973" t="e">
        <f t="shared" si="0"/>
        <v>#N/A</v>
      </c>
      <c r="D1973" t="b">
        <f t="shared" si="1"/>
        <v>0</v>
      </c>
      <c r="E1973">
        <f t="shared" si="2"/>
        <v>0</v>
      </c>
      <c r="F1973" s="11"/>
    </row>
    <row r="1974" spans="1:6" ht="16" x14ac:dyDescent="0.2">
      <c r="A1974" s="12" t="s">
        <v>5532</v>
      </c>
      <c r="B1974" s="13"/>
      <c r="C1974" t="e">
        <f t="shared" si="0"/>
        <v>#N/A</v>
      </c>
      <c r="D1974" t="b">
        <f t="shared" si="1"/>
        <v>0</v>
      </c>
      <c r="E1974">
        <f t="shared" si="2"/>
        <v>0</v>
      </c>
      <c r="F1974" s="11"/>
    </row>
    <row r="1975" spans="1:6" ht="16" x14ac:dyDescent="0.2">
      <c r="A1975" s="12" t="s">
        <v>5533</v>
      </c>
      <c r="B1975" s="13"/>
      <c r="C1975" t="e">
        <f t="shared" si="0"/>
        <v>#N/A</v>
      </c>
      <c r="D1975" t="b">
        <f t="shared" si="1"/>
        <v>0</v>
      </c>
      <c r="E1975">
        <f t="shared" si="2"/>
        <v>0</v>
      </c>
      <c r="F1975" s="11"/>
    </row>
    <row r="1976" spans="1:6" ht="16" x14ac:dyDescent="0.2">
      <c r="A1976" s="12" t="s">
        <v>5534</v>
      </c>
      <c r="B1976" s="13"/>
      <c r="C1976" t="e">
        <f t="shared" si="0"/>
        <v>#N/A</v>
      </c>
      <c r="D1976" t="b">
        <f t="shared" si="1"/>
        <v>0</v>
      </c>
      <c r="E1976">
        <f t="shared" si="2"/>
        <v>0</v>
      </c>
      <c r="F1976" s="11"/>
    </row>
    <row r="1977" spans="1:6" ht="16" x14ac:dyDescent="0.2">
      <c r="A1977" s="12" t="s">
        <v>5535</v>
      </c>
      <c r="B1977" s="13"/>
      <c r="C1977" t="e">
        <f t="shared" si="0"/>
        <v>#N/A</v>
      </c>
      <c r="D1977" t="b">
        <f t="shared" si="1"/>
        <v>0</v>
      </c>
      <c r="E1977">
        <f t="shared" si="2"/>
        <v>0</v>
      </c>
      <c r="F1977" s="11"/>
    </row>
    <row r="1978" spans="1:6" ht="16" x14ac:dyDescent="0.2">
      <c r="A1978" s="12" t="s">
        <v>5536</v>
      </c>
      <c r="B1978" s="13"/>
      <c r="C1978" t="e">
        <f t="shared" si="0"/>
        <v>#N/A</v>
      </c>
      <c r="D1978" t="b">
        <f t="shared" si="1"/>
        <v>0</v>
      </c>
      <c r="E1978">
        <f t="shared" si="2"/>
        <v>0</v>
      </c>
      <c r="F1978" s="11"/>
    </row>
    <row r="1979" spans="1:6" ht="16" x14ac:dyDescent="0.2">
      <c r="A1979" s="12" t="s">
        <v>5537</v>
      </c>
      <c r="B1979" s="13"/>
      <c r="C1979" t="e">
        <f t="shared" si="0"/>
        <v>#N/A</v>
      </c>
      <c r="D1979" t="b">
        <f t="shared" si="1"/>
        <v>0</v>
      </c>
      <c r="E1979">
        <f t="shared" si="2"/>
        <v>0</v>
      </c>
      <c r="F1979" s="11"/>
    </row>
    <row r="1980" spans="1:6" ht="16" x14ac:dyDescent="0.2">
      <c r="A1980" s="12" t="s">
        <v>5538</v>
      </c>
      <c r="B1980" s="13"/>
      <c r="C1980" t="e">
        <f t="shared" si="0"/>
        <v>#N/A</v>
      </c>
      <c r="D1980" t="b">
        <f t="shared" si="1"/>
        <v>0</v>
      </c>
      <c r="E1980">
        <f t="shared" si="2"/>
        <v>0</v>
      </c>
      <c r="F1980" s="11"/>
    </row>
    <row r="1981" spans="1:6" ht="16" x14ac:dyDescent="0.2">
      <c r="A1981" s="12" t="s">
        <v>5539</v>
      </c>
      <c r="B1981" s="13"/>
      <c r="C1981" t="e">
        <f t="shared" si="0"/>
        <v>#N/A</v>
      </c>
      <c r="D1981" t="b">
        <f t="shared" si="1"/>
        <v>0</v>
      </c>
      <c r="E1981">
        <f t="shared" si="2"/>
        <v>0</v>
      </c>
      <c r="F1981" s="11"/>
    </row>
    <row r="1982" spans="1:6" ht="16" x14ac:dyDescent="0.2">
      <c r="A1982" s="12" t="s">
        <v>5540</v>
      </c>
      <c r="B1982" s="13"/>
      <c r="C1982" t="e">
        <f t="shared" si="0"/>
        <v>#N/A</v>
      </c>
      <c r="D1982" t="b">
        <f t="shared" si="1"/>
        <v>0</v>
      </c>
      <c r="E1982">
        <f t="shared" si="2"/>
        <v>0</v>
      </c>
      <c r="F1982" s="11"/>
    </row>
    <row r="1983" spans="1:6" ht="16" x14ac:dyDescent="0.2">
      <c r="A1983" s="12" t="s">
        <v>5541</v>
      </c>
      <c r="B1983" s="13"/>
      <c r="C1983" t="e">
        <f t="shared" si="0"/>
        <v>#N/A</v>
      </c>
      <c r="D1983" t="b">
        <f t="shared" si="1"/>
        <v>0</v>
      </c>
      <c r="E1983">
        <f t="shared" si="2"/>
        <v>0</v>
      </c>
      <c r="F1983" s="11"/>
    </row>
    <row r="1984" spans="1:6" ht="16" x14ac:dyDescent="0.2">
      <c r="A1984" s="12" t="s">
        <v>5542</v>
      </c>
      <c r="B1984" s="13"/>
      <c r="C1984" t="e">
        <f t="shared" si="0"/>
        <v>#N/A</v>
      </c>
      <c r="D1984" t="b">
        <f t="shared" si="1"/>
        <v>0</v>
      </c>
      <c r="E1984">
        <f t="shared" si="2"/>
        <v>0</v>
      </c>
      <c r="F1984" s="11"/>
    </row>
    <row r="1985" spans="1:6" ht="16" x14ac:dyDescent="0.2">
      <c r="A1985" s="12" t="s">
        <v>5543</v>
      </c>
      <c r="B1985" s="13"/>
      <c r="C1985" t="e">
        <f t="shared" si="0"/>
        <v>#N/A</v>
      </c>
      <c r="D1985" t="b">
        <f t="shared" si="1"/>
        <v>0</v>
      </c>
      <c r="E1985">
        <f t="shared" si="2"/>
        <v>0</v>
      </c>
      <c r="F1985" s="11"/>
    </row>
    <row r="1986" spans="1:6" ht="16" x14ac:dyDescent="0.2">
      <c r="A1986" s="12" t="s">
        <v>5544</v>
      </c>
      <c r="B1986" s="13"/>
      <c r="C1986" t="e">
        <f t="shared" si="0"/>
        <v>#N/A</v>
      </c>
      <c r="D1986" t="b">
        <f t="shared" si="1"/>
        <v>0</v>
      </c>
      <c r="E1986">
        <f t="shared" si="2"/>
        <v>0</v>
      </c>
      <c r="F1986" s="11"/>
    </row>
    <row r="1987" spans="1:6" ht="16" x14ac:dyDescent="0.2">
      <c r="A1987" s="12" t="s">
        <v>5545</v>
      </c>
      <c r="B1987" s="13"/>
      <c r="C1987" t="e">
        <f t="shared" si="0"/>
        <v>#N/A</v>
      </c>
      <c r="D1987" t="b">
        <f t="shared" si="1"/>
        <v>0</v>
      </c>
      <c r="E1987">
        <f t="shared" si="2"/>
        <v>0</v>
      </c>
      <c r="F1987" s="11"/>
    </row>
    <row r="1988" spans="1:6" ht="16" x14ac:dyDescent="0.2">
      <c r="A1988" s="12" t="s">
        <v>5545</v>
      </c>
      <c r="B1988" s="13"/>
      <c r="C1988" t="e">
        <f t="shared" si="0"/>
        <v>#N/A</v>
      </c>
      <c r="D1988" t="b">
        <f t="shared" si="1"/>
        <v>0</v>
      </c>
      <c r="E1988">
        <f t="shared" si="2"/>
        <v>0</v>
      </c>
      <c r="F1988" s="11"/>
    </row>
    <row r="1989" spans="1:6" ht="16" x14ac:dyDescent="0.2">
      <c r="A1989" s="12" t="s">
        <v>5545</v>
      </c>
      <c r="B1989" s="13"/>
      <c r="C1989" t="e">
        <f t="shared" si="0"/>
        <v>#N/A</v>
      </c>
      <c r="D1989" t="b">
        <f t="shared" si="1"/>
        <v>0</v>
      </c>
      <c r="E1989">
        <f t="shared" si="2"/>
        <v>0</v>
      </c>
      <c r="F1989" s="11"/>
    </row>
    <row r="1990" spans="1:6" ht="16" x14ac:dyDescent="0.2">
      <c r="A1990" s="12" t="s">
        <v>5546</v>
      </c>
      <c r="B1990" s="13"/>
      <c r="C1990" t="e">
        <f t="shared" si="0"/>
        <v>#N/A</v>
      </c>
      <c r="D1990" t="b">
        <f t="shared" si="1"/>
        <v>0</v>
      </c>
      <c r="E1990">
        <f t="shared" si="2"/>
        <v>0</v>
      </c>
      <c r="F1990" s="11"/>
    </row>
    <row r="1991" spans="1:6" ht="16" x14ac:dyDescent="0.2">
      <c r="A1991" s="12" t="s">
        <v>5547</v>
      </c>
      <c r="B1991" s="13"/>
      <c r="C1991" t="e">
        <f t="shared" si="0"/>
        <v>#N/A</v>
      </c>
      <c r="D1991" t="b">
        <f t="shared" si="1"/>
        <v>0</v>
      </c>
      <c r="E1991">
        <f t="shared" si="2"/>
        <v>0</v>
      </c>
      <c r="F1991" s="11"/>
    </row>
    <row r="1992" spans="1:6" ht="16" x14ac:dyDescent="0.2">
      <c r="A1992" s="12" t="s">
        <v>5548</v>
      </c>
      <c r="B1992" s="13"/>
      <c r="C1992" t="e">
        <f t="shared" si="0"/>
        <v>#N/A</v>
      </c>
      <c r="D1992" t="b">
        <f t="shared" si="1"/>
        <v>0</v>
      </c>
      <c r="E1992">
        <f t="shared" si="2"/>
        <v>0</v>
      </c>
      <c r="F1992" s="11"/>
    </row>
    <row r="1993" spans="1:6" ht="16" x14ac:dyDescent="0.2">
      <c r="A1993" s="12" t="s">
        <v>5549</v>
      </c>
      <c r="B1993" s="13"/>
      <c r="C1993" t="e">
        <f t="shared" si="0"/>
        <v>#N/A</v>
      </c>
      <c r="D1993" t="b">
        <f t="shared" si="1"/>
        <v>0</v>
      </c>
      <c r="E1993">
        <f t="shared" si="2"/>
        <v>0</v>
      </c>
      <c r="F1993" s="11"/>
    </row>
    <row r="1994" spans="1:6" ht="16" x14ac:dyDescent="0.2">
      <c r="A1994" s="12" t="s">
        <v>5549</v>
      </c>
      <c r="B1994" s="13"/>
      <c r="C1994" t="e">
        <f t="shared" si="0"/>
        <v>#N/A</v>
      </c>
      <c r="D1994" t="b">
        <f t="shared" si="1"/>
        <v>0</v>
      </c>
      <c r="E1994">
        <f t="shared" si="2"/>
        <v>0</v>
      </c>
      <c r="F1994" s="11"/>
    </row>
    <row r="1995" spans="1:6" ht="16" x14ac:dyDescent="0.2">
      <c r="A1995" s="12" t="s">
        <v>5550</v>
      </c>
      <c r="B1995" s="13"/>
      <c r="C1995" t="e">
        <f t="shared" si="0"/>
        <v>#N/A</v>
      </c>
      <c r="D1995" t="b">
        <f t="shared" si="1"/>
        <v>0</v>
      </c>
      <c r="E1995">
        <f t="shared" si="2"/>
        <v>0</v>
      </c>
      <c r="F1995" s="11"/>
    </row>
    <row r="1996" spans="1:6" ht="16" x14ac:dyDescent="0.2">
      <c r="A1996" s="12" t="s">
        <v>5551</v>
      </c>
      <c r="B1996" s="13"/>
      <c r="C1996" t="e">
        <f t="shared" si="0"/>
        <v>#N/A</v>
      </c>
      <c r="D1996" t="b">
        <f t="shared" si="1"/>
        <v>0</v>
      </c>
      <c r="E1996">
        <f t="shared" si="2"/>
        <v>0</v>
      </c>
      <c r="F1996" s="11"/>
    </row>
    <row r="1997" spans="1:6" ht="16" x14ac:dyDescent="0.2">
      <c r="A1997" s="12" t="s">
        <v>5552</v>
      </c>
      <c r="B1997" s="13"/>
      <c r="C1997" t="e">
        <f t="shared" si="0"/>
        <v>#N/A</v>
      </c>
      <c r="D1997" t="b">
        <f t="shared" si="1"/>
        <v>0</v>
      </c>
      <c r="E1997">
        <f t="shared" si="2"/>
        <v>0</v>
      </c>
      <c r="F1997" s="11"/>
    </row>
    <row r="1998" spans="1:6" ht="16" x14ac:dyDescent="0.2">
      <c r="A1998" s="12" t="s">
        <v>5553</v>
      </c>
      <c r="B1998" s="13"/>
      <c r="C1998" t="e">
        <f t="shared" si="0"/>
        <v>#N/A</v>
      </c>
      <c r="D1998" t="b">
        <f t="shared" si="1"/>
        <v>0</v>
      </c>
      <c r="E1998">
        <f t="shared" si="2"/>
        <v>0</v>
      </c>
      <c r="F1998" s="11"/>
    </row>
    <row r="1999" spans="1:6" ht="16" x14ac:dyDescent="0.2">
      <c r="A1999" s="12" t="s">
        <v>5554</v>
      </c>
      <c r="B1999" s="13"/>
      <c r="C1999" t="e">
        <f t="shared" si="0"/>
        <v>#N/A</v>
      </c>
      <c r="D1999" t="b">
        <f t="shared" si="1"/>
        <v>0</v>
      </c>
      <c r="E1999">
        <f t="shared" si="2"/>
        <v>0</v>
      </c>
      <c r="F1999" s="11"/>
    </row>
    <row r="2000" spans="1:6" ht="16" x14ac:dyDescent="0.2">
      <c r="A2000" s="12" t="s">
        <v>5555</v>
      </c>
      <c r="B2000" s="13"/>
      <c r="C2000" t="e">
        <f t="shared" si="0"/>
        <v>#N/A</v>
      </c>
      <c r="D2000" t="b">
        <f t="shared" si="1"/>
        <v>0</v>
      </c>
      <c r="E2000">
        <f t="shared" si="2"/>
        <v>0</v>
      </c>
      <c r="F2000" s="11"/>
    </row>
    <row r="2001" spans="1:6" ht="16" x14ac:dyDescent="0.2">
      <c r="A2001" s="12" t="s">
        <v>5556</v>
      </c>
      <c r="B2001" s="13"/>
      <c r="C2001" t="e">
        <f t="shared" si="0"/>
        <v>#N/A</v>
      </c>
      <c r="D2001" t="b">
        <f t="shared" si="1"/>
        <v>0</v>
      </c>
      <c r="E2001">
        <f t="shared" si="2"/>
        <v>0</v>
      </c>
      <c r="F2001" s="11"/>
    </row>
    <row r="2002" spans="1:6" ht="16" x14ac:dyDescent="0.2">
      <c r="A2002" s="12" t="s">
        <v>5557</v>
      </c>
      <c r="B2002" s="13"/>
      <c r="C2002" t="e">
        <f t="shared" si="0"/>
        <v>#N/A</v>
      </c>
      <c r="D2002" t="b">
        <f t="shared" si="1"/>
        <v>0</v>
      </c>
      <c r="E2002">
        <f t="shared" si="2"/>
        <v>0</v>
      </c>
      <c r="F2002" s="11"/>
    </row>
    <row r="2003" spans="1:6" ht="16" x14ac:dyDescent="0.2">
      <c r="A2003" s="12" t="s">
        <v>5558</v>
      </c>
      <c r="B2003" s="13"/>
      <c r="C2003" t="e">
        <f t="shared" si="0"/>
        <v>#N/A</v>
      </c>
      <c r="D2003" t="b">
        <f t="shared" si="1"/>
        <v>0</v>
      </c>
      <c r="E2003">
        <f t="shared" si="2"/>
        <v>0</v>
      </c>
      <c r="F2003" s="11"/>
    </row>
    <row r="2004" spans="1:6" ht="16" x14ac:dyDescent="0.2">
      <c r="A2004" s="12" t="s">
        <v>5559</v>
      </c>
      <c r="B2004" s="13"/>
      <c r="C2004" t="e">
        <f t="shared" si="0"/>
        <v>#N/A</v>
      </c>
      <c r="D2004" t="b">
        <f t="shared" si="1"/>
        <v>0</v>
      </c>
      <c r="E2004">
        <f t="shared" si="2"/>
        <v>0</v>
      </c>
      <c r="F2004" s="11"/>
    </row>
    <row r="2005" spans="1:6" ht="16" x14ac:dyDescent="0.2">
      <c r="A2005" s="12" t="s">
        <v>5560</v>
      </c>
      <c r="B2005" s="13"/>
      <c r="C2005" t="e">
        <f t="shared" si="0"/>
        <v>#N/A</v>
      </c>
      <c r="D2005" t="b">
        <f t="shared" si="1"/>
        <v>0</v>
      </c>
      <c r="E2005">
        <f t="shared" si="2"/>
        <v>0</v>
      </c>
      <c r="F2005" s="11"/>
    </row>
    <row r="2006" spans="1:6" ht="16" x14ac:dyDescent="0.2">
      <c r="A2006" s="12" t="s">
        <v>5561</v>
      </c>
      <c r="B2006" s="13"/>
      <c r="C2006" t="e">
        <f t="shared" si="0"/>
        <v>#N/A</v>
      </c>
      <c r="D2006" t="b">
        <f t="shared" si="1"/>
        <v>0</v>
      </c>
      <c r="E2006">
        <f t="shared" si="2"/>
        <v>0</v>
      </c>
      <c r="F2006" s="11"/>
    </row>
    <row r="2007" spans="1:6" ht="16" x14ac:dyDescent="0.2">
      <c r="A2007" s="12" t="s">
        <v>5562</v>
      </c>
      <c r="B2007" s="13"/>
      <c r="C2007" t="e">
        <f t="shared" si="0"/>
        <v>#N/A</v>
      </c>
      <c r="D2007" t="b">
        <f t="shared" si="1"/>
        <v>0</v>
      </c>
      <c r="E2007">
        <f t="shared" si="2"/>
        <v>0</v>
      </c>
      <c r="F2007" s="11"/>
    </row>
    <row r="2008" spans="1:6" ht="16" x14ac:dyDescent="0.2">
      <c r="A2008" s="12" t="s">
        <v>5563</v>
      </c>
      <c r="B2008" s="13"/>
      <c r="C2008" t="e">
        <f t="shared" si="0"/>
        <v>#N/A</v>
      </c>
      <c r="D2008" t="b">
        <f t="shared" si="1"/>
        <v>0</v>
      </c>
      <c r="E2008">
        <f t="shared" si="2"/>
        <v>0</v>
      </c>
      <c r="F2008" s="11"/>
    </row>
    <row r="2009" spans="1:6" ht="16" x14ac:dyDescent="0.2">
      <c r="A2009" s="12" t="s">
        <v>5564</v>
      </c>
      <c r="B2009" s="13"/>
      <c r="C2009" t="e">
        <f t="shared" si="0"/>
        <v>#N/A</v>
      </c>
      <c r="D2009" t="b">
        <f t="shared" si="1"/>
        <v>0</v>
      </c>
      <c r="E2009">
        <f t="shared" si="2"/>
        <v>0</v>
      </c>
      <c r="F2009" s="11"/>
    </row>
    <row r="2010" spans="1:6" ht="16" x14ac:dyDescent="0.2">
      <c r="A2010" s="12" t="s">
        <v>5565</v>
      </c>
      <c r="B2010" s="13"/>
      <c r="C2010" t="e">
        <f t="shared" si="0"/>
        <v>#N/A</v>
      </c>
      <c r="D2010" t="b">
        <f t="shared" si="1"/>
        <v>0</v>
      </c>
      <c r="E2010">
        <f t="shared" si="2"/>
        <v>0</v>
      </c>
      <c r="F2010" s="11"/>
    </row>
    <row r="2011" spans="1:6" ht="16" x14ac:dyDescent="0.2">
      <c r="A2011" s="12" t="s">
        <v>5566</v>
      </c>
      <c r="B2011" s="13"/>
      <c r="C2011" t="e">
        <f t="shared" si="0"/>
        <v>#N/A</v>
      </c>
      <c r="D2011" t="b">
        <f t="shared" si="1"/>
        <v>0</v>
      </c>
      <c r="E2011">
        <f t="shared" si="2"/>
        <v>0</v>
      </c>
      <c r="F2011" s="11"/>
    </row>
    <row r="2012" spans="1:6" ht="16" x14ac:dyDescent="0.2">
      <c r="A2012" s="12" t="s">
        <v>5567</v>
      </c>
      <c r="B2012" s="13"/>
      <c r="C2012" t="e">
        <f t="shared" si="0"/>
        <v>#N/A</v>
      </c>
      <c r="D2012" t="b">
        <f t="shared" si="1"/>
        <v>0</v>
      </c>
      <c r="E2012">
        <f t="shared" si="2"/>
        <v>0</v>
      </c>
      <c r="F2012" s="11"/>
    </row>
    <row r="2013" spans="1:6" ht="16" x14ac:dyDescent="0.2">
      <c r="A2013" s="12" t="s">
        <v>5568</v>
      </c>
      <c r="B2013" s="13"/>
      <c r="C2013" t="e">
        <f t="shared" si="0"/>
        <v>#N/A</v>
      </c>
      <c r="D2013" t="b">
        <f t="shared" si="1"/>
        <v>0</v>
      </c>
      <c r="E2013">
        <f t="shared" si="2"/>
        <v>0</v>
      </c>
      <c r="F2013" s="11"/>
    </row>
    <row r="2014" spans="1:6" ht="16" x14ac:dyDescent="0.2">
      <c r="A2014" s="12" t="s">
        <v>5569</v>
      </c>
      <c r="B2014" s="13"/>
      <c r="C2014" t="e">
        <f t="shared" si="0"/>
        <v>#N/A</v>
      </c>
      <c r="D2014" t="b">
        <f t="shared" si="1"/>
        <v>0</v>
      </c>
      <c r="E2014">
        <f t="shared" si="2"/>
        <v>0</v>
      </c>
      <c r="F2014" s="11"/>
    </row>
    <row r="2015" spans="1:6" ht="16" x14ac:dyDescent="0.2">
      <c r="A2015" s="12" t="s">
        <v>5570</v>
      </c>
      <c r="B2015" s="13"/>
      <c r="C2015" t="e">
        <f t="shared" si="0"/>
        <v>#N/A</v>
      </c>
      <c r="D2015" t="b">
        <f t="shared" si="1"/>
        <v>0</v>
      </c>
      <c r="E2015">
        <f t="shared" si="2"/>
        <v>0</v>
      </c>
      <c r="F2015" s="11"/>
    </row>
    <row r="2016" spans="1:6" ht="16" x14ac:dyDescent="0.2">
      <c r="A2016" s="12" t="s">
        <v>5571</v>
      </c>
      <c r="B2016" s="13"/>
      <c r="C2016" t="e">
        <f t="shared" si="0"/>
        <v>#N/A</v>
      </c>
      <c r="D2016" t="b">
        <f t="shared" si="1"/>
        <v>0</v>
      </c>
      <c r="E2016">
        <f t="shared" si="2"/>
        <v>0</v>
      </c>
      <c r="F2016" s="11"/>
    </row>
    <row r="2017" spans="1:6" ht="16" x14ac:dyDescent="0.2">
      <c r="A2017" s="12" t="s">
        <v>5572</v>
      </c>
      <c r="B2017" s="13"/>
      <c r="C2017" t="e">
        <f t="shared" si="0"/>
        <v>#N/A</v>
      </c>
      <c r="D2017" t="b">
        <f t="shared" si="1"/>
        <v>0</v>
      </c>
      <c r="E2017">
        <f t="shared" si="2"/>
        <v>0</v>
      </c>
      <c r="F2017" s="11"/>
    </row>
    <row r="2018" spans="1:6" ht="16" x14ac:dyDescent="0.2">
      <c r="A2018" s="12" t="s">
        <v>5573</v>
      </c>
      <c r="B2018" s="13"/>
      <c r="C2018" t="e">
        <f t="shared" si="0"/>
        <v>#N/A</v>
      </c>
      <c r="D2018" t="b">
        <f t="shared" si="1"/>
        <v>0</v>
      </c>
      <c r="E2018">
        <f t="shared" si="2"/>
        <v>0</v>
      </c>
      <c r="F2018" s="11"/>
    </row>
    <row r="2019" spans="1:6" ht="16" x14ac:dyDescent="0.2">
      <c r="A2019" s="12" t="s">
        <v>5574</v>
      </c>
      <c r="B2019" s="13"/>
      <c r="C2019" t="e">
        <f t="shared" si="0"/>
        <v>#N/A</v>
      </c>
      <c r="D2019" t="b">
        <f t="shared" si="1"/>
        <v>0</v>
      </c>
      <c r="E2019">
        <f t="shared" si="2"/>
        <v>0</v>
      </c>
      <c r="F2019" s="11"/>
    </row>
    <row r="2020" spans="1:6" ht="16" x14ac:dyDescent="0.2">
      <c r="A2020" s="12" t="s">
        <v>5575</v>
      </c>
      <c r="B2020" s="13"/>
      <c r="C2020" t="e">
        <f t="shared" si="0"/>
        <v>#N/A</v>
      </c>
      <c r="D2020" t="b">
        <f t="shared" si="1"/>
        <v>0</v>
      </c>
      <c r="E2020">
        <f t="shared" si="2"/>
        <v>0</v>
      </c>
      <c r="F2020" s="11"/>
    </row>
    <row r="2021" spans="1:6" ht="16" x14ac:dyDescent="0.2">
      <c r="A2021" s="12" t="s">
        <v>5576</v>
      </c>
      <c r="B2021" s="13"/>
      <c r="C2021" t="e">
        <f t="shared" si="0"/>
        <v>#N/A</v>
      </c>
      <c r="D2021" t="b">
        <f t="shared" si="1"/>
        <v>0</v>
      </c>
      <c r="E2021">
        <f t="shared" si="2"/>
        <v>0</v>
      </c>
      <c r="F2021" s="11"/>
    </row>
    <row r="2022" spans="1:6" ht="16" x14ac:dyDescent="0.2">
      <c r="A2022" s="12" t="s">
        <v>5577</v>
      </c>
      <c r="B2022" s="13"/>
      <c r="C2022" t="e">
        <f t="shared" si="0"/>
        <v>#N/A</v>
      </c>
      <c r="D2022" t="b">
        <f t="shared" si="1"/>
        <v>0</v>
      </c>
      <c r="E2022">
        <f t="shared" si="2"/>
        <v>0</v>
      </c>
      <c r="F2022" s="11"/>
    </row>
    <row r="2023" spans="1:6" ht="16" x14ac:dyDescent="0.2">
      <c r="A2023" s="12" t="s">
        <v>5578</v>
      </c>
      <c r="B2023" s="13"/>
      <c r="C2023" t="e">
        <f t="shared" si="0"/>
        <v>#N/A</v>
      </c>
      <c r="D2023" t="b">
        <f t="shared" si="1"/>
        <v>0</v>
      </c>
      <c r="E2023">
        <f t="shared" si="2"/>
        <v>0</v>
      </c>
      <c r="F2023" s="11"/>
    </row>
    <row r="2024" spans="1:6" ht="16" x14ac:dyDescent="0.2">
      <c r="A2024" s="12" t="s">
        <v>5579</v>
      </c>
      <c r="B2024" s="13"/>
      <c r="C2024" t="e">
        <f t="shared" si="0"/>
        <v>#N/A</v>
      </c>
      <c r="D2024" t="b">
        <f t="shared" si="1"/>
        <v>0</v>
      </c>
      <c r="E2024">
        <f t="shared" si="2"/>
        <v>0</v>
      </c>
      <c r="F2024" s="11"/>
    </row>
    <row r="2025" spans="1:6" ht="16" x14ac:dyDescent="0.2">
      <c r="A2025" s="12" t="s">
        <v>5580</v>
      </c>
      <c r="B2025" s="13"/>
      <c r="C2025" t="e">
        <f t="shared" si="0"/>
        <v>#N/A</v>
      </c>
      <c r="D2025" t="b">
        <f t="shared" si="1"/>
        <v>0</v>
      </c>
      <c r="E2025">
        <f t="shared" si="2"/>
        <v>0</v>
      </c>
      <c r="F2025" s="11"/>
    </row>
    <row r="2026" spans="1:6" ht="16" x14ac:dyDescent="0.2">
      <c r="A2026" s="12" t="s">
        <v>5581</v>
      </c>
      <c r="B2026" s="13"/>
      <c r="C2026" t="e">
        <f t="shared" si="0"/>
        <v>#N/A</v>
      </c>
      <c r="D2026" t="b">
        <f t="shared" si="1"/>
        <v>0</v>
      </c>
      <c r="E2026">
        <f t="shared" si="2"/>
        <v>0</v>
      </c>
      <c r="F2026" s="11"/>
    </row>
    <row r="2027" spans="1:6" ht="16" x14ac:dyDescent="0.2">
      <c r="A2027" s="12" t="s">
        <v>5582</v>
      </c>
      <c r="B2027" s="13"/>
      <c r="C2027" t="e">
        <f t="shared" si="0"/>
        <v>#N/A</v>
      </c>
      <c r="D2027" t="b">
        <f t="shared" si="1"/>
        <v>0</v>
      </c>
      <c r="E2027">
        <f t="shared" si="2"/>
        <v>0</v>
      </c>
      <c r="F2027" s="11"/>
    </row>
    <row r="2028" spans="1:6" ht="16" x14ac:dyDescent="0.2">
      <c r="A2028" s="12" t="s">
        <v>5583</v>
      </c>
      <c r="B2028" s="13"/>
      <c r="C2028" t="e">
        <f t="shared" si="0"/>
        <v>#N/A</v>
      </c>
      <c r="D2028" t="b">
        <f t="shared" si="1"/>
        <v>0</v>
      </c>
      <c r="E2028">
        <f t="shared" si="2"/>
        <v>0</v>
      </c>
      <c r="F2028" s="11"/>
    </row>
    <row r="2029" spans="1:6" ht="16" x14ac:dyDescent="0.2">
      <c r="A2029" s="14" t="s">
        <v>5584</v>
      </c>
      <c r="B2029" s="13"/>
      <c r="C2029" t="e">
        <f t="shared" si="0"/>
        <v>#N/A</v>
      </c>
      <c r="D2029" t="b">
        <f t="shared" si="1"/>
        <v>0</v>
      </c>
      <c r="E2029">
        <f t="shared" si="2"/>
        <v>0</v>
      </c>
      <c r="F2029" s="11"/>
    </row>
    <row r="2030" spans="1:6" ht="16" x14ac:dyDescent="0.2">
      <c r="A2030" s="12" t="s">
        <v>5585</v>
      </c>
      <c r="B2030" s="13"/>
      <c r="C2030" t="e">
        <f t="shared" si="0"/>
        <v>#N/A</v>
      </c>
      <c r="D2030" t="b">
        <f t="shared" si="1"/>
        <v>0</v>
      </c>
      <c r="E2030">
        <f t="shared" si="2"/>
        <v>0</v>
      </c>
      <c r="F2030" s="11"/>
    </row>
    <row r="2031" spans="1:6" ht="16" x14ac:dyDescent="0.2">
      <c r="A2031" s="12" t="s">
        <v>5586</v>
      </c>
      <c r="B2031" s="13"/>
      <c r="C2031" t="e">
        <f t="shared" si="0"/>
        <v>#N/A</v>
      </c>
      <c r="D2031" t="b">
        <f t="shared" si="1"/>
        <v>0</v>
      </c>
      <c r="E2031">
        <f t="shared" si="2"/>
        <v>0</v>
      </c>
      <c r="F2031" s="11"/>
    </row>
    <row r="2032" spans="1:6" ht="16" x14ac:dyDescent="0.2">
      <c r="A2032" s="12" t="s">
        <v>5587</v>
      </c>
      <c r="B2032" s="13"/>
      <c r="C2032" t="e">
        <f t="shared" si="0"/>
        <v>#N/A</v>
      </c>
      <c r="D2032" t="b">
        <f t="shared" si="1"/>
        <v>0</v>
      </c>
      <c r="E2032">
        <f t="shared" si="2"/>
        <v>0</v>
      </c>
      <c r="F2032" s="11"/>
    </row>
    <row r="2033" spans="1:6" ht="16" x14ac:dyDescent="0.2">
      <c r="A2033" s="12" t="s">
        <v>5588</v>
      </c>
      <c r="B2033" s="13"/>
      <c r="C2033" t="e">
        <f t="shared" si="0"/>
        <v>#N/A</v>
      </c>
      <c r="D2033" t="b">
        <f t="shared" si="1"/>
        <v>0</v>
      </c>
      <c r="E2033">
        <f t="shared" si="2"/>
        <v>0</v>
      </c>
      <c r="F2033" s="11"/>
    </row>
    <row r="2034" spans="1:6" ht="16" x14ac:dyDescent="0.2">
      <c r="A2034" s="12" t="s">
        <v>5589</v>
      </c>
      <c r="B2034" s="13"/>
      <c r="C2034" t="e">
        <f t="shared" si="0"/>
        <v>#N/A</v>
      </c>
      <c r="D2034" t="b">
        <f t="shared" si="1"/>
        <v>0</v>
      </c>
      <c r="E2034">
        <f t="shared" si="2"/>
        <v>0</v>
      </c>
      <c r="F2034" s="11"/>
    </row>
    <row r="2035" spans="1:6" ht="16" x14ac:dyDescent="0.2">
      <c r="A2035" s="12" t="s">
        <v>5590</v>
      </c>
      <c r="B2035" s="13"/>
      <c r="C2035" t="e">
        <f t="shared" si="0"/>
        <v>#N/A</v>
      </c>
      <c r="D2035" t="b">
        <f t="shared" si="1"/>
        <v>0</v>
      </c>
      <c r="E2035">
        <f t="shared" si="2"/>
        <v>0</v>
      </c>
      <c r="F2035" s="11"/>
    </row>
    <row r="2036" spans="1:6" ht="16" x14ac:dyDescent="0.2">
      <c r="A2036" s="12" t="s">
        <v>5591</v>
      </c>
      <c r="B2036" s="13"/>
      <c r="C2036" t="e">
        <f t="shared" si="0"/>
        <v>#N/A</v>
      </c>
      <c r="D2036" t="b">
        <f t="shared" si="1"/>
        <v>0</v>
      </c>
      <c r="E2036">
        <f t="shared" si="2"/>
        <v>0</v>
      </c>
      <c r="F2036" s="11"/>
    </row>
    <row r="2037" spans="1:6" ht="16" x14ac:dyDescent="0.2">
      <c r="A2037" s="12" t="s">
        <v>5592</v>
      </c>
      <c r="B2037" s="13"/>
      <c r="C2037" t="e">
        <f t="shared" si="0"/>
        <v>#N/A</v>
      </c>
      <c r="D2037" t="b">
        <f t="shared" si="1"/>
        <v>0</v>
      </c>
      <c r="E2037">
        <f t="shared" si="2"/>
        <v>0</v>
      </c>
      <c r="F2037" s="11"/>
    </row>
    <row r="2038" spans="1:6" ht="16" x14ac:dyDescent="0.2">
      <c r="A2038" s="12" t="s">
        <v>5593</v>
      </c>
      <c r="B2038" s="13"/>
      <c r="C2038" t="e">
        <f t="shared" si="0"/>
        <v>#N/A</v>
      </c>
      <c r="D2038" t="b">
        <f t="shared" si="1"/>
        <v>0</v>
      </c>
      <c r="E2038">
        <f t="shared" si="2"/>
        <v>0</v>
      </c>
      <c r="F2038" s="11"/>
    </row>
    <row r="2039" spans="1:6" ht="16" x14ac:dyDescent="0.2">
      <c r="A2039" s="12" t="s">
        <v>5594</v>
      </c>
      <c r="B2039" s="13"/>
      <c r="C2039" t="e">
        <f t="shared" si="0"/>
        <v>#N/A</v>
      </c>
      <c r="D2039" t="b">
        <f t="shared" si="1"/>
        <v>0</v>
      </c>
      <c r="E2039">
        <f t="shared" si="2"/>
        <v>0</v>
      </c>
      <c r="F2039" s="11"/>
    </row>
    <row r="2040" spans="1:6" ht="16" x14ac:dyDescent="0.2">
      <c r="A2040" s="12" t="s">
        <v>5595</v>
      </c>
      <c r="B2040" s="13"/>
      <c r="C2040" t="e">
        <f t="shared" si="0"/>
        <v>#N/A</v>
      </c>
      <c r="D2040" t="b">
        <f t="shared" si="1"/>
        <v>0</v>
      </c>
      <c r="E2040">
        <f t="shared" si="2"/>
        <v>0</v>
      </c>
      <c r="F2040" s="11"/>
    </row>
    <row r="2041" spans="1:6" ht="16" x14ac:dyDescent="0.2">
      <c r="A2041" s="12" t="s">
        <v>5596</v>
      </c>
      <c r="B2041" s="13"/>
      <c r="C2041" t="e">
        <f t="shared" si="0"/>
        <v>#N/A</v>
      </c>
      <c r="D2041" t="b">
        <f t="shared" si="1"/>
        <v>0</v>
      </c>
      <c r="E2041">
        <f t="shared" si="2"/>
        <v>0</v>
      </c>
      <c r="F2041" s="11"/>
    </row>
    <row r="2042" spans="1:6" ht="16" x14ac:dyDescent="0.2">
      <c r="A2042" s="12" t="s">
        <v>5597</v>
      </c>
      <c r="B2042" s="13"/>
      <c r="C2042" t="e">
        <f t="shared" si="0"/>
        <v>#N/A</v>
      </c>
      <c r="D2042" t="b">
        <f t="shared" si="1"/>
        <v>0</v>
      </c>
      <c r="E2042">
        <f t="shared" si="2"/>
        <v>0</v>
      </c>
      <c r="F2042" s="11"/>
    </row>
    <row r="2043" spans="1:6" ht="16" x14ac:dyDescent="0.2">
      <c r="A2043" s="12" t="s">
        <v>5598</v>
      </c>
      <c r="B2043" s="13"/>
      <c r="C2043" t="e">
        <f t="shared" si="0"/>
        <v>#N/A</v>
      </c>
      <c r="D2043" t="b">
        <f t="shared" si="1"/>
        <v>0</v>
      </c>
      <c r="E2043">
        <f t="shared" si="2"/>
        <v>0</v>
      </c>
      <c r="F2043" s="11"/>
    </row>
    <row r="2044" spans="1:6" ht="16" x14ac:dyDescent="0.2">
      <c r="A2044" s="12" t="s">
        <v>5599</v>
      </c>
      <c r="B2044" s="13"/>
      <c r="C2044" t="e">
        <f t="shared" si="0"/>
        <v>#N/A</v>
      </c>
      <c r="D2044" t="b">
        <f t="shared" si="1"/>
        <v>0</v>
      </c>
      <c r="E2044">
        <f t="shared" si="2"/>
        <v>0</v>
      </c>
      <c r="F2044" s="11"/>
    </row>
    <row r="2045" spans="1:6" ht="16" x14ac:dyDescent="0.2">
      <c r="A2045" s="12" t="s">
        <v>5600</v>
      </c>
      <c r="B2045" s="13"/>
      <c r="C2045" t="e">
        <f t="shared" si="0"/>
        <v>#N/A</v>
      </c>
      <c r="D2045" t="b">
        <f t="shared" si="1"/>
        <v>0</v>
      </c>
      <c r="E2045">
        <f t="shared" si="2"/>
        <v>0</v>
      </c>
      <c r="F2045" s="11"/>
    </row>
    <row r="2046" spans="1:6" ht="16" x14ac:dyDescent="0.2">
      <c r="A2046" s="12" t="s">
        <v>5601</v>
      </c>
      <c r="B2046" s="13"/>
      <c r="C2046" t="e">
        <f t="shared" si="0"/>
        <v>#N/A</v>
      </c>
      <c r="D2046" t="b">
        <f t="shared" si="1"/>
        <v>0</v>
      </c>
      <c r="E2046">
        <f t="shared" si="2"/>
        <v>0</v>
      </c>
      <c r="F2046" s="11"/>
    </row>
    <row r="2047" spans="1:6" ht="16" x14ac:dyDescent="0.2">
      <c r="A2047" s="12" t="s">
        <v>5602</v>
      </c>
      <c r="B2047" s="13"/>
      <c r="C2047" t="e">
        <f t="shared" si="0"/>
        <v>#N/A</v>
      </c>
      <c r="D2047" t="b">
        <f t="shared" si="1"/>
        <v>0</v>
      </c>
      <c r="E2047">
        <f t="shared" si="2"/>
        <v>0</v>
      </c>
      <c r="F2047" s="11"/>
    </row>
    <row r="2048" spans="1:6" ht="16" x14ac:dyDescent="0.2">
      <c r="A2048" s="12" t="s">
        <v>5603</v>
      </c>
      <c r="B2048" s="13"/>
      <c r="C2048" t="e">
        <f t="shared" si="0"/>
        <v>#N/A</v>
      </c>
      <c r="D2048" t="b">
        <f t="shared" si="1"/>
        <v>0</v>
      </c>
      <c r="E2048">
        <f t="shared" si="2"/>
        <v>0</v>
      </c>
      <c r="F2048" s="11"/>
    </row>
    <row r="2049" spans="1:6" ht="16" x14ac:dyDescent="0.2">
      <c r="A2049" s="12" t="s">
        <v>5604</v>
      </c>
      <c r="B2049" s="13"/>
      <c r="C2049" t="e">
        <f t="shared" si="0"/>
        <v>#N/A</v>
      </c>
      <c r="D2049" t="b">
        <f t="shared" si="1"/>
        <v>0</v>
      </c>
      <c r="E2049">
        <f t="shared" si="2"/>
        <v>0</v>
      </c>
      <c r="F2049" s="11"/>
    </row>
    <row r="2050" spans="1:6" ht="16" x14ac:dyDescent="0.2">
      <c r="A2050" s="12" t="s">
        <v>5605</v>
      </c>
      <c r="B2050" s="13"/>
      <c r="C2050" t="e">
        <f t="shared" si="0"/>
        <v>#N/A</v>
      </c>
      <c r="D2050" t="b">
        <f t="shared" si="1"/>
        <v>0</v>
      </c>
      <c r="E2050">
        <f t="shared" si="2"/>
        <v>0</v>
      </c>
      <c r="F2050" s="11"/>
    </row>
    <row r="2051" spans="1:6" ht="16" x14ac:dyDescent="0.2">
      <c r="A2051" s="12" t="s">
        <v>5606</v>
      </c>
      <c r="B2051" s="13"/>
      <c r="C2051" t="e">
        <f t="shared" si="0"/>
        <v>#N/A</v>
      </c>
      <c r="D2051" t="b">
        <f t="shared" si="1"/>
        <v>0</v>
      </c>
      <c r="E2051">
        <f t="shared" si="2"/>
        <v>0</v>
      </c>
      <c r="F2051" s="11"/>
    </row>
    <row r="2052" spans="1:6" ht="16" x14ac:dyDescent="0.2">
      <c r="A2052" s="12" t="s">
        <v>5607</v>
      </c>
      <c r="B2052" s="13"/>
      <c r="C2052" t="e">
        <f t="shared" si="0"/>
        <v>#N/A</v>
      </c>
      <c r="D2052" t="b">
        <f t="shared" si="1"/>
        <v>0</v>
      </c>
      <c r="E2052">
        <f t="shared" si="2"/>
        <v>0</v>
      </c>
      <c r="F2052" s="11"/>
    </row>
    <row r="2053" spans="1:6" ht="16" x14ac:dyDescent="0.2">
      <c r="A2053" s="12" t="s">
        <v>5608</v>
      </c>
      <c r="B2053" s="13"/>
      <c r="C2053" t="e">
        <f t="shared" si="0"/>
        <v>#N/A</v>
      </c>
      <c r="D2053" t="b">
        <f t="shared" si="1"/>
        <v>0</v>
      </c>
      <c r="E2053">
        <f t="shared" si="2"/>
        <v>0</v>
      </c>
      <c r="F2053" s="11"/>
    </row>
    <row r="2054" spans="1:6" ht="16" x14ac:dyDescent="0.2">
      <c r="A2054" s="12" t="s">
        <v>5609</v>
      </c>
      <c r="B2054" s="13"/>
      <c r="C2054" t="e">
        <f t="shared" si="0"/>
        <v>#N/A</v>
      </c>
      <c r="D2054" t="b">
        <f t="shared" si="1"/>
        <v>0</v>
      </c>
      <c r="E2054">
        <f t="shared" si="2"/>
        <v>0</v>
      </c>
      <c r="F2054" s="11"/>
    </row>
    <row r="2055" spans="1:6" ht="16" x14ac:dyDescent="0.2">
      <c r="A2055" s="12" t="s">
        <v>5610</v>
      </c>
      <c r="B2055" s="13"/>
      <c r="C2055" t="e">
        <f t="shared" si="0"/>
        <v>#N/A</v>
      </c>
      <c r="D2055" t="b">
        <f t="shared" si="1"/>
        <v>0</v>
      </c>
      <c r="E2055">
        <f t="shared" si="2"/>
        <v>0</v>
      </c>
      <c r="F2055" s="11"/>
    </row>
    <row r="2056" spans="1:6" ht="16" x14ac:dyDescent="0.2">
      <c r="A2056" s="12" t="s">
        <v>5611</v>
      </c>
      <c r="B2056" s="13"/>
      <c r="C2056" t="e">
        <f t="shared" si="0"/>
        <v>#N/A</v>
      </c>
      <c r="D2056" t="b">
        <f t="shared" si="1"/>
        <v>0</v>
      </c>
      <c r="E2056">
        <f t="shared" si="2"/>
        <v>0</v>
      </c>
      <c r="F2056" s="11"/>
    </row>
    <row r="2057" spans="1:6" ht="16" x14ac:dyDescent="0.2">
      <c r="A2057" s="12" t="s">
        <v>5612</v>
      </c>
      <c r="B2057" s="13"/>
      <c r="C2057" t="e">
        <f t="shared" si="0"/>
        <v>#N/A</v>
      </c>
      <c r="D2057" t="b">
        <f t="shared" si="1"/>
        <v>0</v>
      </c>
      <c r="E2057">
        <f t="shared" si="2"/>
        <v>0</v>
      </c>
      <c r="F2057" s="11"/>
    </row>
    <row r="2058" spans="1:6" ht="16" x14ac:dyDescent="0.2">
      <c r="A2058" s="12" t="s">
        <v>5613</v>
      </c>
      <c r="B2058" s="13"/>
      <c r="C2058" t="e">
        <f t="shared" si="0"/>
        <v>#N/A</v>
      </c>
      <c r="D2058" t="b">
        <f t="shared" si="1"/>
        <v>0</v>
      </c>
      <c r="E2058">
        <f t="shared" si="2"/>
        <v>0</v>
      </c>
      <c r="F2058" s="11"/>
    </row>
    <row r="2059" spans="1:6" ht="16" x14ac:dyDescent="0.2">
      <c r="A2059" s="12" t="s">
        <v>5614</v>
      </c>
      <c r="B2059" s="13"/>
      <c r="C2059" t="e">
        <f t="shared" si="0"/>
        <v>#N/A</v>
      </c>
      <c r="D2059" t="b">
        <f t="shared" si="1"/>
        <v>0</v>
      </c>
      <c r="E2059">
        <f t="shared" si="2"/>
        <v>0</v>
      </c>
      <c r="F2059" s="11"/>
    </row>
    <row r="2060" spans="1:6" ht="16" x14ac:dyDescent="0.2">
      <c r="A2060" s="12" t="s">
        <v>5615</v>
      </c>
      <c r="B2060" s="13"/>
      <c r="C2060" t="e">
        <f t="shared" si="0"/>
        <v>#N/A</v>
      </c>
      <c r="D2060" t="b">
        <f t="shared" si="1"/>
        <v>0</v>
      </c>
      <c r="E2060">
        <f t="shared" si="2"/>
        <v>0</v>
      </c>
      <c r="F2060" s="11"/>
    </row>
    <row r="2061" spans="1:6" ht="16" x14ac:dyDescent="0.2">
      <c r="A2061" s="12" t="s">
        <v>5616</v>
      </c>
      <c r="B2061" s="13"/>
      <c r="C2061" t="e">
        <f t="shared" si="0"/>
        <v>#N/A</v>
      </c>
      <c r="D2061" t="b">
        <f t="shared" si="1"/>
        <v>0</v>
      </c>
      <c r="E2061">
        <f t="shared" si="2"/>
        <v>0</v>
      </c>
      <c r="F2061" s="11"/>
    </row>
    <row r="2062" spans="1:6" ht="16" x14ac:dyDescent="0.2">
      <c r="A2062" s="12" t="s">
        <v>5616</v>
      </c>
      <c r="B2062" s="13"/>
      <c r="C2062" t="e">
        <f t="shared" si="0"/>
        <v>#N/A</v>
      </c>
      <c r="D2062" t="b">
        <f t="shared" si="1"/>
        <v>0</v>
      </c>
      <c r="E2062">
        <f t="shared" si="2"/>
        <v>0</v>
      </c>
      <c r="F2062" s="11"/>
    </row>
    <row r="2063" spans="1:6" ht="16" x14ac:dyDescent="0.2">
      <c r="A2063" s="12" t="s">
        <v>5617</v>
      </c>
      <c r="B2063" s="13"/>
      <c r="C2063" t="e">
        <f t="shared" si="0"/>
        <v>#N/A</v>
      </c>
      <c r="D2063" t="b">
        <f t="shared" si="1"/>
        <v>0</v>
      </c>
      <c r="E2063">
        <f t="shared" si="2"/>
        <v>0</v>
      </c>
      <c r="F2063" s="11"/>
    </row>
    <row r="2064" spans="1:6" ht="16" x14ac:dyDescent="0.2">
      <c r="A2064" s="12" t="s">
        <v>5618</v>
      </c>
      <c r="B2064" s="13"/>
      <c r="C2064" t="e">
        <f t="shared" si="0"/>
        <v>#N/A</v>
      </c>
      <c r="D2064" t="b">
        <f t="shared" si="1"/>
        <v>0</v>
      </c>
      <c r="E2064">
        <f t="shared" si="2"/>
        <v>0</v>
      </c>
      <c r="F2064" s="11"/>
    </row>
    <row r="2065" spans="1:6" ht="16" x14ac:dyDescent="0.2">
      <c r="A2065" s="12" t="s">
        <v>5619</v>
      </c>
      <c r="B2065" s="13"/>
      <c r="C2065" t="e">
        <f t="shared" si="0"/>
        <v>#N/A</v>
      </c>
      <c r="D2065" t="b">
        <f t="shared" si="1"/>
        <v>0</v>
      </c>
      <c r="E2065">
        <f t="shared" si="2"/>
        <v>0</v>
      </c>
      <c r="F2065" s="11"/>
    </row>
    <row r="2066" spans="1:6" ht="16" x14ac:dyDescent="0.2">
      <c r="A2066" s="12" t="s">
        <v>5620</v>
      </c>
      <c r="B2066" s="13"/>
      <c r="C2066" t="e">
        <f t="shared" si="0"/>
        <v>#N/A</v>
      </c>
      <c r="D2066" t="b">
        <f t="shared" si="1"/>
        <v>0</v>
      </c>
      <c r="E2066">
        <f t="shared" si="2"/>
        <v>0</v>
      </c>
      <c r="F2066" s="11"/>
    </row>
    <row r="2067" spans="1:6" ht="16" x14ac:dyDescent="0.2">
      <c r="A2067" s="12" t="s">
        <v>5621</v>
      </c>
      <c r="B2067" s="13"/>
      <c r="C2067" t="e">
        <f t="shared" si="0"/>
        <v>#N/A</v>
      </c>
      <c r="D2067" t="b">
        <f t="shared" si="1"/>
        <v>0</v>
      </c>
      <c r="E2067">
        <f t="shared" si="2"/>
        <v>0</v>
      </c>
      <c r="F2067" s="11"/>
    </row>
    <row r="2068" spans="1:6" ht="16" x14ac:dyDescent="0.2">
      <c r="A2068" s="12" t="s">
        <v>5622</v>
      </c>
      <c r="B2068" s="13"/>
      <c r="C2068" t="e">
        <f t="shared" si="0"/>
        <v>#N/A</v>
      </c>
      <c r="D2068" t="b">
        <f t="shared" si="1"/>
        <v>0</v>
      </c>
      <c r="E2068">
        <f t="shared" si="2"/>
        <v>0</v>
      </c>
      <c r="F2068" s="11"/>
    </row>
    <row r="2069" spans="1:6" ht="16" x14ac:dyDescent="0.2">
      <c r="A2069" s="12" t="s">
        <v>5623</v>
      </c>
      <c r="B2069" s="13"/>
      <c r="C2069" t="e">
        <f t="shared" si="0"/>
        <v>#N/A</v>
      </c>
      <c r="D2069" t="b">
        <f t="shared" si="1"/>
        <v>0</v>
      </c>
      <c r="E2069">
        <f t="shared" si="2"/>
        <v>0</v>
      </c>
      <c r="F2069" s="11"/>
    </row>
    <row r="2070" spans="1:6" ht="16" x14ac:dyDescent="0.2">
      <c r="A2070" s="12" t="s">
        <v>5624</v>
      </c>
      <c r="B2070" s="13"/>
      <c r="C2070" t="e">
        <f t="shared" si="0"/>
        <v>#N/A</v>
      </c>
      <c r="D2070" t="b">
        <f t="shared" si="1"/>
        <v>0</v>
      </c>
      <c r="E2070">
        <f t="shared" si="2"/>
        <v>0</v>
      </c>
      <c r="F2070" s="11"/>
    </row>
    <row r="2071" spans="1:6" ht="16" x14ac:dyDescent="0.2">
      <c r="A2071" s="12" t="s">
        <v>5625</v>
      </c>
      <c r="B2071" s="13"/>
      <c r="C2071" t="e">
        <f t="shared" si="0"/>
        <v>#N/A</v>
      </c>
      <c r="D2071" t="b">
        <f t="shared" si="1"/>
        <v>0</v>
      </c>
      <c r="E2071">
        <f t="shared" si="2"/>
        <v>0</v>
      </c>
      <c r="F2071" s="11"/>
    </row>
    <row r="2072" spans="1:6" ht="16" x14ac:dyDescent="0.2">
      <c r="A2072" s="12" t="s">
        <v>5626</v>
      </c>
      <c r="B2072" s="13"/>
      <c r="C2072" t="e">
        <f t="shared" si="0"/>
        <v>#N/A</v>
      </c>
      <c r="D2072" t="b">
        <f t="shared" si="1"/>
        <v>0</v>
      </c>
      <c r="E2072">
        <f t="shared" si="2"/>
        <v>0</v>
      </c>
      <c r="F2072" s="11"/>
    </row>
    <row r="2073" spans="1:6" ht="16" x14ac:dyDescent="0.2">
      <c r="A2073" s="12" t="s">
        <v>5627</v>
      </c>
      <c r="B2073" s="13"/>
      <c r="C2073" t="e">
        <f t="shared" si="0"/>
        <v>#N/A</v>
      </c>
      <c r="D2073" t="b">
        <f t="shared" si="1"/>
        <v>0</v>
      </c>
      <c r="E2073">
        <f t="shared" si="2"/>
        <v>0</v>
      </c>
      <c r="F2073" s="11"/>
    </row>
    <row r="2074" spans="1:6" ht="16" x14ac:dyDescent="0.2">
      <c r="A2074" s="12" t="s">
        <v>5628</v>
      </c>
      <c r="B2074" s="13"/>
      <c r="C2074" t="e">
        <f t="shared" si="0"/>
        <v>#N/A</v>
      </c>
      <c r="D2074" t="b">
        <f t="shared" si="1"/>
        <v>0</v>
      </c>
      <c r="E2074">
        <f t="shared" si="2"/>
        <v>0</v>
      </c>
      <c r="F2074" s="11"/>
    </row>
    <row r="2075" spans="1:6" ht="16" x14ac:dyDescent="0.2">
      <c r="A2075" s="12" t="s">
        <v>5629</v>
      </c>
      <c r="B2075" s="13"/>
      <c r="C2075" t="e">
        <f t="shared" si="0"/>
        <v>#N/A</v>
      </c>
      <c r="D2075" t="b">
        <f t="shared" si="1"/>
        <v>0</v>
      </c>
      <c r="E2075">
        <f t="shared" si="2"/>
        <v>0</v>
      </c>
      <c r="F2075" s="11"/>
    </row>
    <row r="2076" spans="1:6" ht="16" x14ac:dyDescent="0.2">
      <c r="A2076" s="12" t="s">
        <v>5630</v>
      </c>
      <c r="B2076" s="13"/>
      <c r="C2076" t="e">
        <f t="shared" si="0"/>
        <v>#N/A</v>
      </c>
      <c r="D2076" t="b">
        <f t="shared" si="1"/>
        <v>0</v>
      </c>
      <c r="E2076">
        <f t="shared" si="2"/>
        <v>0</v>
      </c>
      <c r="F2076" s="11"/>
    </row>
    <row r="2077" spans="1:6" ht="16" x14ac:dyDescent="0.2">
      <c r="A2077" s="12" t="s">
        <v>5631</v>
      </c>
      <c r="B2077" s="13"/>
      <c r="C2077" t="e">
        <f t="shared" si="0"/>
        <v>#N/A</v>
      </c>
      <c r="D2077" t="b">
        <f t="shared" si="1"/>
        <v>0</v>
      </c>
      <c r="E2077">
        <f t="shared" si="2"/>
        <v>0</v>
      </c>
      <c r="F2077" s="11"/>
    </row>
    <row r="2078" spans="1:6" ht="16" x14ac:dyDescent="0.2">
      <c r="A2078" s="12" t="s">
        <v>5632</v>
      </c>
      <c r="B2078" s="13"/>
      <c r="C2078" t="e">
        <f t="shared" si="0"/>
        <v>#N/A</v>
      </c>
      <c r="D2078" t="b">
        <f t="shared" si="1"/>
        <v>0</v>
      </c>
      <c r="E2078">
        <f t="shared" si="2"/>
        <v>0</v>
      </c>
      <c r="F2078" s="11"/>
    </row>
    <row r="2079" spans="1:6" ht="16" x14ac:dyDescent="0.2">
      <c r="A2079" s="12" t="s">
        <v>5633</v>
      </c>
      <c r="B2079" s="13"/>
      <c r="C2079" t="e">
        <f t="shared" si="0"/>
        <v>#N/A</v>
      </c>
      <c r="D2079" t="b">
        <f t="shared" si="1"/>
        <v>0</v>
      </c>
      <c r="E2079">
        <f t="shared" si="2"/>
        <v>0</v>
      </c>
      <c r="F2079" s="11"/>
    </row>
    <row r="2080" spans="1:6" ht="16" x14ac:dyDescent="0.2">
      <c r="A2080" s="12" t="s">
        <v>5634</v>
      </c>
      <c r="B2080" s="13"/>
      <c r="C2080" t="e">
        <f t="shared" si="0"/>
        <v>#N/A</v>
      </c>
      <c r="D2080" t="b">
        <f t="shared" si="1"/>
        <v>0</v>
      </c>
      <c r="E2080">
        <f t="shared" si="2"/>
        <v>0</v>
      </c>
      <c r="F2080" s="11"/>
    </row>
    <row r="2081" spans="1:6" ht="16" x14ac:dyDescent="0.2">
      <c r="A2081" s="12" t="s">
        <v>5635</v>
      </c>
      <c r="B2081" s="13"/>
      <c r="C2081" t="e">
        <f t="shared" si="0"/>
        <v>#N/A</v>
      </c>
      <c r="D2081" t="b">
        <f t="shared" si="1"/>
        <v>0</v>
      </c>
      <c r="E2081">
        <f t="shared" si="2"/>
        <v>0</v>
      </c>
      <c r="F2081" s="11"/>
    </row>
    <row r="2082" spans="1:6" ht="16" x14ac:dyDescent="0.2">
      <c r="A2082" s="12" t="s">
        <v>5636</v>
      </c>
      <c r="B2082" s="13"/>
      <c r="C2082" t="e">
        <f t="shared" si="0"/>
        <v>#N/A</v>
      </c>
      <c r="D2082" t="b">
        <f t="shared" si="1"/>
        <v>0</v>
      </c>
      <c r="E2082">
        <f t="shared" si="2"/>
        <v>0</v>
      </c>
      <c r="F2082" s="11"/>
    </row>
    <row r="2083" spans="1:6" ht="16" x14ac:dyDescent="0.2">
      <c r="A2083" s="12" t="s">
        <v>5637</v>
      </c>
      <c r="B2083" s="13"/>
      <c r="C2083" t="e">
        <f t="shared" si="0"/>
        <v>#N/A</v>
      </c>
      <c r="D2083" t="b">
        <f t="shared" si="1"/>
        <v>0</v>
      </c>
      <c r="E2083">
        <f t="shared" si="2"/>
        <v>0</v>
      </c>
      <c r="F2083" s="11"/>
    </row>
    <row r="2084" spans="1:6" ht="16" x14ac:dyDescent="0.2">
      <c r="A2084" s="12" t="s">
        <v>5638</v>
      </c>
      <c r="B2084" s="13"/>
      <c r="C2084" t="e">
        <f t="shared" si="0"/>
        <v>#N/A</v>
      </c>
      <c r="D2084" t="b">
        <f t="shared" si="1"/>
        <v>0</v>
      </c>
      <c r="E2084">
        <f t="shared" si="2"/>
        <v>0</v>
      </c>
      <c r="F2084" s="11"/>
    </row>
    <row r="2085" spans="1:6" ht="16" x14ac:dyDescent="0.2">
      <c r="A2085" s="12" t="s">
        <v>5639</v>
      </c>
      <c r="B2085" s="13"/>
      <c r="C2085" t="e">
        <f t="shared" si="0"/>
        <v>#N/A</v>
      </c>
      <c r="D2085" t="b">
        <f t="shared" si="1"/>
        <v>0</v>
      </c>
      <c r="E2085">
        <f t="shared" si="2"/>
        <v>0</v>
      </c>
      <c r="F2085" s="11"/>
    </row>
    <row r="2086" spans="1:6" ht="16" x14ac:dyDescent="0.2">
      <c r="A2086" s="12" t="s">
        <v>5640</v>
      </c>
      <c r="B2086" s="13"/>
      <c r="C2086" t="e">
        <f t="shared" si="0"/>
        <v>#N/A</v>
      </c>
      <c r="D2086" t="b">
        <f t="shared" si="1"/>
        <v>0</v>
      </c>
      <c r="E2086">
        <f t="shared" si="2"/>
        <v>0</v>
      </c>
      <c r="F2086" s="11"/>
    </row>
    <row r="2087" spans="1:6" ht="16" x14ac:dyDescent="0.2">
      <c r="A2087" s="12" t="s">
        <v>5641</v>
      </c>
      <c r="B2087" s="13"/>
      <c r="C2087" t="e">
        <f t="shared" si="0"/>
        <v>#N/A</v>
      </c>
      <c r="D2087" t="b">
        <f t="shared" si="1"/>
        <v>0</v>
      </c>
      <c r="E2087">
        <f t="shared" si="2"/>
        <v>0</v>
      </c>
      <c r="F2087" s="11"/>
    </row>
    <row r="2088" spans="1:6" ht="16" x14ac:dyDescent="0.2">
      <c r="A2088" s="12" t="s">
        <v>5642</v>
      </c>
      <c r="B2088" s="13"/>
      <c r="C2088" t="e">
        <f t="shared" si="0"/>
        <v>#N/A</v>
      </c>
      <c r="D2088" t="b">
        <f t="shared" si="1"/>
        <v>0</v>
      </c>
      <c r="E2088">
        <f t="shared" si="2"/>
        <v>0</v>
      </c>
      <c r="F2088" s="11"/>
    </row>
    <row r="2089" spans="1:6" ht="16" x14ac:dyDescent="0.2">
      <c r="A2089" s="12" t="s">
        <v>5643</v>
      </c>
      <c r="B2089" s="13"/>
      <c r="C2089" t="e">
        <f t="shared" si="0"/>
        <v>#N/A</v>
      </c>
      <c r="D2089" t="b">
        <f t="shared" si="1"/>
        <v>0</v>
      </c>
      <c r="E2089">
        <f t="shared" si="2"/>
        <v>0</v>
      </c>
      <c r="F2089" s="11"/>
    </row>
    <row r="2090" spans="1:6" ht="16" x14ac:dyDescent="0.2">
      <c r="A2090" s="12" t="s">
        <v>5644</v>
      </c>
      <c r="B2090" s="13"/>
      <c r="C2090" t="e">
        <f t="shared" si="0"/>
        <v>#N/A</v>
      </c>
      <c r="D2090" t="b">
        <f t="shared" si="1"/>
        <v>0</v>
      </c>
      <c r="E2090">
        <f t="shared" si="2"/>
        <v>0</v>
      </c>
      <c r="F2090" s="11"/>
    </row>
    <row r="2091" spans="1:6" ht="16" x14ac:dyDescent="0.2">
      <c r="A2091" s="12" t="s">
        <v>5645</v>
      </c>
      <c r="B2091" s="13"/>
      <c r="C2091" t="e">
        <f t="shared" si="0"/>
        <v>#N/A</v>
      </c>
      <c r="D2091" t="b">
        <f t="shared" si="1"/>
        <v>0</v>
      </c>
      <c r="E2091">
        <f t="shared" si="2"/>
        <v>0</v>
      </c>
      <c r="F2091" s="11"/>
    </row>
    <row r="2092" spans="1:6" ht="16" x14ac:dyDescent="0.2">
      <c r="A2092" s="12" t="s">
        <v>5646</v>
      </c>
      <c r="B2092" s="13"/>
      <c r="C2092" t="e">
        <f t="shared" si="0"/>
        <v>#N/A</v>
      </c>
      <c r="D2092" t="b">
        <f t="shared" si="1"/>
        <v>0</v>
      </c>
      <c r="E2092">
        <f t="shared" si="2"/>
        <v>0</v>
      </c>
      <c r="F2092" s="11"/>
    </row>
    <row r="2093" spans="1:6" ht="16" x14ac:dyDescent="0.2">
      <c r="A2093" s="12" t="s">
        <v>5647</v>
      </c>
      <c r="B2093" s="13"/>
      <c r="C2093" t="e">
        <f t="shared" si="0"/>
        <v>#N/A</v>
      </c>
      <c r="D2093" t="b">
        <f t="shared" si="1"/>
        <v>0</v>
      </c>
      <c r="E2093">
        <f t="shared" si="2"/>
        <v>0</v>
      </c>
      <c r="F2093" s="11"/>
    </row>
    <row r="2094" spans="1:6" ht="16" x14ac:dyDescent="0.2">
      <c r="A2094" s="12" t="s">
        <v>5648</v>
      </c>
      <c r="B2094" s="13"/>
      <c r="C2094" t="e">
        <f t="shared" si="0"/>
        <v>#N/A</v>
      </c>
      <c r="D2094" t="b">
        <f t="shared" si="1"/>
        <v>0</v>
      </c>
      <c r="E2094">
        <f t="shared" si="2"/>
        <v>0</v>
      </c>
      <c r="F2094" s="11"/>
    </row>
    <row r="2095" spans="1:6" ht="16" x14ac:dyDescent="0.2">
      <c r="A2095" s="12" t="s">
        <v>5649</v>
      </c>
      <c r="B2095" s="13"/>
      <c r="C2095" t="e">
        <f t="shared" si="0"/>
        <v>#N/A</v>
      </c>
      <c r="D2095" t="b">
        <f t="shared" si="1"/>
        <v>0</v>
      </c>
      <c r="E2095">
        <f t="shared" si="2"/>
        <v>0</v>
      </c>
      <c r="F2095" s="11"/>
    </row>
    <row r="2096" spans="1:6" ht="16" x14ac:dyDescent="0.2">
      <c r="A2096" s="12" t="s">
        <v>5650</v>
      </c>
      <c r="B2096" s="13"/>
      <c r="C2096" t="e">
        <f t="shared" si="0"/>
        <v>#N/A</v>
      </c>
      <c r="D2096" t="b">
        <f t="shared" si="1"/>
        <v>0</v>
      </c>
      <c r="E2096">
        <f t="shared" si="2"/>
        <v>0</v>
      </c>
      <c r="F2096" s="11"/>
    </row>
    <row r="2097" spans="1:6" ht="16" x14ac:dyDescent="0.2">
      <c r="A2097" s="12" t="s">
        <v>5651</v>
      </c>
      <c r="B2097" s="13"/>
      <c r="C2097" t="e">
        <f t="shared" si="0"/>
        <v>#N/A</v>
      </c>
      <c r="D2097" t="b">
        <f t="shared" si="1"/>
        <v>0</v>
      </c>
      <c r="E2097">
        <f t="shared" si="2"/>
        <v>0</v>
      </c>
      <c r="F2097" s="11"/>
    </row>
    <row r="2098" spans="1:6" ht="16" x14ac:dyDescent="0.2">
      <c r="A2098" s="12" t="s">
        <v>5652</v>
      </c>
      <c r="B2098" s="13"/>
      <c r="C2098" t="e">
        <f t="shared" si="0"/>
        <v>#N/A</v>
      </c>
      <c r="D2098" t="b">
        <f t="shared" si="1"/>
        <v>0</v>
      </c>
      <c r="E2098">
        <f t="shared" si="2"/>
        <v>0</v>
      </c>
      <c r="F2098" s="11"/>
    </row>
    <row r="2099" spans="1:6" ht="16" x14ac:dyDescent="0.2">
      <c r="A2099" s="12" t="s">
        <v>5653</v>
      </c>
      <c r="B2099" s="13"/>
      <c r="C2099" t="e">
        <f t="shared" si="0"/>
        <v>#N/A</v>
      </c>
      <c r="D2099" t="b">
        <f t="shared" si="1"/>
        <v>0</v>
      </c>
      <c r="E2099">
        <f t="shared" si="2"/>
        <v>0</v>
      </c>
      <c r="F2099" s="11"/>
    </row>
    <row r="2100" spans="1:6" ht="16" x14ac:dyDescent="0.2">
      <c r="A2100" s="12" t="s">
        <v>5654</v>
      </c>
      <c r="B2100" s="13"/>
      <c r="C2100" t="e">
        <f t="shared" si="0"/>
        <v>#N/A</v>
      </c>
      <c r="D2100" t="b">
        <f t="shared" si="1"/>
        <v>0</v>
      </c>
      <c r="E2100">
        <f t="shared" si="2"/>
        <v>0</v>
      </c>
      <c r="F2100" s="11"/>
    </row>
    <row r="2101" spans="1:6" ht="16" x14ac:dyDescent="0.2">
      <c r="A2101" s="12" t="s">
        <v>5655</v>
      </c>
      <c r="B2101" s="13"/>
      <c r="C2101" t="e">
        <f t="shared" si="0"/>
        <v>#N/A</v>
      </c>
      <c r="D2101" t="b">
        <f t="shared" si="1"/>
        <v>0</v>
      </c>
      <c r="E2101">
        <f t="shared" si="2"/>
        <v>0</v>
      </c>
      <c r="F2101" s="11"/>
    </row>
    <row r="2102" spans="1:6" ht="16" x14ac:dyDescent="0.2">
      <c r="A2102" s="12" t="s">
        <v>5656</v>
      </c>
      <c r="B2102" s="13"/>
      <c r="C2102" t="e">
        <f t="shared" si="0"/>
        <v>#N/A</v>
      </c>
      <c r="D2102" t="b">
        <f t="shared" si="1"/>
        <v>0</v>
      </c>
      <c r="E2102">
        <f t="shared" si="2"/>
        <v>0</v>
      </c>
      <c r="F2102" s="11"/>
    </row>
    <row r="2103" spans="1:6" ht="16" x14ac:dyDescent="0.2">
      <c r="A2103" s="12" t="s">
        <v>5657</v>
      </c>
      <c r="B2103" s="13"/>
      <c r="C2103" t="e">
        <f t="shared" si="0"/>
        <v>#N/A</v>
      </c>
      <c r="D2103" t="b">
        <f t="shared" si="1"/>
        <v>0</v>
      </c>
      <c r="E2103">
        <f t="shared" si="2"/>
        <v>0</v>
      </c>
      <c r="F2103" s="11"/>
    </row>
    <row r="2104" spans="1:6" ht="16" x14ac:dyDescent="0.2">
      <c r="A2104" s="12" t="s">
        <v>5658</v>
      </c>
      <c r="B2104" s="13"/>
      <c r="C2104" t="e">
        <f t="shared" si="0"/>
        <v>#N/A</v>
      </c>
      <c r="D2104" t="b">
        <f t="shared" si="1"/>
        <v>0</v>
      </c>
      <c r="E2104">
        <f t="shared" si="2"/>
        <v>0</v>
      </c>
      <c r="F2104" s="11"/>
    </row>
    <row r="2105" spans="1:6" ht="16" x14ac:dyDescent="0.2">
      <c r="A2105" s="12" t="s">
        <v>5659</v>
      </c>
      <c r="B2105" s="13"/>
      <c r="C2105" t="e">
        <f t="shared" si="0"/>
        <v>#N/A</v>
      </c>
      <c r="D2105" t="b">
        <f t="shared" si="1"/>
        <v>0</v>
      </c>
      <c r="E2105">
        <f t="shared" si="2"/>
        <v>0</v>
      </c>
      <c r="F2105" s="11"/>
    </row>
    <row r="2106" spans="1:6" ht="16" x14ac:dyDescent="0.2">
      <c r="A2106" s="12" t="s">
        <v>5660</v>
      </c>
      <c r="B2106" s="13"/>
      <c r="C2106" t="e">
        <f t="shared" si="0"/>
        <v>#N/A</v>
      </c>
      <c r="D2106" t="b">
        <f t="shared" si="1"/>
        <v>0</v>
      </c>
      <c r="E2106">
        <f t="shared" si="2"/>
        <v>0</v>
      </c>
      <c r="F2106" s="11"/>
    </row>
    <row r="2107" spans="1:6" ht="16" x14ac:dyDescent="0.2">
      <c r="A2107" s="12" t="s">
        <v>5661</v>
      </c>
      <c r="B2107" s="13"/>
      <c r="C2107" t="e">
        <f t="shared" si="0"/>
        <v>#N/A</v>
      </c>
      <c r="D2107" t="b">
        <f t="shared" si="1"/>
        <v>0</v>
      </c>
      <c r="E2107">
        <f t="shared" si="2"/>
        <v>0</v>
      </c>
      <c r="F2107" s="11"/>
    </row>
    <row r="2108" spans="1:6" ht="16" x14ac:dyDescent="0.2">
      <c r="A2108" s="12" t="s">
        <v>5662</v>
      </c>
      <c r="B2108" s="13"/>
      <c r="C2108" t="e">
        <f t="shared" si="0"/>
        <v>#N/A</v>
      </c>
      <c r="D2108" t="b">
        <f t="shared" si="1"/>
        <v>0</v>
      </c>
      <c r="E2108">
        <f t="shared" si="2"/>
        <v>0</v>
      </c>
      <c r="F2108" s="11"/>
    </row>
    <row r="2109" spans="1:6" ht="16" x14ac:dyDescent="0.2">
      <c r="A2109" s="12" t="s">
        <v>5663</v>
      </c>
      <c r="B2109" s="13"/>
      <c r="C2109" t="e">
        <f t="shared" si="0"/>
        <v>#N/A</v>
      </c>
      <c r="D2109" t="b">
        <f t="shared" si="1"/>
        <v>0</v>
      </c>
      <c r="E2109">
        <f t="shared" si="2"/>
        <v>0</v>
      </c>
      <c r="F2109" s="11"/>
    </row>
    <row r="2110" spans="1:6" ht="16" x14ac:dyDescent="0.2">
      <c r="A2110" s="12" t="s">
        <v>5664</v>
      </c>
      <c r="B2110" s="13"/>
      <c r="C2110" t="e">
        <f t="shared" si="0"/>
        <v>#N/A</v>
      </c>
      <c r="D2110" t="b">
        <f t="shared" si="1"/>
        <v>0</v>
      </c>
      <c r="E2110">
        <f t="shared" si="2"/>
        <v>0</v>
      </c>
      <c r="F2110" s="11"/>
    </row>
    <row r="2111" spans="1:6" ht="16" x14ac:dyDescent="0.2">
      <c r="A2111" s="12" t="s">
        <v>5665</v>
      </c>
      <c r="B2111" s="13"/>
      <c r="C2111" t="e">
        <f t="shared" si="0"/>
        <v>#N/A</v>
      </c>
      <c r="D2111" t="b">
        <f t="shared" si="1"/>
        <v>0</v>
      </c>
      <c r="E2111">
        <f t="shared" si="2"/>
        <v>0</v>
      </c>
      <c r="F2111" s="11"/>
    </row>
    <row r="2112" spans="1:6" ht="16" x14ac:dyDescent="0.2">
      <c r="A2112" s="12" t="s">
        <v>5666</v>
      </c>
      <c r="B2112" s="13"/>
      <c r="C2112" t="e">
        <f t="shared" si="0"/>
        <v>#N/A</v>
      </c>
      <c r="D2112" t="b">
        <f t="shared" si="1"/>
        <v>0</v>
      </c>
      <c r="E2112">
        <f t="shared" si="2"/>
        <v>0</v>
      </c>
      <c r="F2112" s="11"/>
    </row>
    <row r="2113" spans="1:6" ht="16" x14ac:dyDescent="0.2">
      <c r="A2113" s="12" t="s">
        <v>5667</v>
      </c>
      <c r="B2113" s="13"/>
      <c r="C2113" t="e">
        <f t="shared" si="0"/>
        <v>#N/A</v>
      </c>
      <c r="D2113" t="b">
        <f t="shared" si="1"/>
        <v>0</v>
      </c>
      <c r="E2113">
        <f t="shared" si="2"/>
        <v>0</v>
      </c>
      <c r="F2113" s="11"/>
    </row>
    <row r="2114" spans="1:6" ht="16" x14ac:dyDescent="0.2">
      <c r="A2114" s="12" t="s">
        <v>5668</v>
      </c>
      <c r="B2114" s="13"/>
      <c r="C2114" t="e">
        <f t="shared" si="0"/>
        <v>#N/A</v>
      </c>
      <c r="D2114" t="b">
        <f t="shared" si="1"/>
        <v>0</v>
      </c>
      <c r="E2114">
        <f t="shared" si="2"/>
        <v>0</v>
      </c>
      <c r="F2114" s="11"/>
    </row>
    <row r="2115" spans="1:6" ht="16" x14ac:dyDescent="0.2">
      <c r="A2115" s="12" t="s">
        <v>5669</v>
      </c>
      <c r="B2115" s="13"/>
      <c r="C2115" t="e">
        <f t="shared" si="0"/>
        <v>#N/A</v>
      </c>
      <c r="D2115" t="b">
        <f t="shared" si="1"/>
        <v>0</v>
      </c>
      <c r="E2115">
        <f t="shared" si="2"/>
        <v>0</v>
      </c>
      <c r="F2115" s="11"/>
    </row>
    <row r="2116" spans="1:6" ht="16" x14ac:dyDescent="0.2">
      <c r="A2116" s="12" t="s">
        <v>5670</v>
      </c>
      <c r="B2116" s="13"/>
      <c r="C2116" t="e">
        <f t="shared" si="0"/>
        <v>#N/A</v>
      </c>
      <c r="D2116" t="b">
        <f t="shared" si="1"/>
        <v>0</v>
      </c>
      <c r="E2116">
        <f t="shared" si="2"/>
        <v>0</v>
      </c>
      <c r="F2116" s="11"/>
    </row>
    <row r="2117" spans="1:6" ht="16" x14ac:dyDescent="0.2">
      <c r="A2117" s="12" t="s">
        <v>5671</v>
      </c>
      <c r="B2117" s="13"/>
      <c r="C2117" t="e">
        <f t="shared" si="0"/>
        <v>#N/A</v>
      </c>
      <c r="D2117" t="b">
        <f t="shared" si="1"/>
        <v>0</v>
      </c>
      <c r="E2117">
        <f t="shared" si="2"/>
        <v>0</v>
      </c>
      <c r="F2117" s="11"/>
    </row>
    <row r="2118" spans="1:6" ht="16" x14ac:dyDescent="0.2">
      <c r="A2118" s="12" t="s">
        <v>5672</v>
      </c>
      <c r="B2118" s="13"/>
      <c r="C2118" t="e">
        <f t="shared" si="0"/>
        <v>#N/A</v>
      </c>
      <c r="D2118" t="b">
        <f t="shared" si="1"/>
        <v>0</v>
      </c>
      <c r="E2118">
        <f t="shared" si="2"/>
        <v>0</v>
      </c>
      <c r="F2118" s="11"/>
    </row>
    <row r="2119" spans="1:6" ht="16" x14ac:dyDescent="0.2">
      <c r="A2119" s="12" t="s">
        <v>5673</v>
      </c>
      <c r="B2119" s="13"/>
      <c r="C2119" t="e">
        <f t="shared" si="0"/>
        <v>#N/A</v>
      </c>
      <c r="D2119" t="b">
        <f t="shared" si="1"/>
        <v>0</v>
      </c>
      <c r="E2119">
        <f t="shared" si="2"/>
        <v>0</v>
      </c>
      <c r="F2119" s="11"/>
    </row>
    <row r="2120" spans="1:6" ht="16" x14ac:dyDescent="0.2">
      <c r="A2120" s="12" t="s">
        <v>5674</v>
      </c>
      <c r="B2120" s="13"/>
      <c r="C2120" t="e">
        <f t="shared" si="0"/>
        <v>#N/A</v>
      </c>
      <c r="D2120" t="b">
        <f t="shared" si="1"/>
        <v>0</v>
      </c>
      <c r="E2120">
        <f t="shared" si="2"/>
        <v>0</v>
      </c>
      <c r="F2120" s="11"/>
    </row>
    <row r="2121" spans="1:6" ht="16" x14ac:dyDescent="0.2">
      <c r="A2121" s="12" t="s">
        <v>5675</v>
      </c>
      <c r="B2121" s="13"/>
      <c r="C2121" t="e">
        <f t="shared" si="0"/>
        <v>#N/A</v>
      </c>
      <c r="D2121" t="b">
        <f t="shared" si="1"/>
        <v>0</v>
      </c>
      <c r="E2121">
        <f t="shared" si="2"/>
        <v>0</v>
      </c>
      <c r="F2121" s="11"/>
    </row>
    <row r="2122" spans="1:6" ht="16" x14ac:dyDescent="0.2">
      <c r="A2122" s="12" t="s">
        <v>5676</v>
      </c>
      <c r="B2122" s="13"/>
      <c r="C2122" t="e">
        <f t="shared" si="0"/>
        <v>#N/A</v>
      </c>
      <c r="D2122" t="b">
        <f t="shared" si="1"/>
        <v>0</v>
      </c>
      <c r="E2122">
        <f t="shared" si="2"/>
        <v>0</v>
      </c>
      <c r="F2122" s="11"/>
    </row>
    <row r="2123" spans="1:6" ht="16" x14ac:dyDescent="0.2">
      <c r="A2123" s="12" t="s">
        <v>5677</v>
      </c>
      <c r="B2123" s="13"/>
      <c r="C2123" t="e">
        <f t="shared" si="0"/>
        <v>#N/A</v>
      </c>
      <c r="D2123" t="b">
        <f t="shared" si="1"/>
        <v>0</v>
      </c>
      <c r="E2123">
        <f t="shared" si="2"/>
        <v>0</v>
      </c>
      <c r="F2123" s="11"/>
    </row>
    <row r="2124" spans="1:6" ht="16" x14ac:dyDescent="0.2">
      <c r="A2124" s="12" t="s">
        <v>5678</v>
      </c>
      <c r="B2124" s="13"/>
      <c r="C2124" t="e">
        <f t="shared" si="0"/>
        <v>#N/A</v>
      </c>
      <c r="D2124" t="b">
        <f t="shared" si="1"/>
        <v>0</v>
      </c>
      <c r="E2124">
        <f t="shared" si="2"/>
        <v>0</v>
      </c>
      <c r="F2124" s="11"/>
    </row>
    <row r="2125" spans="1:6" ht="16" x14ac:dyDescent="0.2">
      <c r="A2125" s="12" t="s">
        <v>5679</v>
      </c>
      <c r="B2125" s="13"/>
      <c r="C2125" t="e">
        <f t="shared" si="0"/>
        <v>#N/A</v>
      </c>
      <c r="D2125" t="b">
        <f t="shared" si="1"/>
        <v>0</v>
      </c>
      <c r="E2125">
        <f t="shared" si="2"/>
        <v>0</v>
      </c>
      <c r="F2125" s="11"/>
    </row>
    <row r="2126" spans="1:6" ht="16" x14ac:dyDescent="0.2">
      <c r="A2126" s="12" t="s">
        <v>5680</v>
      </c>
      <c r="B2126" s="13"/>
      <c r="C2126" t="e">
        <f t="shared" si="0"/>
        <v>#N/A</v>
      </c>
      <c r="D2126" t="b">
        <f t="shared" si="1"/>
        <v>0</v>
      </c>
      <c r="E2126">
        <f t="shared" si="2"/>
        <v>0</v>
      </c>
      <c r="F2126" s="11"/>
    </row>
    <row r="2127" spans="1:6" ht="16" x14ac:dyDescent="0.2">
      <c r="A2127" s="12" t="s">
        <v>5681</v>
      </c>
      <c r="B2127" s="13"/>
      <c r="C2127" t="e">
        <f t="shared" si="0"/>
        <v>#N/A</v>
      </c>
      <c r="D2127" t="b">
        <f t="shared" si="1"/>
        <v>0</v>
      </c>
      <c r="E2127">
        <f t="shared" si="2"/>
        <v>0</v>
      </c>
      <c r="F2127" s="11"/>
    </row>
    <row r="2128" spans="1:6" ht="16" x14ac:dyDescent="0.2">
      <c r="A2128" s="12" t="s">
        <v>5682</v>
      </c>
      <c r="B2128" s="13"/>
      <c r="C2128" t="e">
        <f t="shared" si="0"/>
        <v>#N/A</v>
      </c>
      <c r="D2128" t="b">
        <f t="shared" si="1"/>
        <v>0</v>
      </c>
      <c r="E2128">
        <f t="shared" si="2"/>
        <v>0</v>
      </c>
      <c r="F2128" s="11"/>
    </row>
    <row r="2129" spans="1:6" ht="16" x14ac:dyDescent="0.2">
      <c r="A2129" s="12" t="s">
        <v>5683</v>
      </c>
      <c r="B2129" s="13"/>
      <c r="C2129" t="e">
        <f t="shared" si="0"/>
        <v>#N/A</v>
      </c>
      <c r="D2129" t="b">
        <f t="shared" si="1"/>
        <v>0</v>
      </c>
      <c r="E2129">
        <f t="shared" si="2"/>
        <v>0</v>
      </c>
      <c r="F2129" s="11"/>
    </row>
    <row r="2130" spans="1:6" ht="16" x14ac:dyDescent="0.2">
      <c r="A2130" s="12" t="s">
        <v>5684</v>
      </c>
      <c r="B2130" s="13"/>
      <c r="C2130" t="e">
        <f t="shared" si="0"/>
        <v>#N/A</v>
      </c>
      <c r="D2130" t="b">
        <f t="shared" si="1"/>
        <v>0</v>
      </c>
      <c r="E2130">
        <f t="shared" si="2"/>
        <v>0</v>
      </c>
      <c r="F2130" s="11"/>
    </row>
    <row r="2131" spans="1:6" ht="16" x14ac:dyDescent="0.2">
      <c r="A2131" s="12" t="s">
        <v>5685</v>
      </c>
      <c r="B2131" s="13"/>
      <c r="C2131" t="e">
        <f t="shared" si="0"/>
        <v>#N/A</v>
      </c>
      <c r="D2131" t="b">
        <f t="shared" si="1"/>
        <v>0</v>
      </c>
      <c r="E2131">
        <f t="shared" si="2"/>
        <v>0</v>
      </c>
      <c r="F2131" s="11"/>
    </row>
    <row r="2132" spans="1:6" ht="16" x14ac:dyDescent="0.2">
      <c r="A2132" s="12" t="s">
        <v>5686</v>
      </c>
      <c r="B2132" s="13"/>
      <c r="C2132" t="e">
        <f t="shared" si="0"/>
        <v>#N/A</v>
      </c>
      <c r="D2132" t="b">
        <f t="shared" si="1"/>
        <v>0</v>
      </c>
      <c r="E2132">
        <f t="shared" si="2"/>
        <v>0</v>
      </c>
      <c r="F2132" s="11"/>
    </row>
    <row r="2133" spans="1:6" ht="16" x14ac:dyDescent="0.2">
      <c r="A2133" s="12" t="s">
        <v>5687</v>
      </c>
      <c r="B2133" s="13"/>
      <c r="C2133" t="e">
        <f t="shared" si="0"/>
        <v>#N/A</v>
      </c>
      <c r="D2133" t="b">
        <f t="shared" si="1"/>
        <v>0</v>
      </c>
      <c r="E2133">
        <f t="shared" si="2"/>
        <v>0</v>
      </c>
      <c r="F2133" s="11"/>
    </row>
    <row r="2134" spans="1:6" ht="16" x14ac:dyDescent="0.2">
      <c r="A2134" s="12" t="s">
        <v>5688</v>
      </c>
      <c r="B2134" s="13"/>
      <c r="C2134" t="e">
        <f t="shared" si="0"/>
        <v>#N/A</v>
      </c>
      <c r="D2134" t="b">
        <f t="shared" si="1"/>
        <v>0</v>
      </c>
      <c r="E2134">
        <f t="shared" si="2"/>
        <v>0</v>
      </c>
      <c r="F2134" s="11"/>
    </row>
    <row r="2135" spans="1:6" ht="16" x14ac:dyDescent="0.2">
      <c r="A2135" s="12" t="s">
        <v>5689</v>
      </c>
      <c r="B2135" s="13"/>
      <c r="C2135" t="e">
        <f t="shared" si="0"/>
        <v>#N/A</v>
      </c>
      <c r="D2135" t="b">
        <f t="shared" si="1"/>
        <v>0</v>
      </c>
      <c r="E2135">
        <f t="shared" si="2"/>
        <v>0</v>
      </c>
      <c r="F2135" s="11"/>
    </row>
    <row r="2136" spans="1:6" ht="16" x14ac:dyDescent="0.2">
      <c r="A2136" s="12" t="s">
        <v>5690</v>
      </c>
      <c r="B2136" s="13"/>
      <c r="C2136" t="e">
        <f t="shared" si="0"/>
        <v>#N/A</v>
      </c>
      <c r="D2136" t="b">
        <f t="shared" si="1"/>
        <v>0</v>
      </c>
      <c r="E2136">
        <f t="shared" si="2"/>
        <v>0</v>
      </c>
      <c r="F2136" s="11"/>
    </row>
    <row r="2137" spans="1:6" ht="16" x14ac:dyDescent="0.2">
      <c r="A2137" s="12" t="s">
        <v>5691</v>
      </c>
      <c r="B2137" s="13"/>
      <c r="C2137" t="e">
        <f t="shared" si="0"/>
        <v>#N/A</v>
      </c>
      <c r="D2137" t="b">
        <f t="shared" si="1"/>
        <v>0</v>
      </c>
      <c r="E2137">
        <f t="shared" si="2"/>
        <v>0</v>
      </c>
      <c r="F2137" s="11"/>
    </row>
    <row r="2138" spans="1:6" ht="16" x14ac:dyDescent="0.2">
      <c r="A2138" s="12" t="s">
        <v>5692</v>
      </c>
      <c r="B2138" s="13"/>
      <c r="C2138" t="e">
        <f t="shared" si="0"/>
        <v>#N/A</v>
      </c>
      <c r="D2138" t="b">
        <f t="shared" si="1"/>
        <v>0</v>
      </c>
      <c r="E2138">
        <f t="shared" si="2"/>
        <v>0</v>
      </c>
      <c r="F2138" s="11"/>
    </row>
    <row r="2139" spans="1:6" ht="16" x14ac:dyDescent="0.2">
      <c r="A2139" s="12" t="s">
        <v>5693</v>
      </c>
      <c r="B2139" s="13"/>
      <c r="C2139" t="e">
        <f t="shared" si="0"/>
        <v>#N/A</v>
      </c>
      <c r="D2139" t="b">
        <f t="shared" si="1"/>
        <v>0</v>
      </c>
      <c r="E2139">
        <f t="shared" si="2"/>
        <v>0</v>
      </c>
      <c r="F2139" s="11"/>
    </row>
    <row r="2140" spans="1:6" ht="16" x14ac:dyDescent="0.2">
      <c r="A2140" s="12" t="s">
        <v>5694</v>
      </c>
      <c r="B2140" s="13"/>
      <c r="C2140" t="e">
        <f t="shared" si="0"/>
        <v>#N/A</v>
      </c>
      <c r="D2140" t="b">
        <f t="shared" si="1"/>
        <v>0</v>
      </c>
      <c r="E2140">
        <f t="shared" si="2"/>
        <v>0</v>
      </c>
      <c r="F2140" s="11"/>
    </row>
    <row r="2141" spans="1:6" ht="16" x14ac:dyDescent="0.2">
      <c r="A2141" s="12" t="s">
        <v>5695</v>
      </c>
      <c r="B2141" s="13"/>
      <c r="C2141" t="e">
        <f t="shared" si="0"/>
        <v>#N/A</v>
      </c>
      <c r="D2141" t="b">
        <f t="shared" si="1"/>
        <v>0</v>
      </c>
      <c r="E2141">
        <f t="shared" si="2"/>
        <v>0</v>
      </c>
      <c r="F2141" s="11"/>
    </row>
    <row r="2142" spans="1:6" ht="16" x14ac:dyDescent="0.2">
      <c r="A2142" s="12" t="s">
        <v>5696</v>
      </c>
      <c r="B2142" s="13"/>
      <c r="C2142" t="e">
        <f t="shared" si="0"/>
        <v>#N/A</v>
      </c>
      <c r="D2142" t="b">
        <f t="shared" si="1"/>
        <v>0</v>
      </c>
      <c r="E2142">
        <f t="shared" si="2"/>
        <v>0</v>
      </c>
      <c r="F2142" s="11"/>
    </row>
    <row r="2143" spans="1:6" ht="16" x14ac:dyDescent="0.2">
      <c r="A2143" s="12" t="s">
        <v>5697</v>
      </c>
      <c r="B2143" s="13"/>
      <c r="C2143" t="e">
        <f t="shared" si="0"/>
        <v>#N/A</v>
      </c>
      <c r="D2143" t="b">
        <f t="shared" si="1"/>
        <v>0</v>
      </c>
      <c r="E2143">
        <f t="shared" si="2"/>
        <v>0</v>
      </c>
      <c r="F2143" s="11"/>
    </row>
    <row r="2144" spans="1:6" ht="16" x14ac:dyDescent="0.2">
      <c r="A2144" s="12" t="s">
        <v>5698</v>
      </c>
      <c r="B2144" s="13"/>
      <c r="C2144" t="e">
        <f t="shared" si="0"/>
        <v>#N/A</v>
      </c>
      <c r="D2144" t="b">
        <f t="shared" si="1"/>
        <v>0</v>
      </c>
      <c r="E2144">
        <f t="shared" si="2"/>
        <v>0</v>
      </c>
      <c r="F2144" s="11"/>
    </row>
    <row r="2145" spans="1:6" ht="16" x14ac:dyDescent="0.2">
      <c r="A2145" s="12" t="s">
        <v>5699</v>
      </c>
      <c r="B2145" s="13"/>
      <c r="C2145" t="e">
        <f t="shared" si="0"/>
        <v>#N/A</v>
      </c>
      <c r="D2145" t="b">
        <f t="shared" si="1"/>
        <v>0</v>
      </c>
      <c r="E2145">
        <f t="shared" si="2"/>
        <v>0</v>
      </c>
      <c r="F2145" s="11"/>
    </row>
    <row r="2146" spans="1:6" ht="16" x14ac:dyDescent="0.2">
      <c r="A2146" s="12" t="s">
        <v>5700</v>
      </c>
      <c r="B2146" s="13"/>
      <c r="C2146" t="e">
        <f t="shared" si="0"/>
        <v>#N/A</v>
      </c>
      <c r="D2146" t="b">
        <f t="shared" si="1"/>
        <v>0</v>
      </c>
      <c r="E2146">
        <f t="shared" si="2"/>
        <v>0</v>
      </c>
      <c r="F2146" s="11"/>
    </row>
    <row r="2147" spans="1:6" ht="16" x14ac:dyDescent="0.2">
      <c r="A2147" s="12" t="s">
        <v>5701</v>
      </c>
      <c r="B2147" s="13"/>
      <c r="C2147" t="e">
        <f t="shared" si="0"/>
        <v>#N/A</v>
      </c>
      <c r="D2147" t="b">
        <f t="shared" si="1"/>
        <v>0</v>
      </c>
      <c r="E2147">
        <f t="shared" si="2"/>
        <v>0</v>
      </c>
      <c r="F2147" s="11"/>
    </row>
    <row r="2148" spans="1:6" ht="16" x14ac:dyDescent="0.2">
      <c r="A2148" s="12" t="s">
        <v>5702</v>
      </c>
      <c r="B2148" s="13"/>
      <c r="C2148" t="e">
        <f t="shared" si="0"/>
        <v>#N/A</v>
      </c>
      <c r="D2148" t="b">
        <f t="shared" si="1"/>
        <v>0</v>
      </c>
      <c r="E2148">
        <f t="shared" si="2"/>
        <v>0</v>
      </c>
      <c r="F2148" s="11"/>
    </row>
    <row r="2149" spans="1:6" ht="16" x14ac:dyDescent="0.2">
      <c r="A2149" s="12" t="s">
        <v>5703</v>
      </c>
      <c r="B2149" s="13"/>
      <c r="C2149" t="e">
        <f t="shared" si="0"/>
        <v>#N/A</v>
      </c>
      <c r="D2149" t="b">
        <f t="shared" si="1"/>
        <v>0</v>
      </c>
      <c r="E2149">
        <f t="shared" si="2"/>
        <v>0</v>
      </c>
      <c r="F2149" s="11"/>
    </row>
    <row r="2150" spans="1:6" ht="16" x14ac:dyDescent="0.2">
      <c r="A2150" s="12" t="s">
        <v>5704</v>
      </c>
      <c r="B2150" s="13"/>
      <c r="C2150" t="e">
        <f t="shared" si="0"/>
        <v>#N/A</v>
      </c>
      <c r="D2150" t="b">
        <f t="shared" si="1"/>
        <v>0</v>
      </c>
      <c r="E2150">
        <f t="shared" si="2"/>
        <v>0</v>
      </c>
      <c r="F2150" s="11"/>
    </row>
    <row r="2151" spans="1:6" ht="16" x14ac:dyDescent="0.2">
      <c r="A2151" s="12" t="s">
        <v>5705</v>
      </c>
      <c r="B2151" s="13"/>
      <c r="C2151" t="e">
        <f t="shared" si="0"/>
        <v>#N/A</v>
      </c>
      <c r="D2151" t="b">
        <f t="shared" si="1"/>
        <v>0</v>
      </c>
      <c r="E2151">
        <f t="shared" si="2"/>
        <v>0</v>
      </c>
      <c r="F2151" s="11"/>
    </row>
    <row r="2152" spans="1:6" ht="16" x14ac:dyDescent="0.2">
      <c r="A2152" s="12" t="s">
        <v>5706</v>
      </c>
      <c r="B2152" s="13"/>
      <c r="C2152" t="e">
        <f t="shared" si="0"/>
        <v>#N/A</v>
      </c>
      <c r="D2152" t="b">
        <f t="shared" si="1"/>
        <v>0</v>
      </c>
      <c r="E2152">
        <f t="shared" si="2"/>
        <v>0</v>
      </c>
      <c r="F2152" s="11"/>
    </row>
    <row r="2153" spans="1:6" ht="16" x14ac:dyDescent="0.2">
      <c r="A2153" s="12" t="s">
        <v>5707</v>
      </c>
      <c r="B2153" s="13"/>
      <c r="C2153" t="e">
        <f t="shared" si="0"/>
        <v>#N/A</v>
      </c>
      <c r="D2153" t="b">
        <f t="shared" si="1"/>
        <v>0</v>
      </c>
      <c r="E2153">
        <f t="shared" si="2"/>
        <v>0</v>
      </c>
      <c r="F2153" s="11"/>
    </row>
    <row r="2154" spans="1:6" ht="16" x14ac:dyDescent="0.2">
      <c r="A2154" s="12" t="s">
        <v>5708</v>
      </c>
      <c r="B2154" s="13"/>
      <c r="C2154" t="e">
        <f t="shared" si="0"/>
        <v>#N/A</v>
      </c>
      <c r="D2154" t="b">
        <f t="shared" si="1"/>
        <v>0</v>
      </c>
      <c r="E2154">
        <f t="shared" si="2"/>
        <v>0</v>
      </c>
      <c r="F2154" s="11"/>
    </row>
    <row r="2155" spans="1:6" ht="16" x14ac:dyDescent="0.2">
      <c r="A2155" s="12" t="s">
        <v>5709</v>
      </c>
      <c r="B2155" s="13"/>
      <c r="C2155" t="e">
        <f t="shared" si="0"/>
        <v>#N/A</v>
      </c>
      <c r="D2155" t="b">
        <f t="shared" si="1"/>
        <v>0</v>
      </c>
      <c r="E2155">
        <f t="shared" si="2"/>
        <v>0</v>
      </c>
      <c r="F2155" s="11"/>
    </row>
    <row r="2156" spans="1:6" ht="16" x14ac:dyDescent="0.2">
      <c r="A2156" s="12" t="s">
        <v>5710</v>
      </c>
      <c r="B2156" s="13"/>
      <c r="C2156" t="e">
        <f t="shared" si="0"/>
        <v>#N/A</v>
      </c>
      <c r="D2156" t="b">
        <f t="shared" si="1"/>
        <v>0</v>
      </c>
      <c r="E2156">
        <f t="shared" si="2"/>
        <v>0</v>
      </c>
      <c r="F2156" s="11"/>
    </row>
    <row r="2157" spans="1:6" ht="16" x14ac:dyDescent="0.2">
      <c r="A2157" s="12" t="s">
        <v>5711</v>
      </c>
      <c r="B2157" s="13"/>
      <c r="C2157" t="e">
        <f t="shared" si="0"/>
        <v>#N/A</v>
      </c>
      <c r="D2157" t="b">
        <f t="shared" si="1"/>
        <v>0</v>
      </c>
      <c r="E2157">
        <f t="shared" si="2"/>
        <v>0</v>
      </c>
      <c r="F2157" s="11"/>
    </row>
    <row r="2158" spans="1:6" ht="16" x14ac:dyDescent="0.2">
      <c r="A2158" s="12" t="s">
        <v>5712</v>
      </c>
      <c r="B2158" s="13"/>
      <c r="C2158" t="e">
        <f t="shared" si="0"/>
        <v>#N/A</v>
      </c>
      <c r="D2158" t="b">
        <f t="shared" si="1"/>
        <v>0</v>
      </c>
      <c r="E2158">
        <f t="shared" si="2"/>
        <v>0</v>
      </c>
      <c r="F2158" s="11"/>
    </row>
    <row r="2159" spans="1:6" ht="16" x14ac:dyDescent="0.2">
      <c r="A2159" s="12" t="s">
        <v>5713</v>
      </c>
      <c r="B2159" s="13"/>
      <c r="C2159" t="e">
        <f t="shared" si="0"/>
        <v>#N/A</v>
      </c>
      <c r="D2159" t="b">
        <f t="shared" si="1"/>
        <v>0</v>
      </c>
      <c r="E2159">
        <f t="shared" si="2"/>
        <v>0</v>
      </c>
      <c r="F2159" s="11"/>
    </row>
    <row r="2160" spans="1:6" ht="16" x14ac:dyDescent="0.2">
      <c r="A2160" s="12" t="s">
        <v>5714</v>
      </c>
      <c r="B2160" s="13"/>
      <c r="C2160" t="e">
        <f t="shared" si="0"/>
        <v>#N/A</v>
      </c>
      <c r="D2160" t="b">
        <f t="shared" si="1"/>
        <v>0</v>
      </c>
      <c r="E2160">
        <f t="shared" si="2"/>
        <v>0</v>
      </c>
      <c r="F2160" s="11"/>
    </row>
    <row r="2161" spans="1:6" ht="16" x14ac:dyDescent="0.2">
      <c r="A2161" s="12" t="s">
        <v>5715</v>
      </c>
      <c r="B2161" s="13"/>
      <c r="C2161" t="e">
        <f t="shared" si="0"/>
        <v>#N/A</v>
      </c>
      <c r="D2161" t="b">
        <f t="shared" si="1"/>
        <v>0</v>
      </c>
      <c r="E2161">
        <f t="shared" si="2"/>
        <v>0</v>
      </c>
      <c r="F2161" s="11"/>
    </row>
    <row r="2162" spans="1:6" ht="16" x14ac:dyDescent="0.2">
      <c r="A2162" s="12" t="s">
        <v>5716</v>
      </c>
      <c r="B2162" s="13"/>
      <c r="C2162" t="e">
        <f t="shared" si="0"/>
        <v>#N/A</v>
      </c>
      <c r="D2162" t="b">
        <f t="shared" si="1"/>
        <v>0</v>
      </c>
      <c r="E2162">
        <f t="shared" si="2"/>
        <v>0</v>
      </c>
      <c r="F2162" s="11"/>
    </row>
    <row r="2163" spans="1:6" ht="16" x14ac:dyDescent="0.2">
      <c r="A2163" s="12" t="s">
        <v>5717</v>
      </c>
      <c r="B2163" s="13"/>
      <c r="C2163" t="e">
        <f t="shared" si="0"/>
        <v>#N/A</v>
      </c>
      <c r="D2163" t="b">
        <f t="shared" si="1"/>
        <v>0</v>
      </c>
      <c r="E2163">
        <f t="shared" si="2"/>
        <v>0</v>
      </c>
      <c r="F2163" s="11"/>
    </row>
    <row r="2164" spans="1:6" ht="16" x14ac:dyDescent="0.2">
      <c r="A2164" s="12" t="s">
        <v>5718</v>
      </c>
      <c r="B2164" s="13"/>
      <c r="C2164" t="e">
        <f t="shared" si="0"/>
        <v>#N/A</v>
      </c>
      <c r="D2164" t="b">
        <f t="shared" si="1"/>
        <v>0</v>
      </c>
      <c r="E2164">
        <f t="shared" si="2"/>
        <v>0</v>
      </c>
      <c r="F2164" s="11"/>
    </row>
    <row r="2165" spans="1:6" ht="16" x14ac:dyDescent="0.2">
      <c r="A2165" s="12" t="s">
        <v>5719</v>
      </c>
      <c r="B2165" s="13"/>
      <c r="C2165" t="e">
        <f t="shared" si="0"/>
        <v>#N/A</v>
      </c>
      <c r="D2165" t="b">
        <f t="shared" si="1"/>
        <v>0</v>
      </c>
      <c r="E2165">
        <f t="shared" si="2"/>
        <v>0</v>
      </c>
      <c r="F2165" s="11"/>
    </row>
    <row r="2166" spans="1:6" ht="16" x14ac:dyDescent="0.2">
      <c r="A2166" s="12" t="s">
        <v>5720</v>
      </c>
      <c r="B2166" s="13"/>
      <c r="C2166" t="e">
        <f t="shared" si="0"/>
        <v>#N/A</v>
      </c>
      <c r="D2166" t="b">
        <f t="shared" si="1"/>
        <v>0</v>
      </c>
      <c r="E2166">
        <f t="shared" si="2"/>
        <v>0</v>
      </c>
      <c r="F2166" s="11"/>
    </row>
    <row r="2167" spans="1:6" ht="16" x14ac:dyDescent="0.2">
      <c r="A2167" s="12" t="s">
        <v>5721</v>
      </c>
      <c r="B2167" s="13"/>
      <c r="C2167" t="e">
        <f t="shared" si="0"/>
        <v>#N/A</v>
      </c>
      <c r="D2167" t="b">
        <f t="shared" si="1"/>
        <v>0</v>
      </c>
      <c r="E2167">
        <f t="shared" si="2"/>
        <v>0</v>
      </c>
      <c r="F2167" s="11"/>
    </row>
    <row r="2168" spans="1:6" ht="16" x14ac:dyDescent="0.2">
      <c r="A2168" s="12" t="s">
        <v>5722</v>
      </c>
      <c r="B2168" s="13"/>
      <c r="C2168" t="e">
        <f t="shared" si="0"/>
        <v>#N/A</v>
      </c>
      <c r="D2168" t="b">
        <f t="shared" si="1"/>
        <v>0</v>
      </c>
      <c r="E2168">
        <f t="shared" si="2"/>
        <v>0</v>
      </c>
      <c r="F2168" s="11"/>
    </row>
    <row r="2169" spans="1:6" ht="16" x14ac:dyDescent="0.2">
      <c r="A2169" s="12" t="s">
        <v>5723</v>
      </c>
      <c r="B2169" s="13"/>
      <c r="C2169" t="e">
        <f t="shared" si="0"/>
        <v>#N/A</v>
      </c>
      <c r="D2169" t="b">
        <f t="shared" si="1"/>
        <v>0</v>
      </c>
      <c r="E2169">
        <f t="shared" si="2"/>
        <v>0</v>
      </c>
      <c r="F2169" s="11"/>
    </row>
    <row r="2170" spans="1:6" ht="16" x14ac:dyDescent="0.2">
      <c r="A2170" s="12" t="s">
        <v>5724</v>
      </c>
      <c r="B2170" s="13"/>
      <c r="C2170" t="e">
        <f t="shared" si="0"/>
        <v>#N/A</v>
      </c>
      <c r="D2170" t="b">
        <f t="shared" si="1"/>
        <v>0</v>
      </c>
      <c r="E2170">
        <f t="shared" si="2"/>
        <v>0</v>
      </c>
      <c r="F2170" s="11"/>
    </row>
    <row r="2171" spans="1:6" ht="16" x14ac:dyDescent="0.2">
      <c r="A2171" s="12" t="s">
        <v>5725</v>
      </c>
      <c r="B2171" s="13"/>
      <c r="C2171" t="e">
        <f t="shared" si="0"/>
        <v>#N/A</v>
      </c>
      <c r="D2171" t="b">
        <f t="shared" si="1"/>
        <v>0</v>
      </c>
      <c r="E2171">
        <f t="shared" si="2"/>
        <v>0</v>
      </c>
      <c r="F2171" s="11"/>
    </row>
    <row r="2172" spans="1:6" ht="16" x14ac:dyDescent="0.2">
      <c r="A2172" s="12" t="s">
        <v>5726</v>
      </c>
      <c r="B2172" s="13"/>
      <c r="C2172" t="e">
        <f t="shared" si="0"/>
        <v>#N/A</v>
      </c>
      <c r="D2172" t="b">
        <f t="shared" si="1"/>
        <v>0</v>
      </c>
      <c r="E2172">
        <f t="shared" si="2"/>
        <v>0</v>
      </c>
      <c r="F2172" s="11"/>
    </row>
    <row r="2173" spans="1:6" ht="16" x14ac:dyDescent="0.2">
      <c r="A2173" s="12" t="s">
        <v>5727</v>
      </c>
      <c r="B2173" s="13"/>
      <c r="C2173" t="e">
        <f t="shared" si="0"/>
        <v>#N/A</v>
      </c>
      <c r="D2173" t="b">
        <f t="shared" si="1"/>
        <v>0</v>
      </c>
      <c r="E2173">
        <f t="shared" si="2"/>
        <v>0</v>
      </c>
      <c r="F2173" s="11"/>
    </row>
    <row r="2174" spans="1:6" ht="16" x14ac:dyDescent="0.2">
      <c r="A2174" s="12" t="s">
        <v>5728</v>
      </c>
      <c r="B2174" s="13"/>
      <c r="C2174" t="e">
        <f t="shared" si="0"/>
        <v>#N/A</v>
      </c>
      <c r="D2174" t="b">
        <f t="shared" si="1"/>
        <v>0</v>
      </c>
      <c r="E2174">
        <f t="shared" si="2"/>
        <v>0</v>
      </c>
      <c r="F2174" s="11"/>
    </row>
    <row r="2175" spans="1:6" ht="16" x14ac:dyDescent="0.2">
      <c r="A2175" s="12" t="s">
        <v>5729</v>
      </c>
      <c r="B2175" s="13"/>
      <c r="C2175" t="e">
        <f t="shared" si="0"/>
        <v>#N/A</v>
      </c>
      <c r="D2175" t="b">
        <f t="shared" si="1"/>
        <v>0</v>
      </c>
      <c r="E2175">
        <f t="shared" si="2"/>
        <v>0</v>
      </c>
      <c r="F2175" s="11"/>
    </row>
    <row r="2176" spans="1:6" ht="16" x14ac:dyDescent="0.2">
      <c r="A2176" s="12" t="s">
        <v>5730</v>
      </c>
      <c r="B2176" s="13"/>
      <c r="C2176" t="e">
        <f t="shared" si="0"/>
        <v>#N/A</v>
      </c>
      <c r="D2176" t="b">
        <f t="shared" si="1"/>
        <v>0</v>
      </c>
      <c r="E2176">
        <f t="shared" si="2"/>
        <v>0</v>
      </c>
      <c r="F2176" s="11"/>
    </row>
    <row r="2177" spans="1:6" ht="16" x14ac:dyDescent="0.2">
      <c r="A2177" s="12" t="s">
        <v>5731</v>
      </c>
      <c r="B2177" s="13"/>
      <c r="C2177" t="e">
        <f t="shared" si="0"/>
        <v>#N/A</v>
      </c>
      <c r="D2177" t="b">
        <f t="shared" si="1"/>
        <v>0</v>
      </c>
      <c r="E2177">
        <f t="shared" si="2"/>
        <v>0</v>
      </c>
      <c r="F2177" s="11"/>
    </row>
    <row r="2178" spans="1:6" ht="16" x14ac:dyDescent="0.2">
      <c r="A2178" s="12" t="s">
        <v>5732</v>
      </c>
      <c r="B2178" s="13"/>
      <c r="C2178" t="e">
        <f t="shared" si="0"/>
        <v>#N/A</v>
      </c>
      <c r="D2178" t="b">
        <f t="shared" si="1"/>
        <v>0</v>
      </c>
      <c r="E2178">
        <f t="shared" si="2"/>
        <v>0</v>
      </c>
      <c r="F2178" s="11"/>
    </row>
    <row r="2179" spans="1:6" ht="16" x14ac:dyDescent="0.2">
      <c r="A2179" s="12" t="s">
        <v>5733</v>
      </c>
      <c r="B2179" s="13"/>
      <c r="C2179" t="e">
        <f t="shared" si="0"/>
        <v>#N/A</v>
      </c>
      <c r="D2179" t="b">
        <f t="shared" si="1"/>
        <v>0</v>
      </c>
      <c r="E2179">
        <f t="shared" si="2"/>
        <v>0</v>
      </c>
      <c r="F2179" s="11"/>
    </row>
    <row r="2180" spans="1:6" ht="16" x14ac:dyDescent="0.2">
      <c r="A2180" s="12" t="s">
        <v>5734</v>
      </c>
      <c r="B2180" s="13"/>
      <c r="C2180" t="e">
        <f t="shared" si="0"/>
        <v>#N/A</v>
      </c>
      <c r="D2180" t="b">
        <f t="shared" si="1"/>
        <v>0</v>
      </c>
      <c r="E2180">
        <f t="shared" si="2"/>
        <v>0</v>
      </c>
      <c r="F2180" s="11"/>
    </row>
    <row r="2181" spans="1:6" ht="16" x14ac:dyDescent="0.2">
      <c r="A2181" s="12" t="s">
        <v>5735</v>
      </c>
      <c r="B2181" s="13"/>
      <c r="C2181" t="e">
        <f t="shared" si="0"/>
        <v>#N/A</v>
      </c>
      <c r="D2181" t="b">
        <f t="shared" si="1"/>
        <v>0</v>
      </c>
      <c r="E2181">
        <f t="shared" si="2"/>
        <v>0</v>
      </c>
      <c r="F2181" s="11"/>
    </row>
    <row r="2182" spans="1:6" ht="16" x14ac:dyDescent="0.2">
      <c r="A2182" s="12" t="s">
        <v>5736</v>
      </c>
      <c r="B2182" s="13"/>
      <c r="C2182" t="e">
        <f t="shared" si="0"/>
        <v>#N/A</v>
      </c>
      <c r="D2182" t="b">
        <f t="shared" si="1"/>
        <v>0</v>
      </c>
      <c r="E2182">
        <f t="shared" si="2"/>
        <v>0</v>
      </c>
      <c r="F2182" s="11"/>
    </row>
    <row r="2183" spans="1:6" ht="16" x14ac:dyDescent="0.2">
      <c r="A2183" s="12" t="s">
        <v>5737</v>
      </c>
      <c r="B2183" s="13"/>
      <c r="C2183" t="e">
        <f t="shared" si="0"/>
        <v>#N/A</v>
      </c>
      <c r="D2183" t="b">
        <f t="shared" si="1"/>
        <v>0</v>
      </c>
      <c r="E2183">
        <f t="shared" si="2"/>
        <v>0</v>
      </c>
      <c r="F2183" s="11"/>
    </row>
    <row r="2184" spans="1:6" ht="16" x14ac:dyDescent="0.2">
      <c r="A2184" s="12" t="s">
        <v>5738</v>
      </c>
      <c r="B2184" s="13"/>
      <c r="C2184" t="e">
        <f t="shared" si="0"/>
        <v>#N/A</v>
      </c>
      <c r="D2184" t="b">
        <f t="shared" si="1"/>
        <v>0</v>
      </c>
      <c r="E2184">
        <f t="shared" si="2"/>
        <v>0</v>
      </c>
      <c r="F2184" s="11"/>
    </row>
    <row r="2185" spans="1:6" ht="16" x14ac:dyDescent="0.2">
      <c r="A2185" s="12" t="s">
        <v>5739</v>
      </c>
      <c r="B2185" s="13"/>
      <c r="C2185" t="e">
        <f t="shared" si="0"/>
        <v>#N/A</v>
      </c>
      <c r="D2185" t="b">
        <f t="shared" si="1"/>
        <v>0</v>
      </c>
      <c r="E2185">
        <f t="shared" si="2"/>
        <v>0</v>
      </c>
      <c r="F2185" s="11"/>
    </row>
    <row r="2186" spans="1:6" ht="16" x14ac:dyDescent="0.2">
      <c r="A2186" s="12" t="s">
        <v>5740</v>
      </c>
      <c r="B2186" s="13"/>
      <c r="C2186" t="e">
        <f t="shared" si="0"/>
        <v>#N/A</v>
      </c>
      <c r="D2186" t="b">
        <f t="shared" si="1"/>
        <v>0</v>
      </c>
      <c r="E2186">
        <f t="shared" si="2"/>
        <v>0</v>
      </c>
      <c r="F2186" s="11"/>
    </row>
    <row r="2187" spans="1:6" ht="16" x14ac:dyDescent="0.2">
      <c r="A2187" s="12" t="s">
        <v>5741</v>
      </c>
      <c r="B2187" s="13"/>
      <c r="C2187" t="e">
        <f t="shared" si="0"/>
        <v>#N/A</v>
      </c>
      <c r="D2187" t="b">
        <f t="shared" si="1"/>
        <v>0</v>
      </c>
      <c r="E2187">
        <f t="shared" si="2"/>
        <v>0</v>
      </c>
      <c r="F2187" s="11"/>
    </row>
    <row r="2188" spans="1:6" ht="16" x14ac:dyDescent="0.2">
      <c r="A2188" s="12" t="s">
        <v>5742</v>
      </c>
      <c r="B2188" s="13"/>
      <c r="C2188" t="e">
        <f t="shared" si="0"/>
        <v>#N/A</v>
      </c>
      <c r="D2188" t="b">
        <f t="shared" si="1"/>
        <v>0</v>
      </c>
      <c r="E2188">
        <f t="shared" si="2"/>
        <v>0</v>
      </c>
      <c r="F2188" s="11"/>
    </row>
    <row r="2189" spans="1:6" ht="16" x14ac:dyDescent="0.2">
      <c r="A2189" s="12" t="s">
        <v>5743</v>
      </c>
      <c r="B2189" s="13"/>
      <c r="C2189" t="e">
        <f t="shared" si="0"/>
        <v>#N/A</v>
      </c>
      <c r="D2189" t="b">
        <f t="shared" si="1"/>
        <v>0</v>
      </c>
      <c r="E2189">
        <f t="shared" si="2"/>
        <v>0</v>
      </c>
      <c r="F2189" s="11"/>
    </row>
    <row r="2190" spans="1:6" ht="16" x14ac:dyDescent="0.2">
      <c r="A2190" s="12" t="s">
        <v>5744</v>
      </c>
      <c r="B2190" s="13"/>
      <c r="C2190" t="e">
        <f t="shared" si="0"/>
        <v>#N/A</v>
      </c>
      <c r="D2190" t="b">
        <f t="shared" si="1"/>
        <v>0</v>
      </c>
      <c r="E2190">
        <f t="shared" si="2"/>
        <v>0</v>
      </c>
      <c r="F2190" s="11"/>
    </row>
    <row r="2191" spans="1:6" ht="16" x14ac:dyDescent="0.2">
      <c r="A2191" s="12" t="s">
        <v>5745</v>
      </c>
      <c r="B2191" s="13"/>
      <c r="C2191" t="e">
        <f t="shared" si="0"/>
        <v>#N/A</v>
      </c>
      <c r="D2191" t="b">
        <f t="shared" si="1"/>
        <v>0</v>
      </c>
      <c r="E2191">
        <f t="shared" si="2"/>
        <v>0</v>
      </c>
      <c r="F2191" s="11"/>
    </row>
    <row r="2192" spans="1:6" ht="16" x14ac:dyDescent="0.2">
      <c r="A2192" s="12" t="s">
        <v>5746</v>
      </c>
      <c r="B2192" s="13"/>
      <c r="C2192" t="e">
        <f t="shared" si="0"/>
        <v>#N/A</v>
      </c>
      <c r="D2192" t="b">
        <f t="shared" si="1"/>
        <v>0</v>
      </c>
      <c r="E2192">
        <f t="shared" si="2"/>
        <v>0</v>
      </c>
      <c r="F2192" s="11"/>
    </row>
    <row r="2193" spans="1:6" ht="16" x14ac:dyDescent="0.2">
      <c r="A2193" s="12" t="s">
        <v>5747</v>
      </c>
      <c r="B2193" s="13"/>
      <c r="C2193" t="e">
        <f t="shared" si="0"/>
        <v>#N/A</v>
      </c>
      <c r="D2193" t="b">
        <f t="shared" si="1"/>
        <v>0</v>
      </c>
      <c r="E2193">
        <f t="shared" si="2"/>
        <v>0</v>
      </c>
      <c r="F2193" s="11"/>
    </row>
    <row r="2194" spans="1:6" ht="16" x14ac:dyDescent="0.2">
      <c r="A2194" s="12" t="s">
        <v>5748</v>
      </c>
      <c r="B2194" s="13"/>
      <c r="C2194" t="e">
        <f t="shared" si="0"/>
        <v>#N/A</v>
      </c>
      <c r="D2194" t="b">
        <f t="shared" si="1"/>
        <v>0</v>
      </c>
      <c r="E2194">
        <f t="shared" si="2"/>
        <v>0</v>
      </c>
      <c r="F2194" s="11"/>
    </row>
    <row r="2195" spans="1:6" ht="16" x14ac:dyDescent="0.2">
      <c r="A2195" s="12" t="s">
        <v>5749</v>
      </c>
      <c r="B2195" s="13"/>
      <c r="C2195" t="e">
        <f t="shared" si="0"/>
        <v>#N/A</v>
      </c>
      <c r="D2195" t="b">
        <f t="shared" si="1"/>
        <v>0</v>
      </c>
      <c r="E2195">
        <f t="shared" si="2"/>
        <v>0</v>
      </c>
      <c r="F2195" s="11"/>
    </row>
    <row r="2196" spans="1:6" ht="16" x14ac:dyDescent="0.2">
      <c r="A2196" s="12" t="s">
        <v>5750</v>
      </c>
      <c r="B2196" s="13"/>
      <c r="C2196" t="e">
        <f t="shared" si="0"/>
        <v>#N/A</v>
      </c>
      <c r="D2196" t="b">
        <f t="shared" si="1"/>
        <v>0</v>
      </c>
      <c r="E2196">
        <f t="shared" si="2"/>
        <v>0</v>
      </c>
      <c r="F2196" s="11"/>
    </row>
    <row r="2197" spans="1:6" ht="16" x14ac:dyDescent="0.2">
      <c r="A2197" s="12" t="s">
        <v>5751</v>
      </c>
      <c r="B2197" s="13"/>
      <c r="C2197" t="e">
        <f t="shared" si="0"/>
        <v>#N/A</v>
      </c>
      <c r="D2197" t="b">
        <f t="shared" si="1"/>
        <v>0</v>
      </c>
      <c r="E2197">
        <f t="shared" si="2"/>
        <v>0</v>
      </c>
      <c r="F2197" s="11"/>
    </row>
    <row r="2198" spans="1:6" ht="16" x14ac:dyDescent="0.2">
      <c r="A2198" s="12" t="s">
        <v>5752</v>
      </c>
      <c r="B2198" s="13"/>
      <c r="C2198" t="e">
        <f t="shared" si="0"/>
        <v>#N/A</v>
      </c>
      <c r="D2198" t="b">
        <f t="shared" si="1"/>
        <v>0</v>
      </c>
      <c r="E2198">
        <f t="shared" si="2"/>
        <v>0</v>
      </c>
      <c r="F2198" s="11"/>
    </row>
    <row r="2199" spans="1:6" ht="16" x14ac:dyDescent="0.2">
      <c r="A2199" s="12" t="s">
        <v>5753</v>
      </c>
      <c r="B2199" s="13"/>
      <c r="C2199" t="e">
        <f t="shared" si="0"/>
        <v>#N/A</v>
      </c>
      <c r="D2199" t="b">
        <f t="shared" si="1"/>
        <v>0</v>
      </c>
      <c r="E2199">
        <f t="shared" si="2"/>
        <v>0</v>
      </c>
      <c r="F2199" s="11"/>
    </row>
    <row r="2200" spans="1:6" ht="16" x14ac:dyDescent="0.2">
      <c r="A2200" s="12" t="s">
        <v>5754</v>
      </c>
      <c r="B2200" s="13"/>
      <c r="C2200" t="e">
        <f t="shared" si="0"/>
        <v>#N/A</v>
      </c>
      <c r="D2200" t="b">
        <f t="shared" si="1"/>
        <v>0</v>
      </c>
      <c r="E2200">
        <f t="shared" si="2"/>
        <v>0</v>
      </c>
      <c r="F2200" s="11"/>
    </row>
    <row r="2201" spans="1:6" ht="16" x14ac:dyDescent="0.2">
      <c r="A2201" s="12" t="s">
        <v>5755</v>
      </c>
      <c r="B2201" s="13"/>
      <c r="C2201" t="e">
        <f t="shared" si="0"/>
        <v>#N/A</v>
      </c>
      <c r="D2201" t="b">
        <f t="shared" si="1"/>
        <v>0</v>
      </c>
      <c r="E2201">
        <f t="shared" si="2"/>
        <v>0</v>
      </c>
      <c r="F2201" s="11"/>
    </row>
    <row r="2202" spans="1:6" ht="16" x14ac:dyDescent="0.2">
      <c r="A2202" s="12" t="s">
        <v>5756</v>
      </c>
      <c r="B2202" s="13"/>
      <c r="C2202" t="e">
        <f t="shared" si="0"/>
        <v>#N/A</v>
      </c>
      <c r="D2202" t="b">
        <f t="shared" si="1"/>
        <v>0</v>
      </c>
      <c r="E2202">
        <f t="shared" si="2"/>
        <v>0</v>
      </c>
      <c r="F2202" s="11"/>
    </row>
    <row r="2203" spans="1:6" ht="16" x14ac:dyDescent="0.2">
      <c r="A2203" s="12" t="s">
        <v>5757</v>
      </c>
      <c r="B2203" s="13"/>
      <c r="C2203" t="e">
        <f t="shared" si="0"/>
        <v>#N/A</v>
      </c>
      <c r="D2203" t="b">
        <f t="shared" si="1"/>
        <v>0</v>
      </c>
      <c r="E2203">
        <f t="shared" si="2"/>
        <v>0</v>
      </c>
      <c r="F2203" s="11"/>
    </row>
    <row r="2204" spans="1:6" ht="16" x14ac:dyDescent="0.2">
      <c r="A2204" s="12" t="s">
        <v>5758</v>
      </c>
      <c r="B2204" s="13"/>
      <c r="C2204" t="e">
        <f t="shared" si="0"/>
        <v>#N/A</v>
      </c>
      <c r="D2204" t="b">
        <f t="shared" si="1"/>
        <v>0</v>
      </c>
      <c r="E2204">
        <f t="shared" si="2"/>
        <v>0</v>
      </c>
      <c r="F2204" s="11"/>
    </row>
    <row r="2205" spans="1:6" ht="16" x14ac:dyDescent="0.2">
      <c r="A2205" s="12" t="s">
        <v>5759</v>
      </c>
      <c r="B2205" s="13"/>
      <c r="C2205" t="e">
        <f t="shared" si="0"/>
        <v>#N/A</v>
      </c>
      <c r="D2205" t="b">
        <f t="shared" si="1"/>
        <v>0</v>
      </c>
      <c r="E2205">
        <f t="shared" si="2"/>
        <v>0</v>
      </c>
      <c r="F2205" s="11"/>
    </row>
    <row r="2206" spans="1:6" ht="16" x14ac:dyDescent="0.2">
      <c r="A2206" s="12" t="s">
        <v>5760</v>
      </c>
      <c r="B2206" s="13"/>
      <c r="C2206" t="e">
        <f t="shared" si="0"/>
        <v>#N/A</v>
      </c>
      <c r="D2206" t="b">
        <f t="shared" si="1"/>
        <v>0</v>
      </c>
      <c r="E2206">
        <f t="shared" si="2"/>
        <v>0</v>
      </c>
      <c r="F2206" s="11"/>
    </row>
    <row r="2207" spans="1:6" ht="16" x14ac:dyDescent="0.2">
      <c r="A2207" s="12" t="s">
        <v>5761</v>
      </c>
      <c r="B2207" s="13"/>
      <c r="C2207" t="e">
        <f t="shared" si="0"/>
        <v>#N/A</v>
      </c>
      <c r="D2207" t="b">
        <f t="shared" si="1"/>
        <v>0</v>
      </c>
      <c r="E2207">
        <f t="shared" si="2"/>
        <v>0</v>
      </c>
      <c r="F2207" s="11"/>
    </row>
    <row r="2208" spans="1:6" ht="16" x14ac:dyDescent="0.2">
      <c r="A2208" s="12" t="s">
        <v>5762</v>
      </c>
      <c r="B2208" s="13"/>
      <c r="C2208" t="e">
        <f t="shared" si="0"/>
        <v>#N/A</v>
      </c>
      <c r="D2208" t="b">
        <f t="shared" si="1"/>
        <v>0</v>
      </c>
      <c r="E2208">
        <f t="shared" si="2"/>
        <v>0</v>
      </c>
      <c r="F2208" s="11"/>
    </row>
    <row r="2209" spans="1:6" ht="16" x14ac:dyDescent="0.2">
      <c r="A2209" s="12" t="s">
        <v>5763</v>
      </c>
      <c r="B2209" s="13"/>
      <c r="C2209" t="e">
        <f t="shared" si="0"/>
        <v>#N/A</v>
      </c>
      <c r="D2209" t="b">
        <f t="shared" si="1"/>
        <v>0</v>
      </c>
      <c r="E2209">
        <f t="shared" si="2"/>
        <v>0</v>
      </c>
      <c r="F2209" s="11"/>
    </row>
    <row r="2210" spans="1:6" ht="16" x14ac:dyDescent="0.2">
      <c r="A2210" s="12" t="s">
        <v>5764</v>
      </c>
      <c r="B2210" s="13"/>
      <c r="C2210" t="e">
        <f t="shared" si="0"/>
        <v>#N/A</v>
      </c>
      <c r="D2210" t="b">
        <f t="shared" si="1"/>
        <v>0</v>
      </c>
      <c r="E2210">
        <f t="shared" si="2"/>
        <v>0</v>
      </c>
      <c r="F2210" s="11"/>
    </row>
    <row r="2211" spans="1:6" ht="16" x14ac:dyDescent="0.2">
      <c r="A2211" s="12" t="s">
        <v>5765</v>
      </c>
      <c r="B2211" s="13"/>
      <c r="C2211" t="e">
        <f t="shared" si="0"/>
        <v>#N/A</v>
      </c>
      <c r="D2211" t="b">
        <f t="shared" si="1"/>
        <v>0</v>
      </c>
      <c r="E2211">
        <f t="shared" si="2"/>
        <v>0</v>
      </c>
      <c r="F2211" s="11"/>
    </row>
    <row r="2212" spans="1:6" ht="16" x14ac:dyDescent="0.2">
      <c r="A2212" s="12" t="s">
        <v>5766</v>
      </c>
      <c r="B2212" s="13"/>
      <c r="C2212" t="e">
        <f t="shared" si="0"/>
        <v>#N/A</v>
      </c>
      <c r="D2212" t="b">
        <f t="shared" si="1"/>
        <v>0</v>
      </c>
      <c r="E2212">
        <f t="shared" si="2"/>
        <v>0</v>
      </c>
      <c r="F2212" s="11"/>
    </row>
    <row r="2213" spans="1:6" ht="16" x14ac:dyDescent="0.2">
      <c r="A2213" s="12" t="s">
        <v>5767</v>
      </c>
      <c r="B2213" s="13"/>
      <c r="C2213" t="e">
        <f t="shared" si="0"/>
        <v>#N/A</v>
      </c>
      <c r="D2213" t="b">
        <f t="shared" si="1"/>
        <v>0</v>
      </c>
      <c r="E2213">
        <f t="shared" si="2"/>
        <v>0</v>
      </c>
      <c r="F2213" s="11"/>
    </row>
    <row r="2214" spans="1:6" ht="16" x14ac:dyDescent="0.2">
      <c r="A2214" s="12" t="s">
        <v>5768</v>
      </c>
      <c r="B2214" s="13"/>
      <c r="C2214" t="e">
        <f t="shared" si="0"/>
        <v>#N/A</v>
      </c>
      <c r="D2214" t="b">
        <f t="shared" si="1"/>
        <v>0</v>
      </c>
      <c r="E2214">
        <f t="shared" si="2"/>
        <v>0</v>
      </c>
      <c r="F2214" s="11"/>
    </row>
    <row r="2215" spans="1:6" ht="16" x14ac:dyDescent="0.2">
      <c r="A2215" s="12" t="s">
        <v>5769</v>
      </c>
      <c r="B2215" s="13"/>
      <c r="C2215" t="e">
        <f t="shared" si="0"/>
        <v>#N/A</v>
      </c>
      <c r="D2215" t="b">
        <f t="shared" si="1"/>
        <v>0</v>
      </c>
      <c r="E2215">
        <f t="shared" si="2"/>
        <v>0</v>
      </c>
      <c r="F2215" s="11"/>
    </row>
    <row r="2216" spans="1:6" ht="16" x14ac:dyDescent="0.2">
      <c r="A2216" s="12" t="s">
        <v>5770</v>
      </c>
      <c r="B2216" s="13"/>
      <c r="C2216" t="e">
        <f t="shared" si="0"/>
        <v>#N/A</v>
      </c>
      <c r="D2216" t="b">
        <f t="shared" si="1"/>
        <v>0</v>
      </c>
      <c r="E2216">
        <f t="shared" si="2"/>
        <v>0</v>
      </c>
      <c r="F2216" s="11"/>
    </row>
    <row r="2217" spans="1:6" ht="16" x14ac:dyDescent="0.2">
      <c r="A2217" s="12" t="s">
        <v>5771</v>
      </c>
      <c r="B2217" s="13"/>
      <c r="C2217" t="e">
        <f t="shared" si="0"/>
        <v>#N/A</v>
      </c>
      <c r="D2217" t="b">
        <f t="shared" si="1"/>
        <v>0</v>
      </c>
      <c r="E2217">
        <f t="shared" si="2"/>
        <v>0</v>
      </c>
      <c r="F2217" s="11"/>
    </row>
    <row r="2218" spans="1:6" ht="16" x14ac:dyDescent="0.2">
      <c r="A2218" s="12" t="s">
        <v>5772</v>
      </c>
      <c r="B2218" s="13"/>
      <c r="C2218" t="e">
        <f t="shared" si="0"/>
        <v>#N/A</v>
      </c>
      <c r="D2218" t="b">
        <f t="shared" si="1"/>
        <v>0</v>
      </c>
      <c r="E2218">
        <f t="shared" si="2"/>
        <v>0</v>
      </c>
      <c r="F2218" s="11"/>
    </row>
    <row r="2219" spans="1:6" ht="16" x14ac:dyDescent="0.2">
      <c r="A2219" s="12" t="s">
        <v>5773</v>
      </c>
      <c r="B2219" s="13"/>
      <c r="C2219" t="e">
        <f t="shared" si="0"/>
        <v>#N/A</v>
      </c>
      <c r="D2219" t="b">
        <f t="shared" si="1"/>
        <v>0</v>
      </c>
      <c r="E2219">
        <f t="shared" si="2"/>
        <v>0</v>
      </c>
      <c r="F2219" s="11"/>
    </row>
    <row r="2220" spans="1:6" ht="16" x14ac:dyDescent="0.2">
      <c r="A2220" s="12" t="s">
        <v>5774</v>
      </c>
      <c r="B2220" s="13"/>
      <c r="C2220" t="e">
        <f t="shared" si="0"/>
        <v>#N/A</v>
      </c>
      <c r="D2220" t="b">
        <f t="shared" si="1"/>
        <v>0</v>
      </c>
      <c r="E2220">
        <f t="shared" si="2"/>
        <v>0</v>
      </c>
      <c r="F2220" s="11"/>
    </row>
    <row r="2221" spans="1:6" ht="16" x14ac:dyDescent="0.2">
      <c r="A2221" s="12" t="s">
        <v>5775</v>
      </c>
      <c r="B2221" s="13"/>
      <c r="C2221" t="e">
        <f t="shared" si="0"/>
        <v>#N/A</v>
      </c>
      <c r="D2221" t="b">
        <f t="shared" si="1"/>
        <v>0</v>
      </c>
      <c r="E2221">
        <f t="shared" si="2"/>
        <v>0</v>
      </c>
      <c r="F2221" s="11"/>
    </row>
    <row r="2222" spans="1:6" ht="16" x14ac:dyDescent="0.2">
      <c r="A2222" s="12" t="s">
        <v>5776</v>
      </c>
      <c r="B2222" s="13"/>
      <c r="C2222" t="e">
        <f t="shared" si="0"/>
        <v>#N/A</v>
      </c>
      <c r="D2222" t="b">
        <f t="shared" si="1"/>
        <v>0</v>
      </c>
      <c r="E2222">
        <f t="shared" si="2"/>
        <v>0</v>
      </c>
      <c r="F2222" s="11"/>
    </row>
    <row r="2223" spans="1:6" ht="16" x14ac:dyDescent="0.2">
      <c r="A2223" s="12" t="s">
        <v>5777</v>
      </c>
      <c r="B2223" s="13"/>
      <c r="C2223" t="e">
        <f t="shared" si="0"/>
        <v>#N/A</v>
      </c>
      <c r="D2223" t="b">
        <f t="shared" si="1"/>
        <v>0</v>
      </c>
      <c r="E2223">
        <f t="shared" si="2"/>
        <v>0</v>
      </c>
      <c r="F2223" s="11"/>
    </row>
    <row r="2224" spans="1:6" ht="16" x14ac:dyDescent="0.2">
      <c r="A2224" s="12" t="s">
        <v>5778</v>
      </c>
      <c r="B2224" s="13"/>
      <c r="C2224" t="e">
        <f t="shared" si="0"/>
        <v>#N/A</v>
      </c>
      <c r="D2224" t="b">
        <f t="shared" si="1"/>
        <v>0</v>
      </c>
      <c r="E2224">
        <f t="shared" si="2"/>
        <v>0</v>
      </c>
      <c r="F2224" s="11"/>
    </row>
    <row r="2225" spans="1:6" ht="16" x14ac:dyDescent="0.2">
      <c r="A2225" s="12" t="s">
        <v>5779</v>
      </c>
      <c r="B2225" s="13"/>
      <c r="C2225" t="e">
        <f t="shared" si="0"/>
        <v>#N/A</v>
      </c>
      <c r="D2225" t="b">
        <f t="shared" si="1"/>
        <v>0</v>
      </c>
      <c r="E2225">
        <f t="shared" si="2"/>
        <v>0</v>
      </c>
      <c r="F2225" s="11"/>
    </row>
    <row r="2226" spans="1:6" ht="16" x14ac:dyDescent="0.2">
      <c r="A2226" s="12" t="s">
        <v>5780</v>
      </c>
      <c r="B2226" s="13"/>
      <c r="C2226" t="e">
        <f t="shared" si="0"/>
        <v>#N/A</v>
      </c>
      <c r="D2226" t="b">
        <f t="shared" si="1"/>
        <v>0</v>
      </c>
      <c r="E2226">
        <f t="shared" si="2"/>
        <v>0</v>
      </c>
      <c r="F2226" s="11"/>
    </row>
    <row r="2227" spans="1:6" ht="16" x14ac:dyDescent="0.2">
      <c r="A2227" s="12" t="s">
        <v>5781</v>
      </c>
      <c r="B2227" s="13"/>
      <c r="C2227" t="e">
        <f t="shared" si="0"/>
        <v>#N/A</v>
      </c>
      <c r="D2227" t="b">
        <f t="shared" si="1"/>
        <v>0</v>
      </c>
      <c r="E2227">
        <f t="shared" si="2"/>
        <v>0</v>
      </c>
      <c r="F2227" s="11"/>
    </row>
    <row r="2228" spans="1:6" ht="16" x14ac:dyDescent="0.2">
      <c r="A2228" s="12" t="s">
        <v>5782</v>
      </c>
      <c r="B2228" s="13"/>
      <c r="C2228" t="e">
        <f t="shared" si="0"/>
        <v>#N/A</v>
      </c>
      <c r="D2228" t="b">
        <f t="shared" si="1"/>
        <v>0</v>
      </c>
      <c r="E2228">
        <f t="shared" si="2"/>
        <v>0</v>
      </c>
      <c r="F2228" s="11"/>
    </row>
    <row r="2229" spans="1:6" ht="16" x14ac:dyDescent="0.2">
      <c r="A2229" s="12" t="s">
        <v>5783</v>
      </c>
      <c r="B2229" s="13"/>
      <c r="C2229" t="e">
        <f t="shared" si="0"/>
        <v>#N/A</v>
      </c>
      <c r="D2229" t="b">
        <f t="shared" si="1"/>
        <v>0</v>
      </c>
      <c r="E2229">
        <f t="shared" si="2"/>
        <v>0</v>
      </c>
      <c r="F2229" s="11"/>
    </row>
    <row r="2230" spans="1:6" ht="16" x14ac:dyDescent="0.2">
      <c r="A2230" s="12" t="s">
        <v>5784</v>
      </c>
      <c r="B2230" s="13"/>
      <c r="C2230" t="e">
        <f t="shared" si="0"/>
        <v>#N/A</v>
      </c>
      <c r="D2230" t="b">
        <f t="shared" si="1"/>
        <v>0</v>
      </c>
      <c r="E2230">
        <f t="shared" si="2"/>
        <v>0</v>
      </c>
      <c r="F2230" s="11"/>
    </row>
    <row r="2231" spans="1:6" ht="16" x14ac:dyDescent="0.2">
      <c r="A2231" s="12" t="s">
        <v>5785</v>
      </c>
      <c r="B2231" s="13"/>
      <c r="C2231" t="e">
        <f t="shared" si="0"/>
        <v>#N/A</v>
      </c>
      <c r="D2231" t="b">
        <f t="shared" si="1"/>
        <v>0</v>
      </c>
      <c r="E2231">
        <f t="shared" si="2"/>
        <v>0</v>
      </c>
      <c r="F2231" s="11"/>
    </row>
    <row r="2232" spans="1:6" ht="16" x14ac:dyDescent="0.2">
      <c r="A2232" s="12" t="s">
        <v>5786</v>
      </c>
      <c r="B2232" s="13"/>
      <c r="C2232" t="e">
        <f t="shared" si="0"/>
        <v>#N/A</v>
      </c>
      <c r="D2232" t="b">
        <f t="shared" si="1"/>
        <v>0</v>
      </c>
      <c r="E2232">
        <f t="shared" si="2"/>
        <v>0</v>
      </c>
      <c r="F2232" s="11"/>
    </row>
    <row r="2233" spans="1:6" ht="16" x14ac:dyDescent="0.2">
      <c r="A2233" s="12" t="s">
        <v>5787</v>
      </c>
      <c r="B2233" s="13"/>
      <c r="C2233" t="e">
        <f t="shared" si="0"/>
        <v>#N/A</v>
      </c>
      <c r="D2233" t="b">
        <f t="shared" si="1"/>
        <v>0</v>
      </c>
      <c r="E2233">
        <f t="shared" si="2"/>
        <v>0</v>
      </c>
      <c r="F2233" s="11"/>
    </row>
    <row r="2234" spans="1:6" ht="16" x14ac:dyDescent="0.2">
      <c r="A2234" s="12" t="s">
        <v>5788</v>
      </c>
      <c r="B2234" s="13"/>
      <c r="C2234" t="e">
        <f t="shared" si="0"/>
        <v>#N/A</v>
      </c>
      <c r="D2234" t="b">
        <f t="shared" si="1"/>
        <v>0</v>
      </c>
      <c r="E2234">
        <f t="shared" si="2"/>
        <v>0</v>
      </c>
      <c r="F2234" s="11"/>
    </row>
    <row r="2235" spans="1:6" ht="16" x14ac:dyDescent="0.2">
      <c r="A2235" s="12" t="s">
        <v>5789</v>
      </c>
      <c r="B2235" s="13"/>
      <c r="C2235" t="e">
        <f t="shared" si="0"/>
        <v>#N/A</v>
      </c>
      <c r="D2235" t="b">
        <f t="shared" si="1"/>
        <v>0</v>
      </c>
      <c r="E2235">
        <f t="shared" si="2"/>
        <v>0</v>
      </c>
      <c r="F2235" s="11"/>
    </row>
    <row r="2236" spans="1:6" ht="16" x14ac:dyDescent="0.2">
      <c r="A2236" s="12" t="s">
        <v>5790</v>
      </c>
      <c r="B2236" s="13"/>
      <c r="C2236" t="e">
        <f t="shared" si="0"/>
        <v>#N/A</v>
      </c>
      <c r="D2236" t="b">
        <f t="shared" si="1"/>
        <v>0</v>
      </c>
      <c r="E2236">
        <f t="shared" si="2"/>
        <v>0</v>
      </c>
      <c r="F2236" s="11"/>
    </row>
    <row r="2237" spans="1:6" ht="16" x14ac:dyDescent="0.2">
      <c r="A2237" s="12" t="s">
        <v>5791</v>
      </c>
      <c r="B2237" s="13"/>
      <c r="C2237" t="e">
        <f t="shared" si="0"/>
        <v>#N/A</v>
      </c>
      <c r="D2237" t="b">
        <f t="shared" si="1"/>
        <v>0</v>
      </c>
      <c r="E2237">
        <f t="shared" si="2"/>
        <v>0</v>
      </c>
      <c r="F2237" s="11"/>
    </row>
    <row r="2238" spans="1:6" ht="16" x14ac:dyDescent="0.2">
      <c r="A2238" s="12" t="s">
        <v>5792</v>
      </c>
      <c r="B2238" s="13"/>
      <c r="C2238" t="e">
        <f t="shared" si="0"/>
        <v>#N/A</v>
      </c>
      <c r="D2238" t="b">
        <f t="shared" si="1"/>
        <v>0</v>
      </c>
      <c r="E2238">
        <f t="shared" si="2"/>
        <v>0</v>
      </c>
      <c r="F2238" s="11"/>
    </row>
    <row r="2239" spans="1:6" ht="16" x14ac:dyDescent="0.2">
      <c r="A2239" s="12" t="s">
        <v>5793</v>
      </c>
      <c r="B2239" s="13"/>
      <c r="C2239" t="e">
        <f t="shared" si="0"/>
        <v>#N/A</v>
      </c>
      <c r="D2239" t="b">
        <f t="shared" si="1"/>
        <v>0</v>
      </c>
      <c r="E2239">
        <f t="shared" si="2"/>
        <v>0</v>
      </c>
      <c r="F2239" s="11"/>
    </row>
    <row r="2240" spans="1:6" ht="16" x14ac:dyDescent="0.2">
      <c r="A2240" s="12" t="s">
        <v>5794</v>
      </c>
      <c r="B2240" s="13"/>
      <c r="C2240" t="e">
        <f t="shared" si="0"/>
        <v>#N/A</v>
      </c>
      <c r="D2240" t="b">
        <f t="shared" si="1"/>
        <v>0</v>
      </c>
      <c r="E2240">
        <f t="shared" si="2"/>
        <v>0</v>
      </c>
      <c r="F2240" s="11"/>
    </row>
    <row r="2241" spans="1:6" ht="16" x14ac:dyDescent="0.2">
      <c r="A2241" s="12" t="s">
        <v>5795</v>
      </c>
      <c r="B2241" s="13"/>
      <c r="C2241" t="e">
        <f t="shared" si="0"/>
        <v>#N/A</v>
      </c>
      <c r="D2241" t="b">
        <f t="shared" si="1"/>
        <v>0</v>
      </c>
      <c r="E2241">
        <f t="shared" si="2"/>
        <v>0</v>
      </c>
      <c r="F2241" s="11"/>
    </row>
    <row r="2242" spans="1:6" ht="16" x14ac:dyDescent="0.2">
      <c r="A2242" s="12" t="s">
        <v>5796</v>
      </c>
      <c r="B2242" s="13"/>
      <c r="C2242" t="e">
        <f t="shared" si="0"/>
        <v>#N/A</v>
      </c>
      <c r="D2242" t="b">
        <f t="shared" si="1"/>
        <v>0</v>
      </c>
      <c r="E2242">
        <f t="shared" si="2"/>
        <v>0</v>
      </c>
      <c r="F2242" s="11"/>
    </row>
    <row r="2243" spans="1:6" ht="16" x14ac:dyDescent="0.2">
      <c r="A2243" s="12" t="s">
        <v>5797</v>
      </c>
      <c r="B2243" s="13"/>
      <c r="C2243" t="e">
        <f t="shared" si="0"/>
        <v>#N/A</v>
      </c>
      <c r="D2243" t="b">
        <f t="shared" si="1"/>
        <v>0</v>
      </c>
      <c r="E2243">
        <f t="shared" si="2"/>
        <v>0</v>
      </c>
      <c r="F2243" s="11"/>
    </row>
    <row r="2244" spans="1:6" ht="16" x14ac:dyDescent="0.2">
      <c r="A2244" s="12" t="s">
        <v>5798</v>
      </c>
      <c r="B2244" s="13"/>
      <c r="C2244" t="e">
        <f t="shared" si="0"/>
        <v>#N/A</v>
      </c>
      <c r="D2244" t="b">
        <f t="shared" si="1"/>
        <v>0</v>
      </c>
      <c r="E2244">
        <f t="shared" si="2"/>
        <v>0</v>
      </c>
      <c r="F2244" s="11"/>
    </row>
    <row r="2245" spans="1:6" ht="16" x14ac:dyDescent="0.2">
      <c r="A2245" s="12" t="s">
        <v>5799</v>
      </c>
      <c r="B2245" s="13"/>
      <c r="C2245" t="e">
        <f t="shared" si="0"/>
        <v>#N/A</v>
      </c>
      <c r="D2245" t="b">
        <f t="shared" si="1"/>
        <v>0</v>
      </c>
      <c r="E2245">
        <f t="shared" si="2"/>
        <v>0</v>
      </c>
      <c r="F2245" s="11"/>
    </row>
    <row r="2246" spans="1:6" ht="16" x14ac:dyDescent="0.2">
      <c r="A2246" s="12" t="s">
        <v>5800</v>
      </c>
      <c r="B2246" s="13"/>
      <c r="C2246" t="e">
        <f t="shared" si="0"/>
        <v>#N/A</v>
      </c>
      <c r="D2246" t="b">
        <f t="shared" si="1"/>
        <v>0</v>
      </c>
      <c r="E2246">
        <f t="shared" si="2"/>
        <v>0</v>
      </c>
      <c r="F2246" s="11"/>
    </row>
    <row r="2247" spans="1:6" ht="16" x14ac:dyDescent="0.2">
      <c r="A2247" s="12" t="s">
        <v>5801</v>
      </c>
      <c r="B2247" s="13"/>
      <c r="C2247" t="e">
        <f t="shared" si="0"/>
        <v>#N/A</v>
      </c>
      <c r="D2247" t="b">
        <f t="shared" si="1"/>
        <v>0</v>
      </c>
      <c r="E2247">
        <f t="shared" si="2"/>
        <v>0</v>
      </c>
      <c r="F2247" s="11"/>
    </row>
    <row r="2248" spans="1:6" ht="16" x14ac:dyDescent="0.2">
      <c r="A2248" s="12" t="s">
        <v>5802</v>
      </c>
      <c r="B2248" s="13"/>
      <c r="C2248" t="e">
        <f t="shared" si="0"/>
        <v>#N/A</v>
      </c>
      <c r="D2248" t="b">
        <f t="shared" si="1"/>
        <v>0</v>
      </c>
      <c r="E2248">
        <f t="shared" si="2"/>
        <v>0</v>
      </c>
      <c r="F2248" s="11"/>
    </row>
    <row r="2249" spans="1:6" ht="16" x14ac:dyDescent="0.2">
      <c r="A2249" s="12" t="s">
        <v>5803</v>
      </c>
      <c r="B2249" s="13"/>
      <c r="C2249" t="e">
        <f t="shared" si="0"/>
        <v>#N/A</v>
      </c>
      <c r="D2249" t="b">
        <f t="shared" si="1"/>
        <v>0</v>
      </c>
      <c r="E2249">
        <f t="shared" si="2"/>
        <v>0</v>
      </c>
      <c r="F2249" s="11"/>
    </row>
    <row r="2250" spans="1:6" ht="16" x14ac:dyDescent="0.2">
      <c r="A2250" s="12" t="s">
        <v>5804</v>
      </c>
      <c r="B2250" s="13"/>
      <c r="C2250" t="e">
        <f t="shared" si="0"/>
        <v>#N/A</v>
      </c>
      <c r="D2250" t="b">
        <f t="shared" si="1"/>
        <v>0</v>
      </c>
      <c r="E2250">
        <f t="shared" si="2"/>
        <v>0</v>
      </c>
      <c r="F2250" s="11"/>
    </row>
    <row r="2251" spans="1:6" ht="16" x14ac:dyDescent="0.2">
      <c r="A2251" s="12" t="s">
        <v>5805</v>
      </c>
      <c r="B2251" s="13"/>
      <c r="C2251" t="e">
        <f t="shared" si="0"/>
        <v>#N/A</v>
      </c>
      <c r="D2251" t="b">
        <f t="shared" si="1"/>
        <v>0</v>
      </c>
      <c r="E2251">
        <f t="shared" si="2"/>
        <v>0</v>
      </c>
      <c r="F2251" s="11"/>
    </row>
    <row r="2252" spans="1:6" ht="16" x14ac:dyDescent="0.2">
      <c r="A2252" s="12" t="s">
        <v>5806</v>
      </c>
      <c r="B2252" s="13"/>
      <c r="C2252" t="e">
        <f t="shared" si="0"/>
        <v>#N/A</v>
      </c>
      <c r="D2252" t="b">
        <f t="shared" si="1"/>
        <v>0</v>
      </c>
      <c r="E2252">
        <f t="shared" si="2"/>
        <v>0</v>
      </c>
      <c r="F2252" s="11"/>
    </row>
    <row r="2253" spans="1:6" ht="16" x14ac:dyDescent="0.2">
      <c r="A2253" s="12" t="s">
        <v>5807</v>
      </c>
      <c r="B2253" s="13"/>
      <c r="C2253" t="e">
        <f t="shared" si="0"/>
        <v>#N/A</v>
      </c>
      <c r="D2253" t="b">
        <f t="shared" si="1"/>
        <v>0</v>
      </c>
      <c r="E2253">
        <f t="shared" si="2"/>
        <v>0</v>
      </c>
      <c r="F2253" s="11"/>
    </row>
    <row r="2254" spans="1:6" ht="16" x14ac:dyDescent="0.2">
      <c r="A2254" s="12" t="s">
        <v>5808</v>
      </c>
      <c r="B2254" s="13"/>
      <c r="C2254" t="e">
        <f t="shared" si="0"/>
        <v>#N/A</v>
      </c>
      <c r="D2254" t="b">
        <f t="shared" si="1"/>
        <v>0</v>
      </c>
      <c r="E2254">
        <f t="shared" si="2"/>
        <v>0</v>
      </c>
      <c r="F2254" s="11"/>
    </row>
    <row r="2255" spans="1:6" ht="16" x14ac:dyDescent="0.2">
      <c r="A2255" s="12" t="s">
        <v>5809</v>
      </c>
      <c r="B2255" s="13"/>
      <c r="C2255" t="e">
        <f t="shared" si="0"/>
        <v>#N/A</v>
      </c>
      <c r="D2255" t="b">
        <f t="shared" si="1"/>
        <v>0</v>
      </c>
      <c r="E2255">
        <f t="shared" si="2"/>
        <v>0</v>
      </c>
      <c r="F2255" s="11"/>
    </row>
    <row r="2256" spans="1:6" ht="16" x14ac:dyDescent="0.2">
      <c r="A2256" s="12" t="s">
        <v>5810</v>
      </c>
      <c r="B2256" s="13"/>
      <c r="C2256" t="e">
        <f t="shared" si="0"/>
        <v>#N/A</v>
      </c>
      <c r="D2256" t="b">
        <f t="shared" si="1"/>
        <v>0</v>
      </c>
      <c r="E2256">
        <f t="shared" si="2"/>
        <v>0</v>
      </c>
      <c r="F2256" s="11"/>
    </row>
    <row r="2257" spans="1:6" ht="16" x14ac:dyDescent="0.2">
      <c r="A2257" s="12" t="s">
        <v>5811</v>
      </c>
      <c r="B2257" s="13"/>
      <c r="C2257" t="e">
        <f t="shared" si="0"/>
        <v>#N/A</v>
      </c>
      <c r="D2257" t="b">
        <f t="shared" si="1"/>
        <v>0</v>
      </c>
      <c r="E2257">
        <f t="shared" si="2"/>
        <v>0</v>
      </c>
      <c r="F2257" s="11"/>
    </row>
    <row r="2258" spans="1:6" ht="16" x14ac:dyDescent="0.2">
      <c r="A2258" s="12" t="s">
        <v>5812</v>
      </c>
      <c r="B2258" s="13"/>
      <c r="C2258" t="e">
        <f t="shared" si="0"/>
        <v>#N/A</v>
      </c>
      <c r="D2258" t="b">
        <f t="shared" si="1"/>
        <v>0</v>
      </c>
      <c r="E2258">
        <f t="shared" si="2"/>
        <v>0</v>
      </c>
      <c r="F2258" s="11"/>
    </row>
    <row r="2259" spans="1:6" ht="16" x14ac:dyDescent="0.2">
      <c r="A2259" s="12" t="s">
        <v>5813</v>
      </c>
      <c r="B2259" s="13"/>
      <c r="C2259" t="e">
        <f t="shared" si="0"/>
        <v>#N/A</v>
      </c>
      <c r="D2259" t="b">
        <f t="shared" si="1"/>
        <v>0</v>
      </c>
      <c r="E2259">
        <f t="shared" si="2"/>
        <v>0</v>
      </c>
      <c r="F2259" s="11"/>
    </row>
    <row r="2260" spans="1:6" ht="16" x14ac:dyDescent="0.2">
      <c r="A2260" s="12" t="s">
        <v>5814</v>
      </c>
      <c r="B2260" s="13"/>
      <c r="C2260" t="e">
        <f t="shared" si="0"/>
        <v>#N/A</v>
      </c>
      <c r="D2260" t="b">
        <f t="shared" si="1"/>
        <v>0</v>
      </c>
      <c r="E2260">
        <f t="shared" si="2"/>
        <v>0</v>
      </c>
      <c r="F2260" s="11"/>
    </row>
    <row r="2261" spans="1:6" ht="16" x14ac:dyDescent="0.2">
      <c r="A2261" s="12" t="s">
        <v>5815</v>
      </c>
      <c r="B2261" s="13"/>
      <c r="C2261" t="e">
        <f t="shared" si="0"/>
        <v>#N/A</v>
      </c>
      <c r="D2261" t="b">
        <f t="shared" si="1"/>
        <v>0</v>
      </c>
      <c r="E2261">
        <f t="shared" si="2"/>
        <v>0</v>
      </c>
      <c r="F2261" s="11"/>
    </row>
    <row r="2262" spans="1:6" ht="16" x14ac:dyDescent="0.2">
      <c r="A2262" s="12" t="s">
        <v>5816</v>
      </c>
      <c r="B2262" s="13"/>
      <c r="C2262" t="e">
        <f t="shared" si="0"/>
        <v>#N/A</v>
      </c>
      <c r="D2262" t="b">
        <f t="shared" si="1"/>
        <v>0</v>
      </c>
      <c r="E2262">
        <f t="shared" si="2"/>
        <v>0</v>
      </c>
      <c r="F2262" s="11"/>
    </row>
    <row r="2263" spans="1:6" ht="16" x14ac:dyDescent="0.2">
      <c r="A2263" s="12" t="s">
        <v>5817</v>
      </c>
      <c r="B2263" s="13"/>
      <c r="C2263" t="e">
        <f t="shared" si="0"/>
        <v>#N/A</v>
      </c>
      <c r="D2263" t="b">
        <f t="shared" si="1"/>
        <v>0</v>
      </c>
      <c r="E2263">
        <f t="shared" si="2"/>
        <v>0</v>
      </c>
      <c r="F2263" s="11"/>
    </row>
    <row r="2264" spans="1:6" ht="16" x14ac:dyDescent="0.2">
      <c r="A2264" s="14" t="s">
        <v>5818</v>
      </c>
      <c r="B2264" s="13"/>
      <c r="C2264" t="e">
        <f t="shared" si="0"/>
        <v>#N/A</v>
      </c>
      <c r="D2264" t="b">
        <f t="shared" si="1"/>
        <v>0</v>
      </c>
      <c r="E2264">
        <f t="shared" si="2"/>
        <v>0</v>
      </c>
      <c r="F2264" s="11"/>
    </row>
    <row r="2265" spans="1:6" ht="16" x14ac:dyDescent="0.2">
      <c r="A2265" s="12" t="s">
        <v>5819</v>
      </c>
      <c r="B2265" s="13"/>
      <c r="C2265" t="e">
        <f t="shared" si="0"/>
        <v>#N/A</v>
      </c>
      <c r="D2265" t="b">
        <f t="shared" si="1"/>
        <v>0</v>
      </c>
      <c r="E2265">
        <f t="shared" si="2"/>
        <v>0</v>
      </c>
      <c r="F2265" s="11"/>
    </row>
    <row r="2266" spans="1:6" ht="16" x14ac:dyDescent="0.2">
      <c r="A2266" s="12" t="s">
        <v>5820</v>
      </c>
      <c r="B2266" s="13"/>
      <c r="C2266" t="e">
        <f t="shared" si="0"/>
        <v>#N/A</v>
      </c>
      <c r="D2266" t="b">
        <f t="shared" si="1"/>
        <v>0</v>
      </c>
      <c r="E2266">
        <f t="shared" si="2"/>
        <v>0</v>
      </c>
      <c r="F2266" s="11"/>
    </row>
    <row r="2267" spans="1:6" ht="16" x14ac:dyDescent="0.2">
      <c r="A2267" s="12" t="s">
        <v>5821</v>
      </c>
      <c r="B2267" s="13"/>
      <c r="C2267" t="e">
        <f t="shared" si="0"/>
        <v>#N/A</v>
      </c>
      <c r="D2267" t="b">
        <f t="shared" si="1"/>
        <v>0</v>
      </c>
      <c r="E2267">
        <f t="shared" si="2"/>
        <v>0</v>
      </c>
      <c r="F2267" s="11"/>
    </row>
    <row r="2268" spans="1:6" ht="16" x14ac:dyDescent="0.2">
      <c r="A2268" s="12" t="s">
        <v>5822</v>
      </c>
      <c r="B2268" s="13"/>
      <c r="C2268" t="e">
        <f t="shared" si="0"/>
        <v>#N/A</v>
      </c>
      <c r="D2268" t="b">
        <f t="shared" si="1"/>
        <v>0</v>
      </c>
      <c r="E2268">
        <f t="shared" si="2"/>
        <v>0</v>
      </c>
      <c r="F2268" s="11"/>
    </row>
    <row r="2269" spans="1:6" ht="16" x14ac:dyDescent="0.2">
      <c r="A2269" s="12" t="s">
        <v>5823</v>
      </c>
      <c r="B2269" s="13"/>
      <c r="C2269" t="e">
        <f t="shared" si="0"/>
        <v>#N/A</v>
      </c>
      <c r="D2269" t="b">
        <f t="shared" si="1"/>
        <v>0</v>
      </c>
      <c r="E2269">
        <f t="shared" si="2"/>
        <v>0</v>
      </c>
      <c r="F2269" s="11"/>
    </row>
    <row r="2270" spans="1:6" ht="16" x14ac:dyDescent="0.2">
      <c r="A2270" s="12" t="s">
        <v>5824</v>
      </c>
      <c r="B2270" s="13"/>
      <c r="C2270" t="e">
        <f t="shared" si="0"/>
        <v>#N/A</v>
      </c>
      <c r="D2270" t="b">
        <f t="shared" si="1"/>
        <v>0</v>
      </c>
      <c r="E2270">
        <f t="shared" si="2"/>
        <v>0</v>
      </c>
      <c r="F2270" s="11"/>
    </row>
    <row r="2271" spans="1:6" ht="16" x14ac:dyDescent="0.2">
      <c r="A2271" s="12" t="s">
        <v>5825</v>
      </c>
      <c r="B2271" s="13"/>
      <c r="C2271" t="e">
        <f t="shared" si="0"/>
        <v>#N/A</v>
      </c>
      <c r="D2271" t="b">
        <f t="shared" si="1"/>
        <v>0</v>
      </c>
      <c r="E2271">
        <f t="shared" si="2"/>
        <v>0</v>
      </c>
      <c r="F2271" s="11"/>
    </row>
    <row r="2272" spans="1:6" ht="16" x14ac:dyDescent="0.2">
      <c r="A2272" s="12" t="s">
        <v>5826</v>
      </c>
      <c r="B2272" s="13"/>
      <c r="C2272" t="e">
        <f t="shared" si="0"/>
        <v>#N/A</v>
      </c>
      <c r="D2272" t="b">
        <f t="shared" si="1"/>
        <v>0</v>
      </c>
      <c r="E2272">
        <f t="shared" si="2"/>
        <v>0</v>
      </c>
      <c r="F2272" s="11"/>
    </row>
    <row r="2273" spans="1:6" ht="16" x14ac:dyDescent="0.2">
      <c r="A2273" s="12" t="s">
        <v>5827</v>
      </c>
      <c r="B2273" s="13"/>
      <c r="C2273" t="e">
        <f t="shared" si="0"/>
        <v>#N/A</v>
      </c>
      <c r="D2273" t="b">
        <f t="shared" si="1"/>
        <v>0</v>
      </c>
      <c r="E2273">
        <f t="shared" si="2"/>
        <v>0</v>
      </c>
      <c r="F2273" s="11"/>
    </row>
    <row r="2274" spans="1:6" ht="16" x14ac:dyDescent="0.2">
      <c r="A2274" s="12" t="s">
        <v>5828</v>
      </c>
      <c r="B2274" s="13"/>
      <c r="C2274" t="e">
        <f t="shared" si="0"/>
        <v>#N/A</v>
      </c>
      <c r="D2274" t="b">
        <f t="shared" si="1"/>
        <v>0</v>
      </c>
      <c r="E2274">
        <f t="shared" si="2"/>
        <v>0</v>
      </c>
      <c r="F2274" s="11"/>
    </row>
    <row r="2275" spans="1:6" ht="16" x14ac:dyDescent="0.2">
      <c r="A2275" s="12" t="s">
        <v>5829</v>
      </c>
      <c r="B2275" s="13"/>
      <c r="C2275" t="e">
        <f t="shared" si="0"/>
        <v>#N/A</v>
      </c>
      <c r="D2275" t="b">
        <f t="shared" si="1"/>
        <v>0</v>
      </c>
      <c r="E2275">
        <f t="shared" si="2"/>
        <v>0</v>
      </c>
      <c r="F2275" s="11"/>
    </row>
    <row r="2276" spans="1:6" ht="16" x14ac:dyDescent="0.2">
      <c r="A2276" s="12" t="s">
        <v>5830</v>
      </c>
      <c r="B2276" s="13"/>
      <c r="C2276" t="e">
        <f t="shared" si="0"/>
        <v>#N/A</v>
      </c>
      <c r="D2276" t="b">
        <f t="shared" si="1"/>
        <v>0</v>
      </c>
      <c r="E2276">
        <f t="shared" si="2"/>
        <v>0</v>
      </c>
      <c r="F2276" s="11"/>
    </row>
    <row r="2277" spans="1:6" ht="16" x14ac:dyDescent="0.2">
      <c r="A2277" s="12" t="s">
        <v>5831</v>
      </c>
      <c r="B2277" s="13"/>
      <c r="C2277" t="e">
        <f t="shared" si="0"/>
        <v>#N/A</v>
      </c>
      <c r="D2277" t="b">
        <f t="shared" si="1"/>
        <v>0</v>
      </c>
      <c r="E2277">
        <f t="shared" si="2"/>
        <v>0</v>
      </c>
      <c r="F2277" s="11"/>
    </row>
    <row r="2278" spans="1:6" ht="16" x14ac:dyDescent="0.2">
      <c r="A2278" s="12" t="s">
        <v>5832</v>
      </c>
      <c r="B2278" s="13"/>
      <c r="C2278" t="e">
        <f t="shared" si="0"/>
        <v>#N/A</v>
      </c>
      <c r="D2278" t="b">
        <f t="shared" si="1"/>
        <v>0</v>
      </c>
      <c r="E2278">
        <f t="shared" si="2"/>
        <v>0</v>
      </c>
      <c r="F2278" s="11"/>
    </row>
    <row r="2279" spans="1:6" ht="16" x14ac:dyDescent="0.2">
      <c r="A2279" s="12" t="s">
        <v>5833</v>
      </c>
      <c r="B2279" s="13"/>
      <c r="C2279" t="e">
        <f t="shared" si="0"/>
        <v>#N/A</v>
      </c>
      <c r="D2279" t="b">
        <f t="shared" si="1"/>
        <v>0</v>
      </c>
      <c r="E2279">
        <f t="shared" si="2"/>
        <v>0</v>
      </c>
      <c r="F2279" s="11"/>
    </row>
    <row r="2280" spans="1:6" ht="16" x14ac:dyDescent="0.2">
      <c r="A2280" s="12" t="s">
        <v>5834</v>
      </c>
      <c r="B2280" s="13"/>
      <c r="C2280" t="e">
        <f t="shared" si="0"/>
        <v>#N/A</v>
      </c>
      <c r="D2280" t="b">
        <f t="shared" si="1"/>
        <v>0</v>
      </c>
      <c r="E2280">
        <f t="shared" si="2"/>
        <v>0</v>
      </c>
      <c r="F2280" s="11"/>
    </row>
    <row r="2281" spans="1:6" ht="16" x14ac:dyDescent="0.2">
      <c r="A2281" s="12" t="s">
        <v>5835</v>
      </c>
      <c r="B2281" s="13"/>
      <c r="C2281" t="e">
        <f t="shared" si="0"/>
        <v>#N/A</v>
      </c>
      <c r="D2281" t="b">
        <f t="shared" si="1"/>
        <v>0</v>
      </c>
      <c r="E2281">
        <f t="shared" si="2"/>
        <v>0</v>
      </c>
      <c r="F2281" s="11"/>
    </row>
    <row r="2282" spans="1:6" ht="16" x14ac:dyDescent="0.2">
      <c r="A2282" s="12" t="s">
        <v>5836</v>
      </c>
      <c r="B2282" s="13"/>
      <c r="C2282" t="e">
        <f t="shared" si="0"/>
        <v>#N/A</v>
      </c>
      <c r="D2282" t="b">
        <f t="shared" si="1"/>
        <v>0</v>
      </c>
      <c r="E2282">
        <f t="shared" si="2"/>
        <v>0</v>
      </c>
      <c r="F2282" s="11"/>
    </row>
    <row r="2283" spans="1:6" ht="16" x14ac:dyDescent="0.2">
      <c r="A2283" s="12" t="s">
        <v>5837</v>
      </c>
      <c r="B2283" s="13"/>
      <c r="C2283" t="e">
        <f t="shared" si="0"/>
        <v>#N/A</v>
      </c>
      <c r="D2283" t="b">
        <f t="shared" si="1"/>
        <v>0</v>
      </c>
      <c r="E2283">
        <f t="shared" si="2"/>
        <v>0</v>
      </c>
      <c r="F2283" s="11"/>
    </row>
    <row r="2284" spans="1:6" ht="16" x14ac:dyDescent="0.2">
      <c r="A2284" s="12" t="s">
        <v>5838</v>
      </c>
      <c r="B2284" s="13"/>
      <c r="C2284" t="e">
        <f t="shared" si="0"/>
        <v>#N/A</v>
      </c>
      <c r="D2284" t="b">
        <f t="shared" si="1"/>
        <v>0</v>
      </c>
      <c r="E2284">
        <f t="shared" si="2"/>
        <v>0</v>
      </c>
      <c r="F2284" s="11"/>
    </row>
    <row r="2285" spans="1:6" ht="16" x14ac:dyDescent="0.2">
      <c r="A2285" s="12" t="s">
        <v>5839</v>
      </c>
      <c r="B2285" s="13"/>
      <c r="C2285" t="e">
        <f t="shared" si="0"/>
        <v>#N/A</v>
      </c>
      <c r="D2285" t="b">
        <f t="shared" si="1"/>
        <v>0</v>
      </c>
      <c r="E2285">
        <f t="shared" si="2"/>
        <v>0</v>
      </c>
      <c r="F2285" s="11"/>
    </row>
    <row r="2286" spans="1:6" ht="16" x14ac:dyDescent="0.2">
      <c r="A2286" s="12" t="s">
        <v>5840</v>
      </c>
      <c r="B2286" s="13"/>
      <c r="C2286" t="e">
        <f t="shared" si="0"/>
        <v>#N/A</v>
      </c>
      <c r="D2286" t="b">
        <f t="shared" si="1"/>
        <v>0</v>
      </c>
      <c r="E2286">
        <f t="shared" si="2"/>
        <v>0</v>
      </c>
      <c r="F2286" s="11"/>
    </row>
    <row r="2287" spans="1:6" ht="16" x14ac:dyDescent="0.2">
      <c r="A2287" s="12" t="s">
        <v>5841</v>
      </c>
      <c r="B2287" s="13"/>
      <c r="C2287" t="e">
        <f t="shared" si="0"/>
        <v>#N/A</v>
      </c>
      <c r="D2287" t="b">
        <f t="shared" si="1"/>
        <v>0</v>
      </c>
      <c r="E2287">
        <f t="shared" si="2"/>
        <v>0</v>
      </c>
      <c r="F2287" s="11"/>
    </row>
    <row r="2288" spans="1:6" ht="16" x14ac:dyDescent="0.2">
      <c r="A2288" s="12" t="s">
        <v>5842</v>
      </c>
      <c r="B2288" s="13"/>
      <c r="C2288" t="e">
        <f t="shared" si="0"/>
        <v>#N/A</v>
      </c>
      <c r="D2288" t="b">
        <f t="shared" si="1"/>
        <v>0</v>
      </c>
      <c r="E2288">
        <f t="shared" si="2"/>
        <v>0</v>
      </c>
      <c r="F2288" s="11"/>
    </row>
    <row r="2289" spans="1:6" ht="16" x14ac:dyDescent="0.2">
      <c r="A2289" s="12" t="s">
        <v>5843</v>
      </c>
      <c r="B2289" s="13"/>
      <c r="C2289" t="e">
        <f t="shared" si="0"/>
        <v>#N/A</v>
      </c>
      <c r="D2289" t="b">
        <f t="shared" si="1"/>
        <v>0</v>
      </c>
      <c r="E2289">
        <f t="shared" si="2"/>
        <v>0</v>
      </c>
      <c r="F2289" s="11"/>
    </row>
    <row r="2290" spans="1:6" ht="16" x14ac:dyDescent="0.2">
      <c r="A2290" s="12" t="s">
        <v>5844</v>
      </c>
      <c r="B2290" s="13"/>
      <c r="C2290" t="e">
        <f t="shared" si="0"/>
        <v>#N/A</v>
      </c>
      <c r="D2290" t="b">
        <f t="shared" si="1"/>
        <v>0</v>
      </c>
      <c r="E2290">
        <f t="shared" si="2"/>
        <v>0</v>
      </c>
      <c r="F2290" s="11"/>
    </row>
    <row r="2291" spans="1:6" ht="16" x14ac:dyDescent="0.2">
      <c r="A2291" s="12" t="s">
        <v>5845</v>
      </c>
      <c r="B2291" s="13"/>
      <c r="C2291" t="e">
        <f t="shared" si="0"/>
        <v>#N/A</v>
      </c>
      <c r="D2291" t="b">
        <f t="shared" si="1"/>
        <v>0</v>
      </c>
      <c r="E2291">
        <f t="shared" si="2"/>
        <v>0</v>
      </c>
      <c r="F2291" s="11"/>
    </row>
    <row r="2292" spans="1:6" ht="16" x14ac:dyDescent="0.2">
      <c r="A2292" s="12" t="s">
        <v>5846</v>
      </c>
      <c r="B2292" s="13"/>
      <c r="C2292" t="e">
        <f t="shared" si="0"/>
        <v>#N/A</v>
      </c>
      <c r="D2292" t="b">
        <f t="shared" si="1"/>
        <v>0</v>
      </c>
      <c r="E2292">
        <f t="shared" si="2"/>
        <v>0</v>
      </c>
      <c r="F2292" s="11"/>
    </row>
    <row r="2293" spans="1:6" ht="16" x14ac:dyDescent="0.2">
      <c r="A2293" s="12" t="s">
        <v>5847</v>
      </c>
      <c r="B2293" s="13"/>
      <c r="C2293" t="e">
        <f t="shared" si="0"/>
        <v>#N/A</v>
      </c>
      <c r="D2293" t="b">
        <f t="shared" si="1"/>
        <v>0</v>
      </c>
      <c r="E2293">
        <f t="shared" si="2"/>
        <v>0</v>
      </c>
      <c r="F2293" s="11"/>
    </row>
    <row r="2294" spans="1:6" ht="16" x14ac:dyDescent="0.2">
      <c r="A2294" s="12" t="s">
        <v>5848</v>
      </c>
      <c r="B2294" s="13"/>
      <c r="C2294" t="e">
        <f t="shared" si="0"/>
        <v>#N/A</v>
      </c>
      <c r="D2294" t="b">
        <f t="shared" si="1"/>
        <v>0</v>
      </c>
      <c r="E2294">
        <f t="shared" si="2"/>
        <v>0</v>
      </c>
      <c r="F2294" s="11"/>
    </row>
    <row r="2295" spans="1:6" ht="16" x14ac:dyDescent="0.2">
      <c r="A2295" s="12" t="s">
        <v>5849</v>
      </c>
      <c r="B2295" s="13"/>
      <c r="C2295" t="e">
        <f t="shared" si="0"/>
        <v>#N/A</v>
      </c>
      <c r="D2295" t="b">
        <f t="shared" si="1"/>
        <v>0</v>
      </c>
      <c r="E2295">
        <f t="shared" si="2"/>
        <v>0</v>
      </c>
      <c r="F2295" s="11"/>
    </row>
    <row r="2296" spans="1:6" ht="16" x14ac:dyDescent="0.2">
      <c r="A2296" s="12" t="s">
        <v>5850</v>
      </c>
      <c r="B2296" s="13"/>
      <c r="C2296" t="e">
        <f t="shared" si="0"/>
        <v>#N/A</v>
      </c>
      <c r="D2296" t="b">
        <f t="shared" si="1"/>
        <v>0</v>
      </c>
      <c r="E2296">
        <f t="shared" si="2"/>
        <v>0</v>
      </c>
      <c r="F2296" s="11"/>
    </row>
    <row r="2297" spans="1:6" ht="16" x14ac:dyDescent="0.2">
      <c r="A2297" s="12" t="s">
        <v>5851</v>
      </c>
      <c r="B2297" s="13"/>
      <c r="C2297" t="e">
        <f t="shared" si="0"/>
        <v>#N/A</v>
      </c>
      <c r="D2297" t="b">
        <f t="shared" si="1"/>
        <v>0</v>
      </c>
      <c r="E2297">
        <f t="shared" si="2"/>
        <v>0</v>
      </c>
      <c r="F2297" s="11"/>
    </row>
    <row r="2298" spans="1:6" ht="16" x14ac:dyDescent="0.2">
      <c r="A2298" s="12" t="s">
        <v>5852</v>
      </c>
      <c r="B2298" s="13"/>
      <c r="C2298" t="e">
        <f t="shared" si="0"/>
        <v>#N/A</v>
      </c>
      <c r="D2298" t="b">
        <f t="shared" si="1"/>
        <v>0</v>
      </c>
      <c r="E2298">
        <f t="shared" si="2"/>
        <v>0</v>
      </c>
      <c r="F2298" s="11"/>
    </row>
    <row r="2299" spans="1:6" ht="16" x14ac:dyDescent="0.2">
      <c r="A2299" s="12" t="s">
        <v>5853</v>
      </c>
      <c r="B2299" s="13"/>
      <c r="C2299" t="e">
        <f t="shared" si="0"/>
        <v>#N/A</v>
      </c>
      <c r="D2299" t="b">
        <f t="shared" si="1"/>
        <v>0</v>
      </c>
      <c r="E2299">
        <f t="shared" si="2"/>
        <v>0</v>
      </c>
      <c r="F2299" s="11"/>
    </row>
    <row r="2300" spans="1:6" ht="15.75" customHeight="1" x14ac:dyDescent="0.15">
      <c r="A2300" s="12" t="s">
        <v>5854</v>
      </c>
      <c r="B2300" s="13"/>
      <c r="C2300" t="e">
        <f t="shared" si="0"/>
        <v>#N/A</v>
      </c>
      <c r="D2300" t="b">
        <f t="shared" si="1"/>
        <v>0</v>
      </c>
      <c r="E2300">
        <f t="shared" si="2"/>
        <v>0</v>
      </c>
      <c r="F2300" s="13"/>
    </row>
    <row r="2301" spans="1:6" ht="15.75" customHeight="1" x14ac:dyDescent="0.15">
      <c r="A2301" s="12" t="s">
        <v>5855</v>
      </c>
      <c r="B2301" s="13"/>
      <c r="C2301" t="e">
        <f t="shared" si="0"/>
        <v>#N/A</v>
      </c>
      <c r="D2301" t="b">
        <f t="shared" si="1"/>
        <v>0</v>
      </c>
      <c r="E2301">
        <f t="shared" si="2"/>
        <v>0</v>
      </c>
      <c r="F2301" s="13"/>
    </row>
    <row r="2302" spans="1:6" ht="15.75" customHeight="1" x14ac:dyDescent="0.15">
      <c r="A2302" s="12" t="s">
        <v>5856</v>
      </c>
      <c r="B2302" s="13"/>
      <c r="C2302" t="e">
        <f t="shared" si="0"/>
        <v>#N/A</v>
      </c>
      <c r="D2302" t="b">
        <f t="shared" si="1"/>
        <v>0</v>
      </c>
      <c r="E2302">
        <f t="shared" si="2"/>
        <v>0</v>
      </c>
      <c r="F2302" s="13"/>
    </row>
    <row r="2303" spans="1:6" ht="15.75" customHeight="1" x14ac:dyDescent="0.15">
      <c r="A2303" s="12" t="s">
        <v>5857</v>
      </c>
      <c r="B2303" s="13"/>
      <c r="C2303" t="e">
        <f t="shared" si="0"/>
        <v>#N/A</v>
      </c>
      <c r="D2303" t="b">
        <f t="shared" si="1"/>
        <v>0</v>
      </c>
      <c r="E2303">
        <f t="shared" si="2"/>
        <v>0</v>
      </c>
      <c r="F2303" s="13"/>
    </row>
    <row r="2304" spans="1:6" ht="15.75" customHeight="1" x14ac:dyDescent="0.15">
      <c r="A2304" s="12" t="s">
        <v>5858</v>
      </c>
      <c r="B2304" s="13"/>
      <c r="C2304" t="e">
        <f t="shared" si="0"/>
        <v>#N/A</v>
      </c>
      <c r="D2304" t="b">
        <f t="shared" si="1"/>
        <v>0</v>
      </c>
      <c r="E2304">
        <f t="shared" si="2"/>
        <v>0</v>
      </c>
      <c r="F2304" s="13"/>
    </row>
    <row r="2305" spans="1:6" ht="15.75" customHeight="1" x14ac:dyDescent="0.15">
      <c r="A2305" s="12" t="s">
        <v>5859</v>
      </c>
      <c r="B2305" s="13"/>
      <c r="C2305" t="e">
        <f t="shared" si="0"/>
        <v>#N/A</v>
      </c>
      <c r="D2305" t="b">
        <f t="shared" si="1"/>
        <v>0</v>
      </c>
      <c r="E2305">
        <f t="shared" si="2"/>
        <v>0</v>
      </c>
      <c r="F2305" s="13"/>
    </row>
    <row r="2306" spans="1:6" ht="15.75" customHeight="1" x14ac:dyDescent="0.15">
      <c r="A2306" s="12" t="s">
        <v>5860</v>
      </c>
      <c r="B2306" s="13"/>
      <c r="C2306" t="e">
        <f t="shared" si="0"/>
        <v>#N/A</v>
      </c>
      <c r="D2306" t="b">
        <f t="shared" si="1"/>
        <v>0</v>
      </c>
      <c r="E2306">
        <f t="shared" si="2"/>
        <v>0</v>
      </c>
      <c r="F2306" s="13"/>
    </row>
    <row r="2307" spans="1:6" ht="15.75" customHeight="1" x14ac:dyDescent="0.15">
      <c r="A2307" s="12" t="s">
        <v>5861</v>
      </c>
      <c r="B2307" s="13"/>
      <c r="C2307" t="e">
        <f t="shared" si="0"/>
        <v>#N/A</v>
      </c>
      <c r="D2307" t="b">
        <f t="shared" si="1"/>
        <v>0</v>
      </c>
      <c r="E2307">
        <f t="shared" si="2"/>
        <v>0</v>
      </c>
      <c r="F2307" s="13"/>
    </row>
    <row r="2308" spans="1:6" ht="15.75" customHeight="1" x14ac:dyDescent="0.15">
      <c r="A2308" s="12" t="s">
        <v>5862</v>
      </c>
      <c r="B2308" s="13"/>
      <c r="C2308" t="e">
        <f t="shared" si="0"/>
        <v>#N/A</v>
      </c>
      <c r="D2308" t="b">
        <f t="shared" si="1"/>
        <v>0</v>
      </c>
      <c r="E2308">
        <f t="shared" si="2"/>
        <v>0</v>
      </c>
      <c r="F2308" s="13"/>
    </row>
    <row r="2309" spans="1:6" ht="15.75" customHeight="1" x14ac:dyDescent="0.15">
      <c r="A2309" s="12" t="s">
        <v>5863</v>
      </c>
      <c r="B2309" s="13"/>
      <c r="C2309" t="e">
        <f t="shared" si="0"/>
        <v>#N/A</v>
      </c>
      <c r="D2309" t="b">
        <f t="shared" si="1"/>
        <v>0</v>
      </c>
      <c r="E2309">
        <f t="shared" si="2"/>
        <v>0</v>
      </c>
      <c r="F2309" s="13"/>
    </row>
    <row r="2310" spans="1:6" ht="15.75" customHeight="1" x14ac:dyDescent="0.15">
      <c r="A2310" s="12" t="s">
        <v>5864</v>
      </c>
      <c r="B2310" s="13"/>
      <c r="C2310" t="e">
        <f t="shared" si="0"/>
        <v>#N/A</v>
      </c>
      <c r="D2310" t="b">
        <f t="shared" si="1"/>
        <v>0</v>
      </c>
      <c r="E2310">
        <f t="shared" si="2"/>
        <v>0</v>
      </c>
      <c r="F2310" s="13"/>
    </row>
    <row r="2311" spans="1:6" ht="15.75" customHeight="1" x14ac:dyDescent="0.15">
      <c r="A2311" s="12" t="s">
        <v>5865</v>
      </c>
      <c r="B2311" s="13"/>
      <c r="C2311" t="e">
        <f t="shared" si="0"/>
        <v>#N/A</v>
      </c>
      <c r="D2311" t="b">
        <f t="shared" si="1"/>
        <v>0</v>
      </c>
      <c r="E2311">
        <f t="shared" si="2"/>
        <v>0</v>
      </c>
      <c r="F2311" s="13"/>
    </row>
    <row r="2312" spans="1:6" ht="15.75" customHeight="1" x14ac:dyDescent="0.15">
      <c r="A2312" s="12" t="s">
        <v>5866</v>
      </c>
      <c r="B2312" s="13"/>
      <c r="C2312" t="e">
        <f t="shared" si="0"/>
        <v>#N/A</v>
      </c>
      <c r="D2312" t="b">
        <f t="shared" si="1"/>
        <v>0</v>
      </c>
      <c r="E2312">
        <f t="shared" si="2"/>
        <v>0</v>
      </c>
      <c r="F2312" s="13"/>
    </row>
    <row r="2313" spans="1:6" ht="15.75" customHeight="1" x14ac:dyDescent="0.15">
      <c r="A2313" s="12" t="s">
        <v>5867</v>
      </c>
      <c r="B2313" s="13"/>
      <c r="C2313" t="e">
        <f t="shared" si="0"/>
        <v>#N/A</v>
      </c>
      <c r="D2313" t="b">
        <f t="shared" si="1"/>
        <v>0</v>
      </c>
      <c r="E2313">
        <f t="shared" si="2"/>
        <v>0</v>
      </c>
      <c r="F2313" s="13"/>
    </row>
    <row r="2314" spans="1:6" ht="15.75" customHeight="1" x14ac:dyDescent="0.15">
      <c r="A2314" s="12" t="s">
        <v>5868</v>
      </c>
      <c r="B2314" s="13"/>
      <c r="C2314" t="e">
        <f t="shared" si="0"/>
        <v>#N/A</v>
      </c>
      <c r="D2314" t="b">
        <f t="shared" si="1"/>
        <v>0</v>
      </c>
      <c r="E2314">
        <f t="shared" si="2"/>
        <v>0</v>
      </c>
      <c r="F2314" s="13"/>
    </row>
    <row r="2315" spans="1:6" ht="15.75" customHeight="1" x14ac:dyDescent="0.15">
      <c r="A2315" s="12" t="s">
        <v>5869</v>
      </c>
      <c r="B2315" s="13"/>
      <c r="C2315" t="e">
        <f t="shared" si="0"/>
        <v>#N/A</v>
      </c>
      <c r="D2315" t="b">
        <f t="shared" si="1"/>
        <v>0</v>
      </c>
      <c r="E2315">
        <f t="shared" si="2"/>
        <v>0</v>
      </c>
      <c r="F2315" s="13"/>
    </row>
    <row r="2316" spans="1:6" ht="15.75" customHeight="1" x14ac:dyDescent="0.15">
      <c r="A2316" s="12" t="s">
        <v>5870</v>
      </c>
      <c r="B2316" s="13"/>
      <c r="C2316" t="e">
        <f t="shared" si="0"/>
        <v>#N/A</v>
      </c>
      <c r="D2316" t="b">
        <f t="shared" si="1"/>
        <v>0</v>
      </c>
      <c r="E2316">
        <f t="shared" si="2"/>
        <v>0</v>
      </c>
      <c r="F2316" s="13"/>
    </row>
    <row r="2317" spans="1:6" ht="15.75" customHeight="1" x14ac:dyDescent="0.15">
      <c r="A2317" s="12" t="s">
        <v>5871</v>
      </c>
      <c r="B2317" s="13"/>
      <c r="C2317" t="e">
        <f t="shared" si="0"/>
        <v>#N/A</v>
      </c>
      <c r="D2317" t="b">
        <f t="shared" si="1"/>
        <v>0</v>
      </c>
      <c r="E2317">
        <f t="shared" si="2"/>
        <v>0</v>
      </c>
      <c r="F2317" s="13"/>
    </row>
    <row r="2318" spans="1:6" ht="15.75" customHeight="1" x14ac:dyDescent="0.15">
      <c r="A2318" s="12" t="s">
        <v>5872</v>
      </c>
      <c r="B2318" s="13"/>
      <c r="C2318" t="e">
        <f t="shared" si="0"/>
        <v>#N/A</v>
      </c>
      <c r="D2318" t="b">
        <f t="shared" si="1"/>
        <v>0</v>
      </c>
      <c r="E2318">
        <f t="shared" si="2"/>
        <v>0</v>
      </c>
      <c r="F2318" s="13"/>
    </row>
    <row r="2319" spans="1:6" ht="15.75" customHeight="1" x14ac:dyDescent="0.15">
      <c r="A2319" s="12" t="s">
        <v>5873</v>
      </c>
      <c r="B2319" s="13"/>
      <c r="C2319" t="e">
        <f t="shared" si="0"/>
        <v>#N/A</v>
      </c>
      <c r="D2319" t="b">
        <f t="shared" si="1"/>
        <v>0</v>
      </c>
      <c r="E2319">
        <f t="shared" si="2"/>
        <v>0</v>
      </c>
      <c r="F2319" s="13"/>
    </row>
    <row r="2320" spans="1:6" ht="15.75" customHeight="1" x14ac:dyDescent="0.15">
      <c r="A2320" s="12" t="s">
        <v>5874</v>
      </c>
      <c r="B2320" s="13"/>
      <c r="C2320" t="e">
        <f t="shared" si="0"/>
        <v>#N/A</v>
      </c>
      <c r="D2320" t="b">
        <f t="shared" si="1"/>
        <v>0</v>
      </c>
      <c r="E2320">
        <f t="shared" si="2"/>
        <v>0</v>
      </c>
      <c r="F2320" s="13"/>
    </row>
    <row r="2321" spans="1:6" ht="15.75" customHeight="1" x14ac:dyDescent="0.15">
      <c r="A2321" s="12" t="s">
        <v>5875</v>
      </c>
      <c r="B2321" s="13"/>
      <c r="C2321" t="e">
        <f t="shared" si="0"/>
        <v>#N/A</v>
      </c>
      <c r="D2321" t="b">
        <f t="shared" si="1"/>
        <v>0</v>
      </c>
      <c r="E2321">
        <f t="shared" si="2"/>
        <v>0</v>
      </c>
      <c r="F2321" s="13"/>
    </row>
    <row r="2322" spans="1:6" ht="15.75" customHeight="1" x14ac:dyDescent="0.15">
      <c r="A2322" s="12" t="s">
        <v>5876</v>
      </c>
      <c r="B2322" s="13"/>
      <c r="C2322" t="e">
        <f t="shared" si="0"/>
        <v>#N/A</v>
      </c>
      <c r="D2322" t="b">
        <f t="shared" si="1"/>
        <v>0</v>
      </c>
      <c r="E2322">
        <f t="shared" si="2"/>
        <v>0</v>
      </c>
      <c r="F2322" s="13"/>
    </row>
    <row r="2323" spans="1:6" ht="15.75" customHeight="1" x14ac:dyDescent="0.15">
      <c r="A2323" s="12" t="s">
        <v>5877</v>
      </c>
      <c r="B2323" s="13"/>
      <c r="C2323" t="e">
        <f t="shared" si="0"/>
        <v>#N/A</v>
      </c>
      <c r="D2323" t="b">
        <f t="shared" si="1"/>
        <v>0</v>
      </c>
      <c r="E2323">
        <f t="shared" si="2"/>
        <v>0</v>
      </c>
      <c r="F2323" s="13"/>
    </row>
    <row r="2324" spans="1:6" ht="15.75" customHeight="1" x14ac:dyDescent="0.15">
      <c r="A2324" s="12" t="s">
        <v>5878</v>
      </c>
      <c r="B2324" s="13"/>
      <c r="C2324" t="e">
        <f t="shared" si="0"/>
        <v>#N/A</v>
      </c>
      <c r="D2324" t="b">
        <f t="shared" si="1"/>
        <v>0</v>
      </c>
      <c r="E2324">
        <f t="shared" si="2"/>
        <v>0</v>
      </c>
      <c r="F2324" s="13"/>
    </row>
    <row r="2325" spans="1:6" ht="15.75" customHeight="1" x14ac:dyDescent="0.15">
      <c r="A2325" s="12" t="s">
        <v>5879</v>
      </c>
      <c r="B2325" s="13"/>
      <c r="C2325" t="e">
        <f t="shared" si="0"/>
        <v>#N/A</v>
      </c>
      <c r="D2325" t="b">
        <f t="shared" si="1"/>
        <v>0</v>
      </c>
      <c r="E2325">
        <f t="shared" si="2"/>
        <v>0</v>
      </c>
      <c r="F2325" s="13"/>
    </row>
    <row r="2326" spans="1:6" ht="15.75" customHeight="1" x14ac:dyDescent="0.15">
      <c r="A2326" s="12" t="s">
        <v>5880</v>
      </c>
      <c r="B2326" s="13"/>
      <c r="C2326" t="e">
        <f t="shared" si="0"/>
        <v>#N/A</v>
      </c>
      <c r="D2326" t="b">
        <f t="shared" si="1"/>
        <v>0</v>
      </c>
      <c r="E2326">
        <f t="shared" si="2"/>
        <v>0</v>
      </c>
      <c r="F2326" s="13"/>
    </row>
    <row r="2327" spans="1:6" ht="15.75" customHeight="1" x14ac:dyDescent="0.15">
      <c r="A2327" s="12" t="s">
        <v>5881</v>
      </c>
      <c r="B2327" s="13"/>
      <c r="C2327" t="e">
        <f t="shared" si="0"/>
        <v>#N/A</v>
      </c>
      <c r="D2327" t="b">
        <f t="shared" si="1"/>
        <v>0</v>
      </c>
      <c r="E2327">
        <f t="shared" si="2"/>
        <v>0</v>
      </c>
      <c r="F2327" s="13"/>
    </row>
    <row r="2328" spans="1:6" ht="15.75" customHeight="1" x14ac:dyDescent="0.15">
      <c r="A2328" s="12" t="s">
        <v>5882</v>
      </c>
      <c r="B2328" s="13"/>
      <c r="C2328" t="e">
        <f t="shared" si="0"/>
        <v>#N/A</v>
      </c>
      <c r="D2328" t="b">
        <f t="shared" si="1"/>
        <v>0</v>
      </c>
      <c r="E2328">
        <f t="shared" si="2"/>
        <v>0</v>
      </c>
      <c r="F2328" s="13"/>
    </row>
    <row r="2329" spans="1:6" ht="15.75" customHeight="1" x14ac:dyDescent="0.15">
      <c r="A2329" s="12" t="s">
        <v>5883</v>
      </c>
      <c r="B2329" s="13"/>
      <c r="C2329" t="e">
        <f t="shared" si="0"/>
        <v>#N/A</v>
      </c>
      <c r="D2329" t="b">
        <f t="shared" si="1"/>
        <v>0</v>
      </c>
      <c r="E2329">
        <f t="shared" si="2"/>
        <v>0</v>
      </c>
      <c r="F2329" s="13"/>
    </row>
    <row r="2330" spans="1:6" ht="15.75" customHeight="1" x14ac:dyDescent="0.15">
      <c r="A2330" s="12" t="s">
        <v>5884</v>
      </c>
      <c r="B2330" s="13"/>
      <c r="C2330" t="e">
        <f t="shared" si="0"/>
        <v>#N/A</v>
      </c>
      <c r="D2330" t="b">
        <f t="shared" si="1"/>
        <v>0</v>
      </c>
      <c r="E2330">
        <f t="shared" si="2"/>
        <v>0</v>
      </c>
      <c r="F2330" s="13"/>
    </row>
    <row r="2331" spans="1:6" ht="15.75" customHeight="1" x14ac:dyDescent="0.15">
      <c r="A2331" s="12" t="s">
        <v>5885</v>
      </c>
      <c r="B2331" s="13"/>
      <c r="C2331" t="e">
        <f t="shared" si="0"/>
        <v>#N/A</v>
      </c>
      <c r="D2331" t="b">
        <f t="shared" si="1"/>
        <v>0</v>
      </c>
      <c r="E2331">
        <f t="shared" si="2"/>
        <v>0</v>
      </c>
      <c r="F2331" s="13"/>
    </row>
    <row r="2332" spans="1:6" ht="15.75" customHeight="1" x14ac:dyDescent="0.15">
      <c r="A2332" s="12" t="s">
        <v>5886</v>
      </c>
      <c r="B2332" s="13"/>
      <c r="C2332" t="e">
        <f t="shared" si="0"/>
        <v>#N/A</v>
      </c>
      <c r="D2332" t="b">
        <f t="shared" si="1"/>
        <v>0</v>
      </c>
      <c r="E2332">
        <f t="shared" si="2"/>
        <v>0</v>
      </c>
      <c r="F2332" s="13"/>
    </row>
    <row r="2333" spans="1:6" ht="15.75" customHeight="1" x14ac:dyDescent="0.15">
      <c r="A2333" s="12" t="s">
        <v>5887</v>
      </c>
      <c r="B2333" s="13"/>
      <c r="C2333" t="e">
        <f t="shared" si="0"/>
        <v>#N/A</v>
      </c>
      <c r="D2333" t="b">
        <f t="shared" si="1"/>
        <v>0</v>
      </c>
      <c r="E2333">
        <f t="shared" si="2"/>
        <v>0</v>
      </c>
      <c r="F2333" s="13"/>
    </row>
    <row r="2334" spans="1:6" ht="15.75" customHeight="1" x14ac:dyDescent="0.15">
      <c r="A2334" s="12" t="s">
        <v>5888</v>
      </c>
      <c r="B2334" s="13"/>
      <c r="C2334" t="e">
        <f t="shared" si="0"/>
        <v>#N/A</v>
      </c>
      <c r="D2334" t="b">
        <f t="shared" si="1"/>
        <v>0</v>
      </c>
      <c r="E2334">
        <f t="shared" si="2"/>
        <v>0</v>
      </c>
      <c r="F2334" s="13"/>
    </row>
    <row r="2335" spans="1:6" ht="15.75" customHeight="1" x14ac:dyDescent="0.15">
      <c r="A2335" s="12" t="s">
        <v>5889</v>
      </c>
      <c r="B2335" s="13"/>
      <c r="C2335" t="e">
        <f t="shared" si="0"/>
        <v>#N/A</v>
      </c>
      <c r="D2335" t="b">
        <f t="shared" si="1"/>
        <v>0</v>
      </c>
      <c r="E2335">
        <f t="shared" si="2"/>
        <v>0</v>
      </c>
      <c r="F2335" s="13"/>
    </row>
    <row r="2336" spans="1:6" ht="15.75" customHeight="1" x14ac:dyDescent="0.15">
      <c r="A2336" s="12" t="s">
        <v>5890</v>
      </c>
      <c r="B2336" s="13"/>
      <c r="C2336" t="e">
        <f t="shared" si="0"/>
        <v>#N/A</v>
      </c>
      <c r="D2336" t="b">
        <f t="shared" si="1"/>
        <v>0</v>
      </c>
      <c r="E2336">
        <f t="shared" si="2"/>
        <v>0</v>
      </c>
      <c r="F2336" s="13"/>
    </row>
    <row r="2337" spans="1:6" ht="15.75" customHeight="1" x14ac:dyDescent="0.15">
      <c r="A2337" s="12" t="s">
        <v>5891</v>
      </c>
      <c r="B2337" s="13"/>
      <c r="C2337" t="e">
        <f t="shared" si="0"/>
        <v>#N/A</v>
      </c>
      <c r="D2337" t="b">
        <f t="shared" si="1"/>
        <v>0</v>
      </c>
      <c r="E2337">
        <f t="shared" si="2"/>
        <v>0</v>
      </c>
      <c r="F2337" s="13"/>
    </row>
    <row r="2338" spans="1:6" ht="15.75" customHeight="1" x14ac:dyDescent="0.15">
      <c r="A2338" s="12" t="s">
        <v>5892</v>
      </c>
      <c r="B2338" s="13"/>
      <c r="C2338" t="e">
        <f t="shared" si="0"/>
        <v>#N/A</v>
      </c>
      <c r="D2338" t="b">
        <f t="shared" si="1"/>
        <v>0</v>
      </c>
      <c r="E2338">
        <f t="shared" si="2"/>
        <v>0</v>
      </c>
      <c r="F2338" s="13"/>
    </row>
    <row r="2339" spans="1:6" ht="15.75" customHeight="1" x14ac:dyDescent="0.15">
      <c r="A2339" s="12" t="s">
        <v>5893</v>
      </c>
      <c r="B2339" s="13"/>
      <c r="C2339" t="e">
        <f t="shared" si="0"/>
        <v>#N/A</v>
      </c>
      <c r="D2339" t="b">
        <f t="shared" si="1"/>
        <v>0</v>
      </c>
      <c r="E2339">
        <f t="shared" si="2"/>
        <v>0</v>
      </c>
      <c r="F2339" s="13"/>
    </row>
    <row r="2340" spans="1:6" ht="15.75" customHeight="1" x14ac:dyDescent="0.15">
      <c r="A2340" s="12" t="s">
        <v>5894</v>
      </c>
      <c r="B2340" s="13"/>
      <c r="C2340" t="e">
        <f t="shared" si="0"/>
        <v>#N/A</v>
      </c>
      <c r="D2340" t="b">
        <f t="shared" si="1"/>
        <v>0</v>
      </c>
      <c r="E2340">
        <f t="shared" si="2"/>
        <v>0</v>
      </c>
      <c r="F2340" s="13"/>
    </row>
    <row r="2341" spans="1:6" ht="15.75" customHeight="1" x14ac:dyDescent="0.15">
      <c r="A2341" s="12" t="s">
        <v>5895</v>
      </c>
      <c r="B2341" s="13"/>
      <c r="C2341" t="e">
        <f t="shared" si="0"/>
        <v>#N/A</v>
      </c>
      <c r="D2341" t="b">
        <f t="shared" si="1"/>
        <v>0</v>
      </c>
      <c r="E2341">
        <f t="shared" si="2"/>
        <v>0</v>
      </c>
      <c r="F2341" s="13"/>
    </row>
    <row r="2342" spans="1:6" ht="15.75" customHeight="1" x14ac:dyDescent="0.15">
      <c r="A2342" s="12" t="s">
        <v>5896</v>
      </c>
      <c r="B2342" s="13"/>
      <c r="C2342" t="e">
        <f t="shared" si="0"/>
        <v>#N/A</v>
      </c>
      <c r="D2342" t="b">
        <f t="shared" si="1"/>
        <v>0</v>
      </c>
      <c r="E2342">
        <f t="shared" si="2"/>
        <v>0</v>
      </c>
      <c r="F2342" s="13"/>
    </row>
    <row r="2343" spans="1:6" ht="15.75" customHeight="1" x14ac:dyDescent="0.15">
      <c r="A2343" s="12" t="s">
        <v>5897</v>
      </c>
      <c r="B2343" s="13"/>
      <c r="C2343" t="e">
        <f t="shared" si="0"/>
        <v>#N/A</v>
      </c>
      <c r="D2343" t="b">
        <f t="shared" si="1"/>
        <v>0</v>
      </c>
      <c r="E2343">
        <f t="shared" si="2"/>
        <v>0</v>
      </c>
      <c r="F2343" s="13"/>
    </row>
    <row r="2344" spans="1:6" ht="15.75" customHeight="1" x14ac:dyDescent="0.15">
      <c r="A2344" s="12" t="s">
        <v>5898</v>
      </c>
      <c r="B2344" s="13"/>
      <c r="C2344" t="e">
        <f t="shared" si="0"/>
        <v>#N/A</v>
      </c>
      <c r="D2344" t="b">
        <f t="shared" si="1"/>
        <v>0</v>
      </c>
      <c r="E2344">
        <f t="shared" si="2"/>
        <v>0</v>
      </c>
      <c r="F2344" s="13"/>
    </row>
    <row r="2345" spans="1:6" ht="15.75" customHeight="1" x14ac:dyDescent="0.15">
      <c r="A2345" s="12" t="s">
        <v>5898</v>
      </c>
      <c r="B2345" s="13"/>
      <c r="C2345" t="e">
        <f t="shared" si="0"/>
        <v>#N/A</v>
      </c>
      <c r="D2345" t="b">
        <f t="shared" si="1"/>
        <v>0</v>
      </c>
      <c r="E2345">
        <f t="shared" si="2"/>
        <v>0</v>
      </c>
      <c r="F2345" s="13"/>
    </row>
    <row r="2346" spans="1:6" ht="15.75" customHeight="1" x14ac:dyDescent="0.15">
      <c r="A2346" s="12" t="s">
        <v>5899</v>
      </c>
      <c r="B2346" s="13"/>
      <c r="C2346" t="e">
        <f t="shared" si="0"/>
        <v>#N/A</v>
      </c>
      <c r="D2346" t="b">
        <f t="shared" si="1"/>
        <v>0</v>
      </c>
      <c r="E2346">
        <f t="shared" si="2"/>
        <v>0</v>
      </c>
      <c r="F2346" s="13"/>
    </row>
    <row r="2347" spans="1:6" ht="15.75" customHeight="1" x14ac:dyDescent="0.15">
      <c r="A2347" s="12" t="s">
        <v>5900</v>
      </c>
      <c r="B2347" s="13"/>
      <c r="C2347" t="e">
        <f t="shared" si="0"/>
        <v>#N/A</v>
      </c>
      <c r="D2347" t="b">
        <f t="shared" si="1"/>
        <v>0</v>
      </c>
      <c r="E2347">
        <f t="shared" si="2"/>
        <v>0</v>
      </c>
      <c r="F2347" s="13"/>
    </row>
    <row r="2348" spans="1:6" ht="15.75" customHeight="1" x14ac:dyDescent="0.15">
      <c r="A2348" s="12" t="s">
        <v>5901</v>
      </c>
      <c r="B2348" s="13"/>
      <c r="C2348" t="e">
        <f t="shared" si="0"/>
        <v>#N/A</v>
      </c>
      <c r="D2348" t="b">
        <f t="shared" si="1"/>
        <v>0</v>
      </c>
      <c r="E2348">
        <f t="shared" si="2"/>
        <v>0</v>
      </c>
      <c r="F2348" s="13"/>
    </row>
    <row r="2349" spans="1:6" ht="15.75" customHeight="1" x14ac:dyDescent="0.15">
      <c r="A2349" s="12" t="s">
        <v>5902</v>
      </c>
      <c r="B2349" s="13"/>
      <c r="C2349" t="e">
        <f t="shared" si="0"/>
        <v>#N/A</v>
      </c>
      <c r="D2349" t="b">
        <f t="shared" si="1"/>
        <v>0</v>
      </c>
      <c r="E2349">
        <f t="shared" si="2"/>
        <v>0</v>
      </c>
      <c r="F2349" s="13"/>
    </row>
    <row r="2350" spans="1:6" ht="15.75" customHeight="1" x14ac:dyDescent="0.15">
      <c r="A2350" s="12" t="s">
        <v>5903</v>
      </c>
      <c r="B2350" s="13"/>
      <c r="C2350" t="e">
        <f t="shared" si="0"/>
        <v>#N/A</v>
      </c>
      <c r="D2350" t="b">
        <f t="shared" si="1"/>
        <v>0</v>
      </c>
      <c r="E2350">
        <f t="shared" si="2"/>
        <v>0</v>
      </c>
      <c r="F2350" s="13"/>
    </row>
    <row r="2351" spans="1:6" ht="15.75" customHeight="1" x14ac:dyDescent="0.15">
      <c r="A2351" s="12" t="s">
        <v>5904</v>
      </c>
      <c r="B2351" s="13"/>
      <c r="C2351" t="e">
        <f t="shared" si="0"/>
        <v>#N/A</v>
      </c>
      <c r="D2351" t="b">
        <f t="shared" si="1"/>
        <v>0</v>
      </c>
      <c r="E2351">
        <f t="shared" si="2"/>
        <v>0</v>
      </c>
      <c r="F2351" s="13"/>
    </row>
    <row r="2352" spans="1:6" ht="15.75" customHeight="1" x14ac:dyDescent="0.15">
      <c r="A2352" s="12" t="s">
        <v>5905</v>
      </c>
      <c r="B2352" s="13"/>
      <c r="C2352" t="e">
        <f t="shared" si="0"/>
        <v>#N/A</v>
      </c>
      <c r="D2352" t="b">
        <f t="shared" si="1"/>
        <v>0</v>
      </c>
      <c r="E2352">
        <f t="shared" si="2"/>
        <v>0</v>
      </c>
      <c r="F2352" s="13"/>
    </row>
    <row r="2353" spans="1:6" ht="15.75" customHeight="1" x14ac:dyDescent="0.15">
      <c r="A2353" s="12" t="s">
        <v>5905</v>
      </c>
      <c r="B2353" s="13"/>
      <c r="C2353" t="e">
        <f t="shared" si="0"/>
        <v>#N/A</v>
      </c>
      <c r="D2353" t="b">
        <f t="shared" si="1"/>
        <v>0</v>
      </c>
      <c r="E2353">
        <f t="shared" si="2"/>
        <v>0</v>
      </c>
      <c r="F2353" s="13"/>
    </row>
    <row r="2354" spans="1:6" ht="15.75" customHeight="1" x14ac:dyDescent="0.15">
      <c r="A2354" s="12" t="s">
        <v>5906</v>
      </c>
      <c r="B2354" s="13"/>
      <c r="C2354" t="e">
        <f t="shared" si="0"/>
        <v>#N/A</v>
      </c>
      <c r="D2354" t="b">
        <f t="shared" si="1"/>
        <v>0</v>
      </c>
      <c r="E2354">
        <f t="shared" si="2"/>
        <v>0</v>
      </c>
      <c r="F2354" s="13"/>
    </row>
    <row r="2355" spans="1:6" ht="15.75" customHeight="1" x14ac:dyDescent="0.15">
      <c r="A2355" s="12" t="s">
        <v>5907</v>
      </c>
      <c r="B2355" s="13"/>
      <c r="C2355" t="e">
        <f t="shared" si="0"/>
        <v>#N/A</v>
      </c>
      <c r="D2355" t="b">
        <f t="shared" si="1"/>
        <v>0</v>
      </c>
      <c r="E2355">
        <f t="shared" si="2"/>
        <v>0</v>
      </c>
      <c r="F2355" s="13"/>
    </row>
    <row r="2356" spans="1:6" ht="15.75" customHeight="1" x14ac:dyDescent="0.15">
      <c r="A2356" s="12" t="s">
        <v>5908</v>
      </c>
      <c r="B2356" s="13"/>
      <c r="C2356" t="e">
        <f t="shared" si="0"/>
        <v>#N/A</v>
      </c>
      <c r="D2356" t="b">
        <f t="shared" si="1"/>
        <v>0</v>
      </c>
      <c r="E2356">
        <f t="shared" si="2"/>
        <v>0</v>
      </c>
      <c r="F2356" s="13"/>
    </row>
    <row r="2357" spans="1:6" ht="15.75" customHeight="1" x14ac:dyDescent="0.15">
      <c r="A2357" s="12" t="s">
        <v>5909</v>
      </c>
      <c r="B2357" s="13"/>
      <c r="C2357" t="e">
        <f t="shared" si="0"/>
        <v>#N/A</v>
      </c>
      <c r="D2357" t="b">
        <f t="shared" si="1"/>
        <v>0</v>
      </c>
      <c r="E2357">
        <f t="shared" si="2"/>
        <v>0</v>
      </c>
      <c r="F2357" s="13"/>
    </row>
    <row r="2358" spans="1:6" ht="15.75" customHeight="1" x14ac:dyDescent="0.15">
      <c r="A2358" s="12" t="s">
        <v>5910</v>
      </c>
      <c r="B2358" s="13"/>
      <c r="C2358" t="e">
        <f t="shared" si="0"/>
        <v>#N/A</v>
      </c>
      <c r="D2358" t="b">
        <f t="shared" si="1"/>
        <v>0</v>
      </c>
      <c r="E2358">
        <f t="shared" si="2"/>
        <v>0</v>
      </c>
      <c r="F2358" s="13"/>
    </row>
    <row r="2359" spans="1:6" ht="15.75" customHeight="1" x14ac:dyDescent="0.15">
      <c r="A2359" s="12" t="s">
        <v>5911</v>
      </c>
      <c r="B2359" s="13"/>
      <c r="C2359" t="e">
        <f t="shared" si="0"/>
        <v>#N/A</v>
      </c>
      <c r="D2359" t="b">
        <f t="shared" si="1"/>
        <v>0</v>
      </c>
      <c r="E2359">
        <f t="shared" si="2"/>
        <v>0</v>
      </c>
      <c r="F2359" s="13"/>
    </row>
    <row r="2360" spans="1:6" ht="15.75" customHeight="1" x14ac:dyDescent="0.15">
      <c r="A2360" s="12" t="s">
        <v>5912</v>
      </c>
      <c r="B2360" s="13"/>
      <c r="C2360" t="e">
        <f t="shared" si="0"/>
        <v>#N/A</v>
      </c>
      <c r="D2360" t="b">
        <f t="shared" si="1"/>
        <v>0</v>
      </c>
      <c r="E2360">
        <f t="shared" si="2"/>
        <v>0</v>
      </c>
      <c r="F2360" s="13"/>
    </row>
    <row r="2361" spans="1:6" ht="15.75" customHeight="1" x14ac:dyDescent="0.15">
      <c r="A2361" s="12" t="s">
        <v>5913</v>
      </c>
      <c r="B2361" s="13"/>
      <c r="C2361" t="e">
        <f t="shared" si="0"/>
        <v>#N/A</v>
      </c>
      <c r="D2361" t="b">
        <f t="shared" si="1"/>
        <v>0</v>
      </c>
      <c r="E2361">
        <f t="shared" si="2"/>
        <v>0</v>
      </c>
      <c r="F2361" s="13"/>
    </row>
    <row r="2362" spans="1:6" ht="15.75" customHeight="1" x14ac:dyDescent="0.15">
      <c r="A2362" s="12" t="s">
        <v>5914</v>
      </c>
      <c r="B2362" s="13"/>
      <c r="C2362" t="e">
        <f t="shared" si="0"/>
        <v>#N/A</v>
      </c>
      <c r="D2362" t="b">
        <f t="shared" si="1"/>
        <v>0</v>
      </c>
      <c r="E2362">
        <f t="shared" si="2"/>
        <v>0</v>
      </c>
      <c r="F2362" s="13"/>
    </row>
    <row r="2363" spans="1:6" ht="15.75" customHeight="1" x14ac:dyDescent="0.15">
      <c r="A2363" s="12" t="s">
        <v>5915</v>
      </c>
      <c r="B2363" s="13"/>
      <c r="C2363" t="e">
        <f t="shared" si="0"/>
        <v>#N/A</v>
      </c>
      <c r="D2363" t="b">
        <f t="shared" si="1"/>
        <v>0</v>
      </c>
      <c r="E2363">
        <f t="shared" si="2"/>
        <v>0</v>
      </c>
      <c r="F2363" s="13"/>
    </row>
    <row r="2364" spans="1:6" ht="15.75" customHeight="1" x14ac:dyDescent="0.15">
      <c r="A2364" s="12" t="s">
        <v>5916</v>
      </c>
      <c r="B2364" s="13"/>
      <c r="C2364" t="e">
        <f t="shared" si="0"/>
        <v>#N/A</v>
      </c>
      <c r="D2364" t="b">
        <f t="shared" si="1"/>
        <v>0</v>
      </c>
      <c r="E2364">
        <f t="shared" si="2"/>
        <v>0</v>
      </c>
      <c r="F2364" s="13"/>
    </row>
    <row r="2365" spans="1:6" ht="15.75" customHeight="1" x14ac:dyDescent="0.15">
      <c r="A2365" s="12" t="s">
        <v>5917</v>
      </c>
      <c r="B2365" s="13"/>
      <c r="C2365" t="e">
        <f t="shared" si="0"/>
        <v>#N/A</v>
      </c>
      <c r="D2365" t="b">
        <f t="shared" si="1"/>
        <v>0</v>
      </c>
      <c r="E2365">
        <f t="shared" si="2"/>
        <v>0</v>
      </c>
      <c r="F2365" s="13"/>
    </row>
    <row r="2366" spans="1:6" ht="15.75" customHeight="1" x14ac:dyDescent="0.15">
      <c r="A2366" s="12" t="s">
        <v>5918</v>
      </c>
      <c r="B2366" s="13"/>
      <c r="C2366" t="e">
        <f t="shared" si="0"/>
        <v>#N/A</v>
      </c>
      <c r="D2366" t="b">
        <f t="shared" si="1"/>
        <v>0</v>
      </c>
      <c r="E2366">
        <f t="shared" si="2"/>
        <v>0</v>
      </c>
      <c r="F2366" s="13"/>
    </row>
    <row r="2367" spans="1:6" ht="15.75" customHeight="1" x14ac:dyDescent="0.15">
      <c r="A2367" s="12" t="s">
        <v>5919</v>
      </c>
      <c r="B2367" s="13"/>
      <c r="C2367" t="e">
        <f t="shared" si="0"/>
        <v>#N/A</v>
      </c>
      <c r="D2367" t="b">
        <f t="shared" si="1"/>
        <v>0</v>
      </c>
      <c r="E2367">
        <f t="shared" si="2"/>
        <v>0</v>
      </c>
      <c r="F2367" s="13"/>
    </row>
    <row r="2368" spans="1:6" ht="15.75" customHeight="1" x14ac:dyDescent="0.15">
      <c r="A2368" s="12" t="s">
        <v>5920</v>
      </c>
      <c r="B2368" s="13"/>
      <c r="C2368" t="e">
        <f t="shared" si="0"/>
        <v>#N/A</v>
      </c>
      <c r="D2368" t="b">
        <f t="shared" si="1"/>
        <v>0</v>
      </c>
      <c r="E2368">
        <f t="shared" si="2"/>
        <v>0</v>
      </c>
      <c r="F2368" s="13"/>
    </row>
    <row r="2369" spans="1:6" ht="15.75" customHeight="1" x14ac:dyDescent="0.15">
      <c r="A2369" s="12" t="s">
        <v>5921</v>
      </c>
      <c r="B2369" s="13"/>
      <c r="C2369" t="e">
        <f t="shared" si="0"/>
        <v>#N/A</v>
      </c>
      <c r="D2369" t="b">
        <f t="shared" si="1"/>
        <v>0</v>
      </c>
      <c r="E2369">
        <f t="shared" si="2"/>
        <v>0</v>
      </c>
      <c r="F2369" s="13"/>
    </row>
    <row r="2370" spans="1:6" ht="15.75" customHeight="1" x14ac:dyDescent="0.15">
      <c r="A2370" s="12" t="s">
        <v>5922</v>
      </c>
      <c r="B2370" s="13"/>
      <c r="C2370" t="e">
        <f t="shared" si="0"/>
        <v>#N/A</v>
      </c>
      <c r="D2370" t="b">
        <f t="shared" si="1"/>
        <v>0</v>
      </c>
      <c r="E2370">
        <f t="shared" si="2"/>
        <v>0</v>
      </c>
      <c r="F2370" s="13"/>
    </row>
    <row r="2371" spans="1:6" ht="15.75" customHeight="1" x14ac:dyDescent="0.15">
      <c r="A2371" s="12" t="s">
        <v>5923</v>
      </c>
      <c r="B2371" s="13"/>
      <c r="C2371" t="e">
        <f t="shared" si="0"/>
        <v>#N/A</v>
      </c>
      <c r="D2371" t="b">
        <f t="shared" si="1"/>
        <v>0</v>
      </c>
      <c r="E2371">
        <f t="shared" si="2"/>
        <v>0</v>
      </c>
      <c r="F2371" s="13"/>
    </row>
    <row r="2372" spans="1:6" ht="15.75" customHeight="1" x14ac:dyDescent="0.15">
      <c r="A2372" s="12" t="s">
        <v>5924</v>
      </c>
      <c r="B2372" s="13"/>
      <c r="C2372" t="e">
        <f t="shared" si="0"/>
        <v>#N/A</v>
      </c>
      <c r="D2372" t="b">
        <f t="shared" si="1"/>
        <v>0</v>
      </c>
      <c r="E2372">
        <f t="shared" si="2"/>
        <v>0</v>
      </c>
      <c r="F2372" s="13"/>
    </row>
    <row r="2373" spans="1:6" ht="15.75" customHeight="1" x14ac:dyDescent="0.15">
      <c r="A2373" s="12" t="s">
        <v>5925</v>
      </c>
      <c r="B2373" s="13"/>
      <c r="C2373" t="e">
        <f t="shared" si="0"/>
        <v>#N/A</v>
      </c>
      <c r="D2373" t="b">
        <f t="shared" si="1"/>
        <v>0</v>
      </c>
      <c r="E2373">
        <f t="shared" si="2"/>
        <v>0</v>
      </c>
      <c r="F2373" s="13"/>
    </row>
    <row r="2374" spans="1:6" ht="15.75" customHeight="1" x14ac:dyDescent="0.15">
      <c r="A2374" s="12" t="s">
        <v>5926</v>
      </c>
      <c r="B2374" s="13"/>
      <c r="C2374" t="e">
        <f t="shared" si="0"/>
        <v>#N/A</v>
      </c>
      <c r="D2374" t="b">
        <f t="shared" si="1"/>
        <v>0</v>
      </c>
      <c r="E2374">
        <f t="shared" si="2"/>
        <v>0</v>
      </c>
      <c r="F2374" s="13"/>
    </row>
    <row r="2375" spans="1:6" ht="15.75" customHeight="1" x14ac:dyDescent="0.15">
      <c r="A2375" s="12" t="s">
        <v>5927</v>
      </c>
      <c r="B2375" s="13"/>
      <c r="C2375" t="e">
        <f t="shared" si="0"/>
        <v>#N/A</v>
      </c>
      <c r="D2375" t="b">
        <f t="shared" si="1"/>
        <v>0</v>
      </c>
      <c r="E2375">
        <f t="shared" si="2"/>
        <v>0</v>
      </c>
      <c r="F2375" s="13"/>
    </row>
    <row r="2376" spans="1:6" ht="15.75" customHeight="1" x14ac:dyDescent="0.15">
      <c r="A2376" s="12" t="s">
        <v>5928</v>
      </c>
      <c r="B2376" s="13"/>
      <c r="C2376" t="e">
        <f t="shared" si="0"/>
        <v>#N/A</v>
      </c>
      <c r="D2376" t="b">
        <f t="shared" si="1"/>
        <v>0</v>
      </c>
      <c r="E2376">
        <f t="shared" si="2"/>
        <v>0</v>
      </c>
      <c r="F2376" s="13"/>
    </row>
    <row r="2377" spans="1:6" ht="15.75" customHeight="1" x14ac:dyDescent="0.15">
      <c r="A2377" s="12" t="s">
        <v>5929</v>
      </c>
      <c r="B2377" s="13"/>
      <c r="C2377" t="e">
        <f t="shared" si="0"/>
        <v>#N/A</v>
      </c>
      <c r="D2377" t="b">
        <f t="shared" si="1"/>
        <v>0</v>
      </c>
      <c r="E2377">
        <f t="shared" si="2"/>
        <v>0</v>
      </c>
      <c r="F2377" s="13"/>
    </row>
    <row r="2378" spans="1:6" ht="15.75" customHeight="1" x14ac:dyDescent="0.15">
      <c r="A2378" s="12" t="s">
        <v>5930</v>
      </c>
      <c r="B2378" s="13"/>
      <c r="C2378" t="e">
        <f t="shared" si="0"/>
        <v>#N/A</v>
      </c>
      <c r="D2378" t="b">
        <f t="shared" si="1"/>
        <v>0</v>
      </c>
      <c r="E2378">
        <f t="shared" si="2"/>
        <v>0</v>
      </c>
      <c r="F2378" s="13"/>
    </row>
    <row r="2379" spans="1:6" ht="15.75" customHeight="1" x14ac:dyDescent="0.15">
      <c r="A2379" s="12" t="s">
        <v>5931</v>
      </c>
      <c r="B2379" s="13"/>
      <c r="C2379" t="e">
        <f t="shared" si="0"/>
        <v>#N/A</v>
      </c>
      <c r="D2379" t="b">
        <f t="shared" si="1"/>
        <v>0</v>
      </c>
      <c r="E2379">
        <f t="shared" si="2"/>
        <v>0</v>
      </c>
      <c r="F2379" s="13"/>
    </row>
    <row r="2380" spans="1:6" ht="15.75" customHeight="1" x14ac:dyDescent="0.15">
      <c r="A2380" s="12" t="s">
        <v>5932</v>
      </c>
      <c r="B2380" s="13"/>
      <c r="C2380" t="e">
        <f t="shared" si="0"/>
        <v>#N/A</v>
      </c>
      <c r="D2380" t="b">
        <f t="shared" si="1"/>
        <v>0</v>
      </c>
      <c r="E2380">
        <f t="shared" si="2"/>
        <v>0</v>
      </c>
      <c r="F2380" s="13"/>
    </row>
    <row r="2381" spans="1:6" ht="15.75" customHeight="1" x14ac:dyDescent="0.15">
      <c r="A2381" s="12" t="s">
        <v>5933</v>
      </c>
      <c r="B2381" s="13"/>
      <c r="C2381" t="e">
        <f t="shared" si="0"/>
        <v>#N/A</v>
      </c>
      <c r="D2381" t="b">
        <f t="shared" si="1"/>
        <v>0</v>
      </c>
      <c r="E2381">
        <f t="shared" si="2"/>
        <v>0</v>
      </c>
      <c r="F2381" s="13"/>
    </row>
    <row r="2382" spans="1:6" ht="15.75" customHeight="1" x14ac:dyDescent="0.15">
      <c r="A2382" s="12" t="s">
        <v>5934</v>
      </c>
      <c r="B2382" s="13"/>
      <c r="C2382" t="e">
        <f t="shared" si="0"/>
        <v>#N/A</v>
      </c>
      <c r="D2382" t="b">
        <f t="shared" si="1"/>
        <v>0</v>
      </c>
      <c r="E2382">
        <f t="shared" si="2"/>
        <v>0</v>
      </c>
      <c r="F2382" s="13"/>
    </row>
    <row r="2383" spans="1:6" ht="15.75" customHeight="1" x14ac:dyDescent="0.15">
      <c r="A2383" s="12" t="s">
        <v>5935</v>
      </c>
      <c r="B2383" s="13"/>
      <c r="C2383" t="e">
        <f t="shared" si="0"/>
        <v>#N/A</v>
      </c>
      <c r="D2383" t="b">
        <f t="shared" si="1"/>
        <v>0</v>
      </c>
      <c r="E2383">
        <f t="shared" si="2"/>
        <v>0</v>
      </c>
      <c r="F2383" s="13"/>
    </row>
    <row r="2384" spans="1:6" ht="15.75" customHeight="1" x14ac:dyDescent="0.15">
      <c r="A2384" s="12" t="s">
        <v>5936</v>
      </c>
      <c r="B2384" s="13"/>
      <c r="C2384" t="e">
        <f t="shared" si="0"/>
        <v>#N/A</v>
      </c>
      <c r="D2384" t="b">
        <f t="shared" si="1"/>
        <v>0</v>
      </c>
      <c r="E2384">
        <f t="shared" si="2"/>
        <v>0</v>
      </c>
      <c r="F2384" s="13"/>
    </row>
    <row r="2385" spans="1:6" ht="15.75" customHeight="1" x14ac:dyDescent="0.15">
      <c r="A2385" s="12" t="s">
        <v>5937</v>
      </c>
      <c r="B2385" s="13"/>
      <c r="C2385" t="e">
        <f t="shared" si="0"/>
        <v>#N/A</v>
      </c>
      <c r="D2385" t="b">
        <f t="shared" si="1"/>
        <v>0</v>
      </c>
      <c r="E2385">
        <f t="shared" si="2"/>
        <v>0</v>
      </c>
      <c r="F2385" s="13"/>
    </row>
    <row r="2386" spans="1:6" ht="15.75" customHeight="1" x14ac:dyDescent="0.15">
      <c r="A2386" s="12" t="s">
        <v>5938</v>
      </c>
      <c r="B2386" s="13"/>
      <c r="C2386" t="e">
        <f t="shared" si="0"/>
        <v>#N/A</v>
      </c>
      <c r="D2386" t="b">
        <f t="shared" si="1"/>
        <v>0</v>
      </c>
      <c r="E2386">
        <f t="shared" si="2"/>
        <v>0</v>
      </c>
      <c r="F2386" s="13"/>
    </row>
    <row r="2387" spans="1:6" ht="15.75" customHeight="1" x14ac:dyDescent="0.15">
      <c r="A2387" s="12" t="s">
        <v>5939</v>
      </c>
      <c r="B2387" s="13"/>
      <c r="C2387" t="e">
        <f t="shared" si="0"/>
        <v>#N/A</v>
      </c>
      <c r="D2387" t="b">
        <f t="shared" si="1"/>
        <v>0</v>
      </c>
      <c r="E2387">
        <f t="shared" si="2"/>
        <v>0</v>
      </c>
      <c r="F2387" s="13"/>
    </row>
    <row r="2388" spans="1:6" ht="15.75" customHeight="1" x14ac:dyDescent="0.15">
      <c r="A2388" s="12" t="s">
        <v>5940</v>
      </c>
      <c r="B2388" s="13"/>
      <c r="C2388" t="e">
        <f t="shared" si="0"/>
        <v>#N/A</v>
      </c>
      <c r="D2388" t="b">
        <f t="shared" si="1"/>
        <v>0</v>
      </c>
      <c r="E2388">
        <f t="shared" si="2"/>
        <v>0</v>
      </c>
      <c r="F2388" s="13"/>
    </row>
    <row r="2389" spans="1:6" ht="15.75" customHeight="1" x14ac:dyDescent="0.15">
      <c r="A2389" s="12" t="s">
        <v>5941</v>
      </c>
      <c r="B2389" s="13"/>
      <c r="C2389" t="e">
        <f t="shared" si="0"/>
        <v>#N/A</v>
      </c>
      <c r="D2389" t="b">
        <f t="shared" si="1"/>
        <v>0</v>
      </c>
      <c r="E2389">
        <f t="shared" si="2"/>
        <v>0</v>
      </c>
      <c r="F2389" s="13"/>
    </row>
    <row r="2390" spans="1:6" ht="15.75" customHeight="1" x14ac:dyDescent="0.15">
      <c r="A2390" s="12" t="s">
        <v>5942</v>
      </c>
      <c r="B2390" s="13"/>
      <c r="C2390" t="e">
        <f t="shared" si="0"/>
        <v>#N/A</v>
      </c>
      <c r="D2390" t="b">
        <f t="shared" si="1"/>
        <v>0</v>
      </c>
      <c r="E2390">
        <f t="shared" si="2"/>
        <v>0</v>
      </c>
      <c r="F2390" s="13"/>
    </row>
    <row r="2391" spans="1:6" ht="15.75" customHeight="1" x14ac:dyDescent="0.15">
      <c r="A2391" s="12" t="s">
        <v>5943</v>
      </c>
      <c r="B2391" s="13"/>
      <c r="C2391" t="e">
        <f t="shared" si="0"/>
        <v>#N/A</v>
      </c>
      <c r="D2391" t="b">
        <f t="shared" si="1"/>
        <v>0</v>
      </c>
      <c r="E2391">
        <f t="shared" si="2"/>
        <v>0</v>
      </c>
      <c r="F2391" s="13"/>
    </row>
    <row r="2392" spans="1:6" ht="15.75" customHeight="1" x14ac:dyDescent="0.15">
      <c r="A2392" s="12" t="s">
        <v>5944</v>
      </c>
      <c r="B2392" s="13"/>
      <c r="C2392" t="e">
        <f t="shared" si="0"/>
        <v>#N/A</v>
      </c>
      <c r="D2392" t="b">
        <f t="shared" si="1"/>
        <v>0</v>
      </c>
      <c r="E2392">
        <f t="shared" si="2"/>
        <v>0</v>
      </c>
      <c r="F2392" s="13"/>
    </row>
    <row r="2393" spans="1:6" ht="15.75" customHeight="1" x14ac:dyDescent="0.15">
      <c r="A2393" s="12" t="s">
        <v>5945</v>
      </c>
      <c r="B2393" s="13"/>
      <c r="C2393" t="e">
        <f t="shared" si="0"/>
        <v>#N/A</v>
      </c>
      <c r="D2393" t="b">
        <f t="shared" si="1"/>
        <v>0</v>
      </c>
      <c r="E2393">
        <f t="shared" si="2"/>
        <v>0</v>
      </c>
      <c r="F2393" s="13"/>
    </row>
    <row r="2394" spans="1:6" ht="15.75" customHeight="1" x14ac:dyDescent="0.15">
      <c r="A2394" s="12" t="s">
        <v>5946</v>
      </c>
      <c r="B2394" s="13"/>
      <c r="C2394" t="e">
        <f t="shared" si="0"/>
        <v>#N/A</v>
      </c>
      <c r="D2394" t="b">
        <f t="shared" si="1"/>
        <v>0</v>
      </c>
      <c r="E2394">
        <f t="shared" si="2"/>
        <v>0</v>
      </c>
      <c r="F2394" s="13"/>
    </row>
    <row r="2395" spans="1:6" ht="15.75" customHeight="1" x14ac:dyDescent="0.15">
      <c r="A2395" s="12" t="s">
        <v>5947</v>
      </c>
      <c r="B2395" s="13"/>
      <c r="C2395" t="e">
        <f t="shared" si="0"/>
        <v>#N/A</v>
      </c>
      <c r="D2395" t="b">
        <f t="shared" si="1"/>
        <v>0</v>
      </c>
      <c r="E2395">
        <f t="shared" si="2"/>
        <v>0</v>
      </c>
      <c r="F2395" s="13"/>
    </row>
    <row r="2396" spans="1:6" ht="15.75" customHeight="1" x14ac:dyDescent="0.15">
      <c r="A2396" s="12" t="s">
        <v>5948</v>
      </c>
      <c r="B2396" s="13"/>
      <c r="C2396" t="e">
        <f t="shared" si="0"/>
        <v>#N/A</v>
      </c>
      <c r="D2396" t="b">
        <f t="shared" si="1"/>
        <v>0</v>
      </c>
      <c r="E2396">
        <f t="shared" si="2"/>
        <v>0</v>
      </c>
      <c r="F2396" s="13"/>
    </row>
    <row r="2397" spans="1:6" ht="15.75" customHeight="1" x14ac:dyDescent="0.15">
      <c r="A2397" s="12" t="s">
        <v>5949</v>
      </c>
      <c r="B2397" s="13"/>
      <c r="C2397" t="e">
        <f t="shared" si="0"/>
        <v>#N/A</v>
      </c>
      <c r="D2397" t="b">
        <f t="shared" si="1"/>
        <v>0</v>
      </c>
      <c r="E2397">
        <f t="shared" si="2"/>
        <v>0</v>
      </c>
      <c r="F2397" s="13"/>
    </row>
    <row r="2398" spans="1:6" ht="15.75" customHeight="1" x14ac:dyDescent="0.15">
      <c r="A2398" s="12" t="s">
        <v>5950</v>
      </c>
      <c r="B2398" s="13"/>
      <c r="C2398" t="e">
        <f t="shared" si="0"/>
        <v>#N/A</v>
      </c>
      <c r="D2398" t="b">
        <f t="shared" si="1"/>
        <v>0</v>
      </c>
      <c r="E2398">
        <f t="shared" si="2"/>
        <v>0</v>
      </c>
      <c r="F2398" s="13"/>
    </row>
    <row r="2399" spans="1:6" ht="15.75" customHeight="1" x14ac:dyDescent="0.15">
      <c r="A2399" s="12" t="s">
        <v>5951</v>
      </c>
      <c r="B2399" s="13"/>
      <c r="C2399" t="e">
        <f t="shared" si="0"/>
        <v>#N/A</v>
      </c>
      <c r="D2399" t="b">
        <f t="shared" si="1"/>
        <v>0</v>
      </c>
      <c r="E2399">
        <f t="shared" si="2"/>
        <v>0</v>
      </c>
      <c r="F2399" s="13"/>
    </row>
    <row r="2400" spans="1:6" ht="15.75" customHeight="1" x14ac:dyDescent="0.15">
      <c r="A2400" s="12" t="s">
        <v>5952</v>
      </c>
      <c r="B2400" s="13"/>
      <c r="C2400" t="e">
        <f t="shared" si="0"/>
        <v>#N/A</v>
      </c>
      <c r="D2400" t="b">
        <f t="shared" si="1"/>
        <v>0</v>
      </c>
      <c r="E2400">
        <f t="shared" si="2"/>
        <v>0</v>
      </c>
      <c r="F2400" s="13"/>
    </row>
    <row r="2401" spans="1:6" ht="15.75" customHeight="1" x14ac:dyDescent="0.15">
      <c r="A2401" s="12" t="s">
        <v>5953</v>
      </c>
      <c r="B2401" s="13"/>
      <c r="C2401" t="e">
        <f t="shared" si="0"/>
        <v>#N/A</v>
      </c>
      <c r="D2401" t="b">
        <f t="shared" si="1"/>
        <v>0</v>
      </c>
      <c r="E2401">
        <f t="shared" si="2"/>
        <v>0</v>
      </c>
      <c r="F2401" s="13"/>
    </row>
    <row r="2402" spans="1:6" ht="15.75" customHeight="1" x14ac:dyDescent="0.15">
      <c r="A2402" s="12" t="s">
        <v>5954</v>
      </c>
      <c r="B2402" s="13"/>
      <c r="C2402" t="e">
        <f t="shared" si="0"/>
        <v>#N/A</v>
      </c>
      <c r="D2402" t="b">
        <f t="shared" si="1"/>
        <v>0</v>
      </c>
      <c r="E2402">
        <f t="shared" si="2"/>
        <v>0</v>
      </c>
      <c r="F2402" s="13"/>
    </row>
    <row r="2403" spans="1:6" ht="15.75" customHeight="1" x14ac:dyDescent="0.15">
      <c r="A2403" s="12" t="s">
        <v>5955</v>
      </c>
      <c r="B2403" s="13"/>
      <c r="C2403" t="e">
        <f t="shared" si="0"/>
        <v>#N/A</v>
      </c>
      <c r="D2403" t="b">
        <f t="shared" si="1"/>
        <v>0</v>
      </c>
      <c r="E2403">
        <f t="shared" si="2"/>
        <v>0</v>
      </c>
      <c r="F2403" s="13"/>
    </row>
    <row r="2404" spans="1:6" ht="15.75" customHeight="1" x14ac:dyDescent="0.15">
      <c r="A2404" s="12" t="s">
        <v>5956</v>
      </c>
      <c r="B2404" s="13"/>
      <c r="C2404" t="e">
        <f t="shared" si="0"/>
        <v>#N/A</v>
      </c>
      <c r="D2404" t="b">
        <f t="shared" si="1"/>
        <v>0</v>
      </c>
      <c r="E2404">
        <f t="shared" si="2"/>
        <v>0</v>
      </c>
      <c r="F2404" s="13"/>
    </row>
    <row r="2405" spans="1:6" ht="15.75" customHeight="1" x14ac:dyDescent="0.15">
      <c r="A2405" s="12" t="s">
        <v>5957</v>
      </c>
      <c r="B2405" s="13"/>
      <c r="C2405" t="e">
        <f t="shared" si="0"/>
        <v>#N/A</v>
      </c>
      <c r="D2405" t="b">
        <f t="shared" si="1"/>
        <v>0</v>
      </c>
      <c r="E2405">
        <f t="shared" si="2"/>
        <v>0</v>
      </c>
      <c r="F2405" s="13"/>
    </row>
    <row r="2406" spans="1:6" ht="15.75" customHeight="1" x14ac:dyDescent="0.15">
      <c r="A2406" s="12" t="s">
        <v>5958</v>
      </c>
      <c r="B2406" s="13"/>
      <c r="C2406" t="e">
        <f t="shared" si="0"/>
        <v>#N/A</v>
      </c>
      <c r="D2406" t="b">
        <f t="shared" si="1"/>
        <v>0</v>
      </c>
      <c r="E2406">
        <f t="shared" si="2"/>
        <v>0</v>
      </c>
      <c r="F2406" s="13"/>
    </row>
    <row r="2407" spans="1:6" ht="15.75" customHeight="1" x14ac:dyDescent="0.15">
      <c r="A2407" s="12" t="s">
        <v>5959</v>
      </c>
      <c r="B2407" s="13"/>
      <c r="C2407" t="e">
        <f t="shared" si="0"/>
        <v>#N/A</v>
      </c>
      <c r="D2407" t="b">
        <f t="shared" si="1"/>
        <v>0</v>
      </c>
      <c r="E2407">
        <f t="shared" si="2"/>
        <v>0</v>
      </c>
      <c r="F2407" s="13"/>
    </row>
    <row r="2408" spans="1:6" ht="15.75" customHeight="1" x14ac:dyDescent="0.15">
      <c r="A2408" s="12" t="s">
        <v>5960</v>
      </c>
      <c r="B2408" s="13"/>
      <c r="C2408" t="e">
        <f t="shared" si="0"/>
        <v>#N/A</v>
      </c>
      <c r="D2408" t="b">
        <f t="shared" si="1"/>
        <v>0</v>
      </c>
      <c r="E2408">
        <f t="shared" si="2"/>
        <v>0</v>
      </c>
      <c r="F2408" s="13"/>
    </row>
    <row r="2409" spans="1:6" ht="15.75" customHeight="1" x14ac:dyDescent="0.15">
      <c r="A2409" s="12" t="s">
        <v>5960</v>
      </c>
      <c r="B2409" s="13"/>
      <c r="C2409" t="e">
        <f t="shared" si="0"/>
        <v>#N/A</v>
      </c>
      <c r="D2409" t="b">
        <f t="shared" si="1"/>
        <v>0</v>
      </c>
      <c r="E2409">
        <f t="shared" si="2"/>
        <v>0</v>
      </c>
      <c r="F2409" s="13"/>
    </row>
    <row r="2410" spans="1:6" ht="15.75" customHeight="1" x14ac:dyDescent="0.15">
      <c r="A2410" s="12" t="s">
        <v>5961</v>
      </c>
      <c r="B2410" s="13"/>
      <c r="C2410" t="e">
        <f t="shared" si="0"/>
        <v>#N/A</v>
      </c>
      <c r="D2410" t="b">
        <f t="shared" si="1"/>
        <v>0</v>
      </c>
      <c r="E2410">
        <f t="shared" si="2"/>
        <v>0</v>
      </c>
      <c r="F2410" s="13"/>
    </row>
    <row r="2411" spans="1:6" ht="15.75" customHeight="1" x14ac:dyDescent="0.15">
      <c r="A2411" s="12" t="s">
        <v>5962</v>
      </c>
      <c r="B2411" s="13"/>
      <c r="C2411" t="e">
        <f t="shared" si="0"/>
        <v>#N/A</v>
      </c>
      <c r="D2411" t="b">
        <f t="shared" si="1"/>
        <v>0</v>
      </c>
      <c r="E2411">
        <f t="shared" si="2"/>
        <v>0</v>
      </c>
      <c r="F2411" s="13"/>
    </row>
    <row r="2412" spans="1:6" ht="15.75" customHeight="1" x14ac:dyDescent="0.15">
      <c r="A2412" s="12" t="s">
        <v>5963</v>
      </c>
      <c r="B2412" s="13"/>
      <c r="C2412" t="e">
        <f t="shared" si="0"/>
        <v>#N/A</v>
      </c>
      <c r="D2412" t="b">
        <f t="shared" si="1"/>
        <v>0</v>
      </c>
      <c r="E2412">
        <f t="shared" si="2"/>
        <v>0</v>
      </c>
      <c r="F2412" s="13"/>
    </row>
    <row r="2413" spans="1:6" ht="15.75" customHeight="1" x14ac:dyDescent="0.15">
      <c r="A2413" s="12" t="s">
        <v>5964</v>
      </c>
      <c r="B2413" s="13"/>
      <c r="C2413" t="e">
        <f t="shared" si="0"/>
        <v>#N/A</v>
      </c>
      <c r="D2413" t="b">
        <f t="shared" si="1"/>
        <v>0</v>
      </c>
      <c r="E2413">
        <f t="shared" si="2"/>
        <v>0</v>
      </c>
      <c r="F2413" s="13"/>
    </row>
    <row r="2414" spans="1:6" ht="15.75" customHeight="1" x14ac:dyDescent="0.15">
      <c r="A2414" s="12" t="s">
        <v>5965</v>
      </c>
      <c r="B2414" s="13"/>
      <c r="C2414" t="e">
        <f t="shared" si="0"/>
        <v>#N/A</v>
      </c>
      <c r="D2414" t="b">
        <f t="shared" si="1"/>
        <v>0</v>
      </c>
      <c r="E2414">
        <f t="shared" si="2"/>
        <v>0</v>
      </c>
      <c r="F2414" s="13"/>
    </row>
    <row r="2415" spans="1:6" ht="15.75" customHeight="1" x14ac:dyDescent="0.15">
      <c r="A2415" s="12" t="s">
        <v>5966</v>
      </c>
      <c r="B2415" s="13"/>
      <c r="C2415" t="e">
        <f t="shared" si="0"/>
        <v>#N/A</v>
      </c>
      <c r="D2415" t="b">
        <f t="shared" si="1"/>
        <v>0</v>
      </c>
      <c r="E2415">
        <f t="shared" si="2"/>
        <v>0</v>
      </c>
      <c r="F2415" s="13"/>
    </row>
    <row r="2416" spans="1:6" ht="15.75" customHeight="1" x14ac:dyDescent="0.15">
      <c r="A2416" s="12" t="s">
        <v>5967</v>
      </c>
      <c r="B2416" s="13"/>
      <c r="C2416" t="e">
        <f t="shared" si="0"/>
        <v>#N/A</v>
      </c>
      <c r="D2416" t="b">
        <f t="shared" si="1"/>
        <v>0</v>
      </c>
      <c r="E2416">
        <f t="shared" si="2"/>
        <v>0</v>
      </c>
      <c r="F2416" s="13"/>
    </row>
    <row r="2417" spans="1:6" ht="15.75" customHeight="1" x14ac:dyDescent="0.15">
      <c r="A2417" s="12" t="s">
        <v>5968</v>
      </c>
      <c r="B2417" s="13"/>
      <c r="C2417" t="e">
        <f t="shared" si="0"/>
        <v>#N/A</v>
      </c>
      <c r="D2417" t="b">
        <f t="shared" si="1"/>
        <v>0</v>
      </c>
      <c r="E2417">
        <f t="shared" si="2"/>
        <v>0</v>
      </c>
      <c r="F2417" s="13"/>
    </row>
    <row r="2418" spans="1:6" ht="15.75" customHeight="1" x14ac:dyDescent="0.15">
      <c r="A2418" s="12" t="s">
        <v>5969</v>
      </c>
      <c r="B2418" s="13"/>
      <c r="C2418" t="e">
        <f t="shared" si="0"/>
        <v>#N/A</v>
      </c>
      <c r="D2418" t="b">
        <f t="shared" si="1"/>
        <v>0</v>
      </c>
      <c r="E2418">
        <f t="shared" si="2"/>
        <v>0</v>
      </c>
      <c r="F2418" s="13"/>
    </row>
    <row r="2419" spans="1:6" ht="15.75" customHeight="1" x14ac:dyDescent="0.15">
      <c r="A2419" s="12" t="s">
        <v>5970</v>
      </c>
      <c r="B2419" s="13"/>
      <c r="C2419" t="e">
        <f t="shared" si="0"/>
        <v>#N/A</v>
      </c>
      <c r="D2419" t="b">
        <f t="shared" si="1"/>
        <v>0</v>
      </c>
      <c r="E2419">
        <f t="shared" si="2"/>
        <v>0</v>
      </c>
      <c r="F2419" s="13"/>
    </row>
    <row r="2420" spans="1:6" ht="15.75" customHeight="1" x14ac:dyDescent="0.15">
      <c r="A2420" s="12" t="s">
        <v>5971</v>
      </c>
      <c r="B2420" s="13"/>
      <c r="C2420" t="e">
        <f t="shared" si="0"/>
        <v>#N/A</v>
      </c>
      <c r="D2420" t="b">
        <f t="shared" si="1"/>
        <v>0</v>
      </c>
      <c r="E2420">
        <f t="shared" si="2"/>
        <v>0</v>
      </c>
      <c r="F2420" s="13"/>
    </row>
    <row r="2421" spans="1:6" ht="15.75" customHeight="1" x14ac:dyDescent="0.15">
      <c r="A2421" s="12" t="s">
        <v>5972</v>
      </c>
      <c r="B2421" s="13"/>
      <c r="C2421" t="e">
        <f t="shared" si="0"/>
        <v>#N/A</v>
      </c>
      <c r="D2421" t="b">
        <f t="shared" si="1"/>
        <v>0</v>
      </c>
      <c r="E2421">
        <f t="shared" si="2"/>
        <v>0</v>
      </c>
      <c r="F2421" s="13"/>
    </row>
    <row r="2422" spans="1:6" ht="15.75" customHeight="1" x14ac:dyDescent="0.15">
      <c r="A2422" s="12" t="s">
        <v>5973</v>
      </c>
      <c r="B2422" s="13"/>
      <c r="C2422" t="e">
        <f t="shared" si="0"/>
        <v>#N/A</v>
      </c>
      <c r="D2422" t="b">
        <f t="shared" si="1"/>
        <v>0</v>
      </c>
      <c r="E2422">
        <f t="shared" si="2"/>
        <v>0</v>
      </c>
      <c r="F2422" s="13"/>
    </row>
    <row r="2423" spans="1:6" ht="15.75" customHeight="1" x14ac:dyDescent="0.15">
      <c r="A2423" s="12" t="s">
        <v>5974</v>
      </c>
      <c r="B2423" s="13"/>
      <c r="C2423" t="e">
        <f t="shared" si="0"/>
        <v>#N/A</v>
      </c>
      <c r="D2423" t="b">
        <f t="shared" si="1"/>
        <v>0</v>
      </c>
      <c r="E2423">
        <f t="shared" si="2"/>
        <v>0</v>
      </c>
      <c r="F2423" s="13"/>
    </row>
    <row r="2424" spans="1:6" ht="15.75" customHeight="1" x14ac:dyDescent="0.15">
      <c r="A2424" s="12" t="s">
        <v>5975</v>
      </c>
      <c r="B2424" s="13"/>
      <c r="C2424" t="e">
        <f t="shared" si="0"/>
        <v>#N/A</v>
      </c>
      <c r="D2424" t="b">
        <f t="shared" si="1"/>
        <v>0</v>
      </c>
      <c r="E2424">
        <f t="shared" si="2"/>
        <v>0</v>
      </c>
      <c r="F2424" s="13"/>
    </row>
    <row r="2425" spans="1:6" ht="15.75" customHeight="1" x14ac:dyDescent="0.15">
      <c r="A2425" s="12" t="s">
        <v>5976</v>
      </c>
      <c r="B2425" s="13"/>
      <c r="C2425" t="e">
        <f t="shared" si="0"/>
        <v>#N/A</v>
      </c>
      <c r="D2425" t="b">
        <f t="shared" si="1"/>
        <v>0</v>
      </c>
      <c r="E2425">
        <f t="shared" si="2"/>
        <v>0</v>
      </c>
      <c r="F2425" s="13"/>
    </row>
    <row r="2426" spans="1:6" ht="15.75" customHeight="1" x14ac:dyDescent="0.15">
      <c r="A2426" s="12" t="s">
        <v>5977</v>
      </c>
      <c r="B2426" s="13"/>
      <c r="C2426" t="e">
        <f t="shared" si="0"/>
        <v>#N/A</v>
      </c>
      <c r="D2426" t="b">
        <f t="shared" si="1"/>
        <v>0</v>
      </c>
      <c r="E2426">
        <f t="shared" si="2"/>
        <v>0</v>
      </c>
      <c r="F2426" s="13"/>
    </row>
    <row r="2427" spans="1:6" ht="15.75" customHeight="1" x14ac:dyDescent="0.15">
      <c r="A2427" s="12" t="s">
        <v>5978</v>
      </c>
      <c r="B2427" s="13"/>
      <c r="C2427" t="e">
        <f t="shared" si="0"/>
        <v>#N/A</v>
      </c>
      <c r="D2427" t="b">
        <f t="shared" si="1"/>
        <v>0</v>
      </c>
      <c r="E2427">
        <f t="shared" si="2"/>
        <v>0</v>
      </c>
      <c r="F2427" s="13"/>
    </row>
    <row r="2428" spans="1:6" ht="15.75" customHeight="1" x14ac:dyDescent="0.15">
      <c r="A2428" s="12" t="s">
        <v>5979</v>
      </c>
      <c r="B2428" s="13"/>
      <c r="C2428" t="e">
        <f t="shared" si="0"/>
        <v>#N/A</v>
      </c>
      <c r="D2428" t="b">
        <f t="shared" si="1"/>
        <v>0</v>
      </c>
      <c r="E2428">
        <f t="shared" si="2"/>
        <v>0</v>
      </c>
      <c r="F2428" s="13"/>
    </row>
    <row r="2429" spans="1:6" ht="15.75" customHeight="1" x14ac:dyDescent="0.15">
      <c r="A2429" s="12" t="s">
        <v>5980</v>
      </c>
      <c r="B2429" s="13"/>
      <c r="C2429" t="e">
        <f t="shared" si="0"/>
        <v>#N/A</v>
      </c>
      <c r="D2429" t="b">
        <f t="shared" si="1"/>
        <v>0</v>
      </c>
      <c r="E2429">
        <f t="shared" si="2"/>
        <v>0</v>
      </c>
      <c r="F2429" s="13"/>
    </row>
    <row r="2430" spans="1:6" ht="15.75" customHeight="1" x14ac:dyDescent="0.15">
      <c r="A2430" s="12" t="s">
        <v>5981</v>
      </c>
      <c r="B2430" s="13"/>
      <c r="C2430" t="e">
        <f t="shared" si="0"/>
        <v>#N/A</v>
      </c>
      <c r="D2430" t="b">
        <f t="shared" si="1"/>
        <v>0</v>
      </c>
      <c r="E2430">
        <f t="shared" si="2"/>
        <v>0</v>
      </c>
      <c r="F2430" s="13"/>
    </row>
    <row r="2431" spans="1:6" ht="15.75" customHeight="1" x14ac:dyDescent="0.15">
      <c r="A2431" s="12" t="s">
        <v>5982</v>
      </c>
      <c r="B2431" s="13"/>
      <c r="C2431" t="e">
        <f t="shared" si="0"/>
        <v>#N/A</v>
      </c>
      <c r="D2431" t="b">
        <f t="shared" si="1"/>
        <v>0</v>
      </c>
      <c r="E2431">
        <f t="shared" si="2"/>
        <v>0</v>
      </c>
      <c r="F2431" s="13"/>
    </row>
    <row r="2432" spans="1:6" ht="15.75" customHeight="1" x14ac:dyDescent="0.15">
      <c r="A2432" s="12" t="s">
        <v>5983</v>
      </c>
      <c r="B2432" s="13"/>
      <c r="C2432" t="e">
        <f t="shared" si="0"/>
        <v>#N/A</v>
      </c>
      <c r="D2432" t="b">
        <f t="shared" si="1"/>
        <v>0</v>
      </c>
      <c r="E2432">
        <f t="shared" si="2"/>
        <v>0</v>
      </c>
      <c r="F2432" s="13"/>
    </row>
    <row r="2433" spans="1:6" ht="15.75" customHeight="1" x14ac:dyDescent="0.15">
      <c r="A2433" s="12" t="s">
        <v>5984</v>
      </c>
      <c r="B2433" s="13"/>
      <c r="C2433" t="e">
        <f t="shared" si="0"/>
        <v>#N/A</v>
      </c>
      <c r="D2433" t="b">
        <f t="shared" si="1"/>
        <v>0</v>
      </c>
      <c r="E2433">
        <f t="shared" si="2"/>
        <v>0</v>
      </c>
      <c r="F2433" s="13"/>
    </row>
    <row r="2434" spans="1:6" ht="15.75" customHeight="1" x14ac:dyDescent="0.15">
      <c r="A2434" s="12" t="s">
        <v>5985</v>
      </c>
      <c r="B2434" s="13"/>
      <c r="C2434" t="e">
        <f t="shared" si="0"/>
        <v>#N/A</v>
      </c>
      <c r="D2434" t="b">
        <f t="shared" si="1"/>
        <v>0</v>
      </c>
      <c r="E2434">
        <f t="shared" si="2"/>
        <v>0</v>
      </c>
      <c r="F2434" s="13"/>
    </row>
    <row r="2435" spans="1:6" ht="15.75" customHeight="1" x14ac:dyDescent="0.15">
      <c r="A2435" s="12" t="s">
        <v>5986</v>
      </c>
      <c r="B2435" s="13"/>
      <c r="C2435" t="e">
        <f t="shared" si="0"/>
        <v>#N/A</v>
      </c>
      <c r="D2435" t="b">
        <f t="shared" si="1"/>
        <v>0</v>
      </c>
      <c r="E2435">
        <f t="shared" si="2"/>
        <v>0</v>
      </c>
      <c r="F2435" s="13"/>
    </row>
    <row r="2436" spans="1:6" ht="15.75" customHeight="1" x14ac:dyDescent="0.15">
      <c r="A2436" s="12" t="s">
        <v>5987</v>
      </c>
      <c r="B2436" s="13"/>
      <c r="C2436" t="e">
        <f t="shared" si="0"/>
        <v>#N/A</v>
      </c>
      <c r="D2436" t="b">
        <f t="shared" si="1"/>
        <v>0</v>
      </c>
      <c r="E2436">
        <f t="shared" si="2"/>
        <v>0</v>
      </c>
      <c r="F2436" s="13"/>
    </row>
    <row r="2437" spans="1:6" ht="15.75" customHeight="1" x14ac:dyDescent="0.15">
      <c r="A2437" s="12" t="s">
        <v>5988</v>
      </c>
      <c r="B2437" s="13"/>
      <c r="C2437" t="e">
        <f t="shared" si="0"/>
        <v>#N/A</v>
      </c>
      <c r="D2437" t="b">
        <f t="shared" si="1"/>
        <v>0</v>
      </c>
      <c r="E2437">
        <f t="shared" si="2"/>
        <v>0</v>
      </c>
      <c r="F2437" s="13"/>
    </row>
    <row r="2438" spans="1:6" ht="15.75" customHeight="1" x14ac:dyDescent="0.15">
      <c r="A2438" s="12" t="s">
        <v>5989</v>
      </c>
      <c r="B2438" s="13"/>
      <c r="C2438" t="e">
        <f t="shared" si="0"/>
        <v>#N/A</v>
      </c>
      <c r="D2438" t="b">
        <f t="shared" si="1"/>
        <v>0</v>
      </c>
      <c r="E2438">
        <f t="shared" si="2"/>
        <v>0</v>
      </c>
      <c r="F2438" s="13"/>
    </row>
    <row r="2439" spans="1:6" ht="15.75" customHeight="1" x14ac:dyDescent="0.15">
      <c r="A2439" s="12" t="s">
        <v>5990</v>
      </c>
      <c r="B2439" s="13"/>
      <c r="C2439" t="e">
        <f t="shared" si="0"/>
        <v>#N/A</v>
      </c>
      <c r="D2439" t="b">
        <f t="shared" si="1"/>
        <v>0</v>
      </c>
      <c r="E2439">
        <f t="shared" si="2"/>
        <v>0</v>
      </c>
      <c r="F2439" s="13"/>
    </row>
    <row r="2440" spans="1:6" ht="15.75" customHeight="1" x14ac:dyDescent="0.15">
      <c r="A2440" s="12" t="s">
        <v>5991</v>
      </c>
      <c r="B2440" s="13"/>
      <c r="C2440" t="e">
        <f t="shared" si="0"/>
        <v>#N/A</v>
      </c>
      <c r="D2440" t="b">
        <f t="shared" si="1"/>
        <v>0</v>
      </c>
      <c r="E2440">
        <f t="shared" si="2"/>
        <v>0</v>
      </c>
      <c r="F2440" s="13"/>
    </row>
    <row r="2441" spans="1:6" ht="15.75" customHeight="1" x14ac:dyDescent="0.15">
      <c r="A2441" s="12" t="s">
        <v>3583</v>
      </c>
      <c r="B2441" s="13"/>
      <c r="C2441">
        <f t="shared" si="0"/>
        <v>4</v>
      </c>
      <c r="D2441" t="b">
        <f t="shared" si="1"/>
        <v>1</v>
      </c>
      <c r="E2441">
        <f t="shared" si="2"/>
        <v>1</v>
      </c>
      <c r="F2441" s="13"/>
    </row>
    <row r="2442" spans="1:6" ht="15.75" customHeight="1" x14ac:dyDescent="0.15">
      <c r="A2442" s="12" t="s">
        <v>5992</v>
      </c>
      <c r="B2442" s="13"/>
      <c r="C2442" t="e">
        <f t="shared" si="0"/>
        <v>#N/A</v>
      </c>
      <c r="D2442" t="b">
        <f t="shared" si="1"/>
        <v>0</v>
      </c>
      <c r="E2442">
        <f t="shared" si="2"/>
        <v>0</v>
      </c>
      <c r="F2442" s="13"/>
    </row>
    <row r="2443" spans="1:6" ht="15.75" customHeight="1" x14ac:dyDescent="0.15">
      <c r="A2443" s="12" t="s">
        <v>5993</v>
      </c>
      <c r="B2443" s="13"/>
      <c r="C2443" t="e">
        <f t="shared" si="0"/>
        <v>#N/A</v>
      </c>
      <c r="D2443" t="b">
        <f t="shared" si="1"/>
        <v>0</v>
      </c>
      <c r="E2443">
        <f t="shared" si="2"/>
        <v>0</v>
      </c>
      <c r="F2443" s="13"/>
    </row>
    <row r="2444" spans="1:6" ht="15.75" customHeight="1" x14ac:dyDescent="0.15">
      <c r="A2444" s="12" t="s">
        <v>5994</v>
      </c>
      <c r="B2444" s="13"/>
      <c r="C2444" t="e">
        <f t="shared" si="0"/>
        <v>#N/A</v>
      </c>
      <c r="D2444" t="b">
        <f t="shared" si="1"/>
        <v>0</v>
      </c>
      <c r="E2444">
        <f t="shared" si="2"/>
        <v>0</v>
      </c>
      <c r="F2444" s="13"/>
    </row>
    <row r="2445" spans="1:6" ht="15.75" customHeight="1" x14ac:dyDescent="0.15">
      <c r="A2445" s="12" t="s">
        <v>5995</v>
      </c>
      <c r="B2445" s="13"/>
      <c r="C2445" t="e">
        <f t="shared" si="0"/>
        <v>#N/A</v>
      </c>
      <c r="D2445" t="b">
        <f t="shared" si="1"/>
        <v>0</v>
      </c>
      <c r="E2445">
        <f t="shared" si="2"/>
        <v>0</v>
      </c>
      <c r="F2445" s="13"/>
    </row>
    <row r="2446" spans="1:6" ht="15.75" customHeight="1" x14ac:dyDescent="0.15">
      <c r="A2446" s="12" t="s">
        <v>5996</v>
      </c>
      <c r="B2446" s="13"/>
      <c r="C2446" t="e">
        <f t="shared" si="0"/>
        <v>#N/A</v>
      </c>
      <c r="D2446" t="b">
        <f t="shared" si="1"/>
        <v>0</v>
      </c>
      <c r="E2446">
        <f t="shared" si="2"/>
        <v>0</v>
      </c>
      <c r="F2446" s="13"/>
    </row>
    <row r="2447" spans="1:6" ht="15.75" customHeight="1" x14ac:dyDescent="0.15">
      <c r="A2447" s="12" t="s">
        <v>5997</v>
      </c>
      <c r="B2447" s="13"/>
      <c r="C2447" t="e">
        <f t="shared" si="0"/>
        <v>#N/A</v>
      </c>
      <c r="D2447" t="b">
        <f t="shared" si="1"/>
        <v>0</v>
      </c>
      <c r="E2447">
        <f t="shared" si="2"/>
        <v>0</v>
      </c>
      <c r="F2447" s="13"/>
    </row>
    <row r="2448" spans="1:6" ht="15.75" customHeight="1" x14ac:dyDescent="0.15">
      <c r="A2448" s="12" t="s">
        <v>5998</v>
      </c>
      <c r="B2448" s="13"/>
      <c r="C2448" t="e">
        <f t="shared" si="0"/>
        <v>#N/A</v>
      </c>
      <c r="D2448" t="b">
        <f t="shared" si="1"/>
        <v>0</v>
      </c>
      <c r="E2448">
        <f t="shared" si="2"/>
        <v>0</v>
      </c>
      <c r="F2448" s="13"/>
    </row>
    <row r="2449" spans="1:6" ht="15.75" customHeight="1" x14ac:dyDescent="0.15">
      <c r="A2449" s="12" t="s">
        <v>5999</v>
      </c>
      <c r="B2449" s="13"/>
      <c r="C2449" t="e">
        <f t="shared" si="0"/>
        <v>#N/A</v>
      </c>
      <c r="D2449" t="b">
        <f t="shared" si="1"/>
        <v>0</v>
      </c>
      <c r="E2449">
        <f t="shared" si="2"/>
        <v>0</v>
      </c>
      <c r="F2449" s="13"/>
    </row>
    <row r="2450" spans="1:6" ht="15.75" customHeight="1" x14ac:dyDescent="0.15">
      <c r="A2450" s="12" t="s">
        <v>6000</v>
      </c>
      <c r="B2450" s="13"/>
      <c r="C2450" t="e">
        <f t="shared" si="0"/>
        <v>#N/A</v>
      </c>
      <c r="D2450" t="b">
        <f t="shared" si="1"/>
        <v>0</v>
      </c>
      <c r="E2450">
        <f t="shared" si="2"/>
        <v>0</v>
      </c>
      <c r="F2450" s="13"/>
    </row>
    <row r="2451" spans="1:6" ht="15.75" customHeight="1" x14ac:dyDescent="0.15">
      <c r="A2451" s="12" t="s">
        <v>6001</v>
      </c>
      <c r="B2451" s="13"/>
      <c r="C2451" t="e">
        <f t="shared" si="0"/>
        <v>#N/A</v>
      </c>
      <c r="D2451" t="b">
        <f t="shared" si="1"/>
        <v>0</v>
      </c>
      <c r="E2451">
        <f t="shared" si="2"/>
        <v>0</v>
      </c>
      <c r="F2451" s="13"/>
    </row>
    <row r="2452" spans="1:6" ht="15.75" customHeight="1" x14ac:dyDescent="0.15">
      <c r="A2452" s="12" t="s">
        <v>6002</v>
      </c>
      <c r="B2452" s="13"/>
      <c r="C2452" t="e">
        <f t="shared" si="0"/>
        <v>#N/A</v>
      </c>
      <c r="D2452" t="b">
        <f t="shared" si="1"/>
        <v>0</v>
      </c>
      <c r="E2452">
        <f t="shared" si="2"/>
        <v>0</v>
      </c>
      <c r="F2452" s="13"/>
    </row>
    <row r="2453" spans="1:6" ht="15.75" customHeight="1" x14ac:dyDescent="0.15">
      <c r="A2453" s="12" t="s">
        <v>6003</v>
      </c>
      <c r="B2453" s="13"/>
      <c r="C2453" t="e">
        <f t="shared" si="0"/>
        <v>#N/A</v>
      </c>
      <c r="D2453" t="b">
        <f t="shared" si="1"/>
        <v>0</v>
      </c>
      <c r="E2453">
        <f t="shared" si="2"/>
        <v>0</v>
      </c>
      <c r="F2453" s="13"/>
    </row>
    <row r="2454" spans="1:6" ht="15.75" customHeight="1" x14ac:dyDescent="0.15">
      <c r="A2454" s="12" t="s">
        <v>6004</v>
      </c>
      <c r="B2454" s="13"/>
      <c r="C2454" t="e">
        <f t="shared" si="0"/>
        <v>#N/A</v>
      </c>
      <c r="D2454" t="b">
        <f t="shared" si="1"/>
        <v>0</v>
      </c>
      <c r="E2454">
        <f t="shared" si="2"/>
        <v>0</v>
      </c>
      <c r="F2454" s="13"/>
    </row>
    <row r="2455" spans="1:6" ht="15.75" customHeight="1" x14ac:dyDescent="0.15">
      <c r="A2455" s="12" t="s">
        <v>6005</v>
      </c>
      <c r="B2455" s="13"/>
      <c r="C2455" t="e">
        <f t="shared" si="0"/>
        <v>#N/A</v>
      </c>
      <c r="D2455" t="b">
        <f t="shared" si="1"/>
        <v>0</v>
      </c>
      <c r="E2455">
        <f t="shared" si="2"/>
        <v>0</v>
      </c>
      <c r="F2455" s="13"/>
    </row>
    <row r="2456" spans="1:6" ht="15.75" customHeight="1" x14ac:dyDescent="0.15">
      <c r="A2456" s="12" t="s">
        <v>6006</v>
      </c>
      <c r="B2456" s="13"/>
      <c r="C2456" t="e">
        <f t="shared" si="0"/>
        <v>#N/A</v>
      </c>
      <c r="D2456" t="b">
        <f t="shared" si="1"/>
        <v>0</v>
      </c>
      <c r="E2456">
        <f t="shared" si="2"/>
        <v>0</v>
      </c>
      <c r="F2456" s="13"/>
    </row>
    <row r="2457" spans="1:6" ht="15.75" customHeight="1" x14ac:dyDescent="0.15">
      <c r="A2457" s="12" t="s">
        <v>6007</v>
      </c>
      <c r="B2457" s="13"/>
      <c r="C2457" t="e">
        <f t="shared" si="0"/>
        <v>#N/A</v>
      </c>
      <c r="D2457" t="b">
        <f t="shared" si="1"/>
        <v>0</v>
      </c>
      <c r="E2457">
        <f t="shared" si="2"/>
        <v>0</v>
      </c>
      <c r="F2457" s="13"/>
    </row>
    <row r="2458" spans="1:6" ht="15.75" customHeight="1" x14ac:dyDescent="0.15">
      <c r="A2458" s="12" t="s">
        <v>6008</v>
      </c>
      <c r="B2458" s="13"/>
      <c r="C2458" t="e">
        <f t="shared" si="0"/>
        <v>#N/A</v>
      </c>
      <c r="D2458" t="b">
        <f t="shared" si="1"/>
        <v>0</v>
      </c>
      <c r="E2458">
        <f t="shared" si="2"/>
        <v>0</v>
      </c>
      <c r="F2458" s="13"/>
    </row>
    <row r="2459" spans="1:6" ht="15.75" customHeight="1" x14ac:dyDescent="0.15">
      <c r="A2459" s="12" t="s">
        <v>6009</v>
      </c>
      <c r="B2459" s="13"/>
      <c r="C2459" t="e">
        <f t="shared" si="0"/>
        <v>#N/A</v>
      </c>
      <c r="D2459" t="b">
        <f t="shared" si="1"/>
        <v>0</v>
      </c>
      <c r="E2459">
        <f t="shared" si="2"/>
        <v>0</v>
      </c>
      <c r="F2459" s="13"/>
    </row>
    <row r="2460" spans="1:6" ht="15.75" customHeight="1" x14ac:dyDescent="0.15">
      <c r="A2460" s="12" t="s">
        <v>6010</v>
      </c>
      <c r="B2460" s="13"/>
      <c r="C2460" t="e">
        <f t="shared" si="0"/>
        <v>#N/A</v>
      </c>
      <c r="D2460" t="b">
        <f t="shared" si="1"/>
        <v>0</v>
      </c>
      <c r="E2460">
        <f t="shared" si="2"/>
        <v>0</v>
      </c>
      <c r="F2460" s="13"/>
    </row>
    <row r="2461" spans="1:6" ht="15.75" customHeight="1" x14ac:dyDescent="0.15">
      <c r="A2461" s="12" t="s">
        <v>6011</v>
      </c>
      <c r="B2461" s="13"/>
      <c r="C2461" t="e">
        <f t="shared" si="0"/>
        <v>#N/A</v>
      </c>
      <c r="D2461" t="b">
        <f t="shared" si="1"/>
        <v>0</v>
      </c>
      <c r="E2461">
        <f t="shared" si="2"/>
        <v>0</v>
      </c>
      <c r="F2461" s="13"/>
    </row>
    <row r="2462" spans="1:6" ht="15.75" customHeight="1" x14ac:dyDescent="0.15">
      <c r="A2462" s="12" t="s">
        <v>6012</v>
      </c>
      <c r="B2462" s="13"/>
      <c r="C2462" t="e">
        <f t="shared" si="0"/>
        <v>#N/A</v>
      </c>
      <c r="D2462" t="b">
        <f t="shared" si="1"/>
        <v>0</v>
      </c>
      <c r="E2462">
        <f t="shared" si="2"/>
        <v>0</v>
      </c>
      <c r="F2462" s="13"/>
    </row>
    <row r="2463" spans="1:6" ht="15.75" customHeight="1" x14ac:dyDescent="0.15">
      <c r="A2463" s="12" t="s">
        <v>6013</v>
      </c>
      <c r="B2463" s="13"/>
      <c r="C2463" t="e">
        <f t="shared" si="0"/>
        <v>#N/A</v>
      </c>
      <c r="D2463" t="b">
        <f t="shared" si="1"/>
        <v>0</v>
      </c>
      <c r="E2463">
        <f t="shared" si="2"/>
        <v>0</v>
      </c>
      <c r="F2463" s="13"/>
    </row>
    <row r="2464" spans="1:6" ht="15.75" customHeight="1" x14ac:dyDescent="0.15">
      <c r="A2464" s="12" t="s">
        <v>6014</v>
      </c>
      <c r="B2464" s="13"/>
      <c r="C2464" t="e">
        <f t="shared" si="0"/>
        <v>#N/A</v>
      </c>
      <c r="D2464" t="b">
        <f t="shared" si="1"/>
        <v>0</v>
      </c>
      <c r="E2464">
        <f t="shared" si="2"/>
        <v>0</v>
      </c>
      <c r="F2464" s="13"/>
    </row>
    <row r="2465" spans="1:6" ht="15.75" customHeight="1" x14ac:dyDescent="0.15">
      <c r="A2465" s="12" t="s">
        <v>6015</v>
      </c>
      <c r="B2465" s="13"/>
      <c r="C2465" t="e">
        <f t="shared" si="0"/>
        <v>#N/A</v>
      </c>
      <c r="D2465" t="b">
        <f t="shared" si="1"/>
        <v>0</v>
      </c>
      <c r="E2465">
        <f t="shared" si="2"/>
        <v>0</v>
      </c>
      <c r="F2465" s="13"/>
    </row>
    <row r="2466" spans="1:6" ht="15.75" customHeight="1" x14ac:dyDescent="0.15">
      <c r="A2466" s="12" t="s">
        <v>6016</v>
      </c>
      <c r="B2466" s="13"/>
      <c r="C2466" t="e">
        <f t="shared" si="0"/>
        <v>#N/A</v>
      </c>
      <c r="D2466" t="b">
        <f t="shared" si="1"/>
        <v>0</v>
      </c>
      <c r="E2466">
        <f t="shared" si="2"/>
        <v>0</v>
      </c>
      <c r="F2466" s="13"/>
    </row>
    <row r="2467" spans="1:6" ht="15.75" customHeight="1" x14ac:dyDescent="0.15">
      <c r="A2467" s="12" t="s">
        <v>6017</v>
      </c>
      <c r="B2467" s="13"/>
      <c r="C2467" t="e">
        <f t="shared" si="0"/>
        <v>#N/A</v>
      </c>
      <c r="D2467" t="b">
        <f t="shared" si="1"/>
        <v>0</v>
      </c>
      <c r="E2467">
        <f t="shared" si="2"/>
        <v>0</v>
      </c>
      <c r="F2467" s="13"/>
    </row>
    <row r="2468" spans="1:6" ht="15.75" customHeight="1" x14ac:dyDescent="0.15">
      <c r="A2468" s="12" t="s">
        <v>6018</v>
      </c>
      <c r="B2468" s="13"/>
      <c r="C2468" t="e">
        <f t="shared" si="0"/>
        <v>#N/A</v>
      </c>
      <c r="D2468" t="b">
        <f t="shared" si="1"/>
        <v>0</v>
      </c>
      <c r="E2468">
        <f t="shared" si="2"/>
        <v>0</v>
      </c>
      <c r="F2468" s="13"/>
    </row>
    <row r="2469" spans="1:6" ht="15.75" customHeight="1" x14ac:dyDescent="0.15">
      <c r="A2469" s="12" t="s">
        <v>6019</v>
      </c>
      <c r="B2469" s="13"/>
      <c r="C2469" t="e">
        <f t="shared" si="0"/>
        <v>#N/A</v>
      </c>
      <c r="D2469" t="b">
        <f t="shared" si="1"/>
        <v>0</v>
      </c>
      <c r="E2469">
        <f t="shared" si="2"/>
        <v>0</v>
      </c>
      <c r="F2469" s="13"/>
    </row>
    <row r="2470" spans="1:6" ht="15.75" customHeight="1" x14ac:dyDescent="0.15">
      <c r="A2470" s="12" t="s">
        <v>6019</v>
      </c>
      <c r="B2470" s="13"/>
      <c r="C2470" t="e">
        <f t="shared" si="0"/>
        <v>#N/A</v>
      </c>
      <c r="D2470" t="b">
        <f t="shared" si="1"/>
        <v>0</v>
      </c>
      <c r="E2470">
        <f t="shared" si="2"/>
        <v>0</v>
      </c>
      <c r="F2470" s="13"/>
    </row>
    <row r="2471" spans="1:6" ht="15.75" customHeight="1" x14ac:dyDescent="0.15">
      <c r="A2471" s="12" t="s">
        <v>6019</v>
      </c>
      <c r="B2471" s="13"/>
      <c r="C2471" t="e">
        <f t="shared" si="0"/>
        <v>#N/A</v>
      </c>
      <c r="D2471" t="b">
        <f t="shared" si="1"/>
        <v>0</v>
      </c>
      <c r="E2471">
        <f t="shared" si="2"/>
        <v>0</v>
      </c>
      <c r="F2471" s="13"/>
    </row>
    <row r="2472" spans="1:6" ht="15.75" customHeight="1" x14ac:dyDescent="0.15">
      <c r="A2472" s="12" t="s">
        <v>6020</v>
      </c>
      <c r="B2472" s="13"/>
      <c r="C2472" t="e">
        <f t="shared" si="0"/>
        <v>#N/A</v>
      </c>
      <c r="D2472" t="b">
        <f t="shared" si="1"/>
        <v>0</v>
      </c>
      <c r="E2472">
        <f t="shared" si="2"/>
        <v>0</v>
      </c>
      <c r="F2472" s="13"/>
    </row>
    <row r="2473" spans="1:6" ht="15.75" customHeight="1" x14ac:dyDescent="0.15">
      <c r="A2473" s="12" t="s">
        <v>6021</v>
      </c>
      <c r="B2473" s="13"/>
      <c r="C2473" t="e">
        <f t="shared" si="0"/>
        <v>#N/A</v>
      </c>
      <c r="D2473" t="b">
        <f t="shared" si="1"/>
        <v>0</v>
      </c>
      <c r="E2473">
        <f t="shared" si="2"/>
        <v>0</v>
      </c>
      <c r="F2473" s="13"/>
    </row>
    <row r="2474" spans="1:6" ht="15.75" customHeight="1" x14ac:dyDescent="0.15">
      <c r="A2474" s="12" t="s">
        <v>6022</v>
      </c>
      <c r="B2474" s="13"/>
      <c r="C2474" t="e">
        <f t="shared" si="0"/>
        <v>#N/A</v>
      </c>
      <c r="D2474" t="b">
        <f t="shared" si="1"/>
        <v>0</v>
      </c>
      <c r="E2474">
        <f t="shared" si="2"/>
        <v>0</v>
      </c>
      <c r="F2474" s="13"/>
    </row>
    <row r="2475" spans="1:6" ht="15.75" customHeight="1" x14ac:dyDescent="0.15">
      <c r="A2475" s="12" t="s">
        <v>6023</v>
      </c>
      <c r="B2475" s="13"/>
      <c r="C2475" t="e">
        <f t="shared" si="0"/>
        <v>#N/A</v>
      </c>
      <c r="D2475" t="b">
        <f t="shared" si="1"/>
        <v>0</v>
      </c>
      <c r="E2475">
        <f t="shared" si="2"/>
        <v>0</v>
      </c>
      <c r="F2475" s="13"/>
    </row>
    <row r="2476" spans="1:6" ht="15.75" customHeight="1" x14ac:dyDescent="0.15">
      <c r="A2476" s="12" t="s">
        <v>6024</v>
      </c>
      <c r="B2476" s="13"/>
      <c r="C2476" t="e">
        <f t="shared" si="0"/>
        <v>#N/A</v>
      </c>
      <c r="D2476" t="b">
        <f t="shared" si="1"/>
        <v>0</v>
      </c>
      <c r="E2476">
        <f t="shared" si="2"/>
        <v>0</v>
      </c>
      <c r="F2476" s="13"/>
    </row>
    <row r="2477" spans="1:6" ht="15.75" customHeight="1" x14ac:dyDescent="0.15">
      <c r="A2477" s="12" t="s">
        <v>6025</v>
      </c>
      <c r="B2477" s="13"/>
      <c r="C2477" t="e">
        <f t="shared" si="0"/>
        <v>#N/A</v>
      </c>
      <c r="D2477" t="b">
        <f t="shared" si="1"/>
        <v>0</v>
      </c>
      <c r="E2477">
        <f t="shared" si="2"/>
        <v>0</v>
      </c>
      <c r="F2477" s="13"/>
    </row>
    <row r="2478" spans="1:6" ht="15.75" customHeight="1" x14ac:dyDescent="0.15">
      <c r="A2478" s="12" t="s">
        <v>6026</v>
      </c>
      <c r="B2478" s="13"/>
      <c r="C2478" t="e">
        <f t="shared" si="0"/>
        <v>#N/A</v>
      </c>
      <c r="D2478" t="b">
        <f t="shared" si="1"/>
        <v>0</v>
      </c>
      <c r="E2478">
        <f t="shared" si="2"/>
        <v>0</v>
      </c>
      <c r="F2478" s="13"/>
    </row>
    <row r="2479" spans="1:6" ht="15.75" customHeight="1" x14ac:dyDescent="0.15">
      <c r="A2479" s="12" t="s">
        <v>6027</v>
      </c>
      <c r="B2479" s="13"/>
      <c r="C2479" t="e">
        <f t="shared" si="0"/>
        <v>#N/A</v>
      </c>
      <c r="D2479" t="b">
        <f t="shared" si="1"/>
        <v>0</v>
      </c>
      <c r="E2479">
        <f t="shared" si="2"/>
        <v>0</v>
      </c>
      <c r="F2479" s="13"/>
    </row>
    <row r="2480" spans="1:6" ht="15.75" customHeight="1" x14ac:dyDescent="0.15">
      <c r="A2480" s="12" t="s">
        <v>6028</v>
      </c>
      <c r="B2480" s="13"/>
      <c r="C2480" t="e">
        <f t="shared" si="0"/>
        <v>#N/A</v>
      </c>
      <c r="D2480" t="b">
        <f t="shared" si="1"/>
        <v>0</v>
      </c>
      <c r="E2480">
        <f t="shared" si="2"/>
        <v>0</v>
      </c>
      <c r="F2480" s="13"/>
    </row>
    <row r="2481" spans="1:6" ht="15.75" customHeight="1" x14ac:dyDescent="0.15">
      <c r="A2481" s="12" t="s">
        <v>6029</v>
      </c>
      <c r="B2481" s="13"/>
      <c r="C2481" t="e">
        <f t="shared" si="0"/>
        <v>#N/A</v>
      </c>
      <c r="D2481" t="b">
        <f t="shared" si="1"/>
        <v>0</v>
      </c>
      <c r="E2481">
        <f t="shared" si="2"/>
        <v>0</v>
      </c>
      <c r="F2481" s="13"/>
    </row>
    <row r="2482" spans="1:6" ht="15.75" customHeight="1" x14ac:dyDescent="0.15">
      <c r="A2482" s="12" t="s">
        <v>6030</v>
      </c>
      <c r="B2482" s="13"/>
      <c r="C2482" t="e">
        <f t="shared" si="0"/>
        <v>#N/A</v>
      </c>
      <c r="D2482" t="b">
        <f t="shared" si="1"/>
        <v>0</v>
      </c>
      <c r="E2482">
        <f t="shared" si="2"/>
        <v>0</v>
      </c>
      <c r="F2482" s="13"/>
    </row>
    <row r="2483" spans="1:6" ht="15.75" customHeight="1" x14ac:dyDescent="0.15">
      <c r="A2483" s="12" t="s">
        <v>6031</v>
      </c>
      <c r="B2483" s="13"/>
      <c r="C2483" t="e">
        <f t="shared" si="0"/>
        <v>#N/A</v>
      </c>
      <c r="D2483" t="b">
        <f t="shared" si="1"/>
        <v>0</v>
      </c>
      <c r="E2483">
        <f t="shared" si="2"/>
        <v>0</v>
      </c>
      <c r="F2483" s="13"/>
    </row>
    <row r="2484" spans="1:6" ht="15.75" customHeight="1" x14ac:dyDescent="0.15">
      <c r="A2484" s="12" t="s">
        <v>6032</v>
      </c>
      <c r="B2484" s="13"/>
      <c r="C2484" t="e">
        <f t="shared" si="0"/>
        <v>#N/A</v>
      </c>
      <c r="D2484" t="b">
        <f t="shared" si="1"/>
        <v>0</v>
      </c>
      <c r="E2484">
        <f t="shared" si="2"/>
        <v>0</v>
      </c>
      <c r="F2484" s="13"/>
    </row>
    <row r="2485" spans="1:6" ht="15.75" customHeight="1" x14ac:dyDescent="0.15">
      <c r="A2485" s="12" t="s">
        <v>6033</v>
      </c>
      <c r="B2485" s="13"/>
      <c r="C2485" t="e">
        <f t="shared" si="0"/>
        <v>#N/A</v>
      </c>
      <c r="D2485" t="b">
        <f t="shared" si="1"/>
        <v>0</v>
      </c>
      <c r="E2485">
        <f t="shared" si="2"/>
        <v>0</v>
      </c>
      <c r="F2485" s="13"/>
    </row>
    <row r="2486" spans="1:6" ht="15.75" customHeight="1" x14ac:dyDescent="0.15">
      <c r="A2486" s="12" t="s">
        <v>6034</v>
      </c>
      <c r="B2486" s="13"/>
      <c r="C2486" t="e">
        <f t="shared" si="0"/>
        <v>#N/A</v>
      </c>
      <c r="D2486" t="b">
        <f t="shared" si="1"/>
        <v>0</v>
      </c>
      <c r="E2486">
        <f t="shared" si="2"/>
        <v>0</v>
      </c>
      <c r="F2486" s="13"/>
    </row>
    <row r="2487" spans="1:6" ht="15.75" customHeight="1" x14ac:dyDescent="0.15">
      <c r="A2487" s="12" t="s">
        <v>6035</v>
      </c>
      <c r="B2487" s="13"/>
      <c r="C2487" t="e">
        <f t="shared" si="0"/>
        <v>#N/A</v>
      </c>
      <c r="D2487" t="b">
        <f t="shared" si="1"/>
        <v>0</v>
      </c>
      <c r="E2487">
        <f t="shared" si="2"/>
        <v>0</v>
      </c>
      <c r="F2487" s="13"/>
    </row>
    <row r="2488" spans="1:6" ht="15.75" customHeight="1" x14ac:dyDescent="0.15">
      <c r="A2488" s="12" t="s">
        <v>6036</v>
      </c>
      <c r="B2488" s="13"/>
      <c r="C2488" t="e">
        <f t="shared" si="0"/>
        <v>#N/A</v>
      </c>
      <c r="D2488" t="b">
        <f t="shared" si="1"/>
        <v>0</v>
      </c>
      <c r="E2488">
        <f t="shared" si="2"/>
        <v>0</v>
      </c>
      <c r="F2488" s="13"/>
    </row>
    <row r="2489" spans="1:6" ht="15.75" customHeight="1" x14ac:dyDescent="0.15">
      <c r="A2489" s="12" t="s">
        <v>6037</v>
      </c>
      <c r="B2489" s="13"/>
      <c r="C2489" t="e">
        <f t="shared" si="0"/>
        <v>#N/A</v>
      </c>
      <c r="D2489" t="b">
        <f t="shared" si="1"/>
        <v>0</v>
      </c>
      <c r="E2489">
        <f t="shared" si="2"/>
        <v>0</v>
      </c>
      <c r="F2489" s="13"/>
    </row>
    <row r="2490" spans="1:6" ht="15.75" customHeight="1" x14ac:dyDescent="0.15">
      <c r="A2490" s="12" t="s">
        <v>6038</v>
      </c>
      <c r="B2490" s="13"/>
      <c r="C2490" t="e">
        <f t="shared" si="0"/>
        <v>#N/A</v>
      </c>
      <c r="D2490" t="b">
        <f t="shared" si="1"/>
        <v>0</v>
      </c>
      <c r="E2490">
        <f t="shared" si="2"/>
        <v>0</v>
      </c>
      <c r="F2490" s="13"/>
    </row>
    <row r="2491" spans="1:6" ht="15.75" customHeight="1" x14ac:dyDescent="0.15">
      <c r="A2491" s="12" t="s">
        <v>6039</v>
      </c>
      <c r="B2491" s="13"/>
      <c r="C2491" t="e">
        <f t="shared" si="0"/>
        <v>#N/A</v>
      </c>
      <c r="D2491" t="b">
        <f t="shared" si="1"/>
        <v>0</v>
      </c>
      <c r="E2491">
        <f t="shared" si="2"/>
        <v>0</v>
      </c>
      <c r="F2491" s="13"/>
    </row>
    <row r="2492" spans="1:6" ht="15.75" customHeight="1" x14ac:dyDescent="0.15">
      <c r="A2492" s="12" t="s">
        <v>6040</v>
      </c>
      <c r="B2492" s="13"/>
      <c r="C2492" t="e">
        <f t="shared" si="0"/>
        <v>#N/A</v>
      </c>
      <c r="D2492" t="b">
        <f t="shared" si="1"/>
        <v>0</v>
      </c>
      <c r="E2492">
        <f t="shared" si="2"/>
        <v>0</v>
      </c>
      <c r="F2492" s="13"/>
    </row>
    <row r="2493" spans="1:6" ht="15.75" customHeight="1" x14ac:dyDescent="0.15">
      <c r="A2493" s="12" t="s">
        <v>6041</v>
      </c>
      <c r="B2493" s="13"/>
      <c r="C2493" t="e">
        <f t="shared" si="0"/>
        <v>#N/A</v>
      </c>
      <c r="D2493" t="b">
        <f t="shared" si="1"/>
        <v>0</v>
      </c>
      <c r="E2493">
        <f t="shared" si="2"/>
        <v>0</v>
      </c>
      <c r="F2493" s="13"/>
    </row>
    <row r="2494" spans="1:6" ht="15.75" customHeight="1" x14ac:dyDescent="0.15">
      <c r="A2494" s="12" t="s">
        <v>6042</v>
      </c>
      <c r="B2494" s="13"/>
      <c r="C2494" t="e">
        <f t="shared" si="0"/>
        <v>#N/A</v>
      </c>
      <c r="D2494" t="b">
        <f t="shared" si="1"/>
        <v>0</v>
      </c>
      <c r="E2494">
        <f t="shared" si="2"/>
        <v>0</v>
      </c>
      <c r="F2494" s="13"/>
    </row>
    <row r="2495" spans="1:6" ht="15.75" customHeight="1" x14ac:dyDescent="0.15">
      <c r="A2495" s="12" t="s">
        <v>6043</v>
      </c>
      <c r="B2495" s="13"/>
      <c r="C2495" t="e">
        <f t="shared" si="0"/>
        <v>#N/A</v>
      </c>
      <c r="D2495" t="b">
        <f t="shared" si="1"/>
        <v>0</v>
      </c>
      <c r="E2495">
        <f t="shared" si="2"/>
        <v>0</v>
      </c>
      <c r="F2495" s="13"/>
    </row>
    <row r="2496" spans="1:6" ht="15.75" customHeight="1" x14ac:dyDescent="0.15">
      <c r="A2496" s="12" t="s">
        <v>6044</v>
      </c>
      <c r="B2496" s="13"/>
      <c r="C2496" t="e">
        <f t="shared" si="0"/>
        <v>#N/A</v>
      </c>
      <c r="D2496" t="b">
        <f t="shared" si="1"/>
        <v>0</v>
      </c>
      <c r="E2496">
        <f t="shared" si="2"/>
        <v>0</v>
      </c>
      <c r="F2496" s="13"/>
    </row>
    <row r="2497" spans="1:6" ht="15.75" customHeight="1" x14ac:dyDescent="0.15">
      <c r="A2497" s="12" t="s">
        <v>6045</v>
      </c>
      <c r="B2497" s="13"/>
      <c r="C2497" t="e">
        <f t="shared" si="0"/>
        <v>#N/A</v>
      </c>
      <c r="D2497" t="b">
        <f t="shared" si="1"/>
        <v>0</v>
      </c>
      <c r="E2497">
        <f t="shared" si="2"/>
        <v>0</v>
      </c>
      <c r="F2497" s="13"/>
    </row>
    <row r="2498" spans="1:6" ht="15.75" customHeight="1" x14ac:dyDescent="0.15">
      <c r="A2498" s="12" t="s">
        <v>6046</v>
      </c>
      <c r="B2498" s="13"/>
      <c r="C2498" t="e">
        <f t="shared" si="0"/>
        <v>#N/A</v>
      </c>
      <c r="D2498" t="b">
        <f t="shared" si="1"/>
        <v>0</v>
      </c>
      <c r="E2498">
        <f t="shared" si="2"/>
        <v>0</v>
      </c>
      <c r="F2498" s="13"/>
    </row>
    <row r="2499" spans="1:6" ht="15.75" customHeight="1" x14ac:dyDescent="0.15">
      <c r="A2499" s="12" t="s">
        <v>6047</v>
      </c>
      <c r="B2499" s="13"/>
      <c r="C2499" t="e">
        <f t="shared" si="0"/>
        <v>#N/A</v>
      </c>
      <c r="D2499" t="b">
        <f t="shared" si="1"/>
        <v>0</v>
      </c>
      <c r="E2499">
        <f t="shared" si="2"/>
        <v>0</v>
      </c>
      <c r="F2499" s="13"/>
    </row>
    <row r="2500" spans="1:6" ht="15.75" customHeight="1" x14ac:dyDescent="0.15">
      <c r="A2500" s="12" t="s">
        <v>6048</v>
      </c>
      <c r="B2500" s="13"/>
      <c r="C2500" t="e">
        <f t="shared" si="0"/>
        <v>#N/A</v>
      </c>
      <c r="D2500" t="b">
        <f t="shared" si="1"/>
        <v>0</v>
      </c>
      <c r="E2500">
        <f t="shared" si="2"/>
        <v>0</v>
      </c>
      <c r="F2500" s="13"/>
    </row>
    <row r="2501" spans="1:6" ht="15.75" customHeight="1" x14ac:dyDescent="0.15">
      <c r="A2501" s="12" t="s">
        <v>6049</v>
      </c>
      <c r="B2501" s="13"/>
      <c r="C2501" t="e">
        <f t="shared" si="0"/>
        <v>#N/A</v>
      </c>
      <c r="D2501" t="b">
        <f t="shared" si="1"/>
        <v>0</v>
      </c>
      <c r="E2501">
        <f t="shared" si="2"/>
        <v>0</v>
      </c>
      <c r="F2501" s="13"/>
    </row>
    <row r="2502" spans="1:6" ht="15.75" customHeight="1" x14ac:dyDescent="0.15">
      <c r="A2502" s="12" t="s">
        <v>6050</v>
      </c>
      <c r="B2502" s="13"/>
      <c r="C2502" t="e">
        <f t="shared" si="0"/>
        <v>#N/A</v>
      </c>
      <c r="D2502" t="b">
        <f t="shared" si="1"/>
        <v>0</v>
      </c>
      <c r="E2502">
        <f t="shared" si="2"/>
        <v>0</v>
      </c>
      <c r="F2502" s="13"/>
    </row>
    <row r="2503" spans="1:6" ht="15.75" customHeight="1" x14ac:dyDescent="0.15">
      <c r="A2503" s="12" t="s">
        <v>6051</v>
      </c>
      <c r="B2503" s="13"/>
      <c r="C2503" t="e">
        <f t="shared" si="0"/>
        <v>#N/A</v>
      </c>
      <c r="D2503" t="b">
        <f t="shared" si="1"/>
        <v>0</v>
      </c>
      <c r="E2503">
        <f t="shared" si="2"/>
        <v>0</v>
      </c>
      <c r="F2503" s="13"/>
    </row>
    <row r="2504" spans="1:6" ht="15.75" customHeight="1" x14ac:dyDescent="0.15">
      <c r="A2504" s="12" t="s">
        <v>6052</v>
      </c>
      <c r="B2504" s="13"/>
      <c r="C2504" t="e">
        <f t="shared" si="0"/>
        <v>#N/A</v>
      </c>
      <c r="D2504" t="b">
        <f t="shared" si="1"/>
        <v>0</v>
      </c>
      <c r="E2504">
        <f t="shared" si="2"/>
        <v>0</v>
      </c>
      <c r="F2504" s="13"/>
    </row>
    <row r="2505" spans="1:6" ht="15.75" customHeight="1" x14ac:dyDescent="0.15">
      <c r="A2505" s="12" t="s">
        <v>6053</v>
      </c>
      <c r="B2505" s="13"/>
      <c r="C2505" t="e">
        <f t="shared" si="0"/>
        <v>#N/A</v>
      </c>
      <c r="D2505" t="b">
        <f t="shared" si="1"/>
        <v>0</v>
      </c>
      <c r="E2505">
        <f t="shared" si="2"/>
        <v>0</v>
      </c>
      <c r="F2505" s="13"/>
    </row>
    <row r="2506" spans="1:6" ht="15.75" customHeight="1" x14ac:dyDescent="0.15">
      <c r="A2506" s="12" t="s">
        <v>6054</v>
      </c>
      <c r="B2506" s="13"/>
      <c r="C2506" t="e">
        <f t="shared" si="0"/>
        <v>#N/A</v>
      </c>
      <c r="D2506" t="b">
        <f t="shared" si="1"/>
        <v>0</v>
      </c>
      <c r="E2506">
        <f t="shared" si="2"/>
        <v>0</v>
      </c>
      <c r="F2506" s="13"/>
    </row>
    <row r="2507" spans="1:6" ht="15.75" customHeight="1" x14ac:dyDescent="0.15">
      <c r="A2507" s="12" t="s">
        <v>6055</v>
      </c>
      <c r="B2507" s="13"/>
      <c r="C2507" t="e">
        <f t="shared" si="0"/>
        <v>#N/A</v>
      </c>
      <c r="D2507" t="b">
        <f t="shared" si="1"/>
        <v>0</v>
      </c>
      <c r="E2507">
        <f t="shared" si="2"/>
        <v>0</v>
      </c>
      <c r="F2507" s="13"/>
    </row>
    <row r="2508" spans="1:6" ht="15.75" customHeight="1" x14ac:dyDescent="0.15">
      <c r="A2508" s="12" t="s">
        <v>6056</v>
      </c>
      <c r="B2508" s="13"/>
      <c r="C2508" t="e">
        <f t="shared" si="0"/>
        <v>#N/A</v>
      </c>
      <c r="D2508" t="b">
        <f t="shared" si="1"/>
        <v>0</v>
      </c>
      <c r="E2508">
        <f t="shared" si="2"/>
        <v>0</v>
      </c>
      <c r="F2508" s="13"/>
    </row>
    <row r="2509" spans="1:6" ht="15.75" customHeight="1" x14ac:dyDescent="0.15">
      <c r="A2509" s="12" t="s">
        <v>6057</v>
      </c>
      <c r="B2509" s="13"/>
      <c r="C2509" t="e">
        <f t="shared" si="0"/>
        <v>#N/A</v>
      </c>
      <c r="D2509" t="b">
        <f t="shared" si="1"/>
        <v>0</v>
      </c>
      <c r="E2509">
        <f t="shared" si="2"/>
        <v>0</v>
      </c>
      <c r="F2509" s="13"/>
    </row>
    <row r="2510" spans="1:6" ht="15.75" customHeight="1" x14ac:dyDescent="0.15">
      <c r="A2510" s="12" t="s">
        <v>6058</v>
      </c>
      <c r="B2510" s="13"/>
      <c r="C2510" t="e">
        <f t="shared" si="0"/>
        <v>#N/A</v>
      </c>
      <c r="D2510" t="b">
        <f t="shared" si="1"/>
        <v>0</v>
      </c>
      <c r="E2510">
        <f t="shared" si="2"/>
        <v>0</v>
      </c>
      <c r="F2510" s="13"/>
    </row>
    <row r="2511" spans="1:6" ht="15.75" customHeight="1" x14ac:dyDescent="0.15">
      <c r="A2511" s="12" t="s">
        <v>6059</v>
      </c>
      <c r="B2511" s="13"/>
      <c r="C2511" t="e">
        <f t="shared" si="0"/>
        <v>#N/A</v>
      </c>
      <c r="D2511" t="b">
        <f t="shared" si="1"/>
        <v>0</v>
      </c>
      <c r="E2511">
        <f t="shared" si="2"/>
        <v>0</v>
      </c>
      <c r="F2511" s="13"/>
    </row>
    <row r="2512" spans="1:6" ht="15.75" customHeight="1" x14ac:dyDescent="0.15">
      <c r="A2512" s="12" t="s">
        <v>6060</v>
      </c>
      <c r="B2512" s="13"/>
      <c r="C2512" t="e">
        <f t="shared" si="0"/>
        <v>#N/A</v>
      </c>
      <c r="D2512" t="b">
        <f t="shared" si="1"/>
        <v>0</v>
      </c>
      <c r="E2512">
        <f t="shared" si="2"/>
        <v>0</v>
      </c>
      <c r="F2512" s="13"/>
    </row>
    <row r="2513" spans="1:6" ht="15.75" customHeight="1" x14ac:dyDescent="0.15">
      <c r="A2513" s="12" t="s">
        <v>6061</v>
      </c>
      <c r="B2513" s="13"/>
      <c r="C2513" t="e">
        <f t="shared" si="0"/>
        <v>#N/A</v>
      </c>
      <c r="D2513" t="b">
        <f t="shared" si="1"/>
        <v>0</v>
      </c>
      <c r="E2513">
        <f t="shared" si="2"/>
        <v>0</v>
      </c>
      <c r="F2513" s="13"/>
    </row>
    <row r="2514" spans="1:6" ht="15.75" customHeight="1" x14ac:dyDescent="0.15">
      <c r="A2514" s="12" t="s">
        <v>6062</v>
      </c>
      <c r="B2514" s="13"/>
      <c r="C2514" t="e">
        <f t="shared" si="0"/>
        <v>#N/A</v>
      </c>
      <c r="D2514" t="b">
        <f t="shared" si="1"/>
        <v>0</v>
      </c>
      <c r="E2514">
        <f t="shared" si="2"/>
        <v>0</v>
      </c>
      <c r="F2514" s="13"/>
    </row>
    <row r="2515" spans="1:6" ht="15.75" customHeight="1" x14ac:dyDescent="0.15">
      <c r="A2515" s="12" t="s">
        <v>6063</v>
      </c>
      <c r="B2515" s="13"/>
      <c r="C2515" t="e">
        <f t="shared" si="0"/>
        <v>#N/A</v>
      </c>
      <c r="D2515" t="b">
        <f t="shared" si="1"/>
        <v>0</v>
      </c>
      <c r="E2515">
        <f t="shared" si="2"/>
        <v>0</v>
      </c>
      <c r="F2515" s="13"/>
    </row>
    <row r="2516" spans="1:6" ht="15.75" customHeight="1" x14ac:dyDescent="0.15">
      <c r="A2516" s="12" t="s">
        <v>6064</v>
      </c>
      <c r="B2516" s="13"/>
      <c r="C2516" t="e">
        <f t="shared" si="0"/>
        <v>#N/A</v>
      </c>
      <c r="D2516" t="b">
        <f t="shared" si="1"/>
        <v>0</v>
      </c>
      <c r="E2516">
        <f t="shared" si="2"/>
        <v>0</v>
      </c>
      <c r="F2516" s="13"/>
    </row>
    <row r="2517" spans="1:6" ht="15.75" customHeight="1" x14ac:dyDescent="0.15">
      <c r="A2517" s="12" t="s">
        <v>6065</v>
      </c>
      <c r="B2517" s="13"/>
      <c r="C2517" t="e">
        <f t="shared" si="0"/>
        <v>#N/A</v>
      </c>
      <c r="D2517" t="b">
        <f t="shared" si="1"/>
        <v>0</v>
      </c>
      <c r="E2517">
        <f t="shared" si="2"/>
        <v>0</v>
      </c>
      <c r="F2517" s="13"/>
    </row>
    <row r="2518" spans="1:6" ht="15.75" customHeight="1" x14ac:dyDescent="0.15">
      <c r="A2518" s="12" t="s">
        <v>6066</v>
      </c>
      <c r="B2518" s="13"/>
      <c r="C2518" t="e">
        <f t="shared" si="0"/>
        <v>#N/A</v>
      </c>
      <c r="D2518" t="b">
        <f t="shared" si="1"/>
        <v>0</v>
      </c>
      <c r="E2518">
        <f t="shared" si="2"/>
        <v>0</v>
      </c>
      <c r="F2518" s="13"/>
    </row>
    <row r="2519" spans="1:6" ht="15.75" customHeight="1" x14ac:dyDescent="0.15">
      <c r="A2519" s="12" t="s">
        <v>6067</v>
      </c>
      <c r="B2519" s="13"/>
      <c r="C2519" t="e">
        <f t="shared" si="0"/>
        <v>#N/A</v>
      </c>
      <c r="D2519" t="b">
        <f t="shared" si="1"/>
        <v>0</v>
      </c>
      <c r="E2519">
        <f t="shared" si="2"/>
        <v>0</v>
      </c>
      <c r="F2519" s="13"/>
    </row>
    <row r="2520" spans="1:6" ht="15.75" customHeight="1" x14ac:dyDescent="0.15">
      <c r="A2520" s="12" t="s">
        <v>6068</v>
      </c>
      <c r="B2520" s="13"/>
      <c r="C2520" t="e">
        <f t="shared" si="0"/>
        <v>#N/A</v>
      </c>
      <c r="D2520" t="b">
        <f t="shared" si="1"/>
        <v>0</v>
      </c>
      <c r="E2520">
        <f t="shared" si="2"/>
        <v>0</v>
      </c>
      <c r="F2520" s="13"/>
    </row>
    <row r="2521" spans="1:6" ht="15.75" customHeight="1" x14ac:dyDescent="0.15">
      <c r="A2521" s="12" t="s">
        <v>6069</v>
      </c>
      <c r="B2521" s="13"/>
      <c r="C2521" t="e">
        <f t="shared" si="0"/>
        <v>#N/A</v>
      </c>
      <c r="D2521" t="b">
        <f t="shared" si="1"/>
        <v>0</v>
      </c>
      <c r="E2521">
        <f t="shared" si="2"/>
        <v>0</v>
      </c>
      <c r="F2521" s="13"/>
    </row>
    <row r="2522" spans="1:6" ht="15.75" customHeight="1" x14ac:dyDescent="0.15">
      <c r="A2522" s="12" t="s">
        <v>6070</v>
      </c>
      <c r="B2522" s="13"/>
      <c r="C2522" t="e">
        <f t="shared" si="0"/>
        <v>#N/A</v>
      </c>
      <c r="D2522" t="b">
        <f t="shared" si="1"/>
        <v>0</v>
      </c>
      <c r="E2522">
        <f t="shared" si="2"/>
        <v>0</v>
      </c>
      <c r="F2522" s="13"/>
    </row>
    <row r="2523" spans="1:6" ht="15.75" customHeight="1" x14ac:dyDescent="0.15">
      <c r="A2523" s="12" t="s">
        <v>6071</v>
      </c>
      <c r="B2523" s="13"/>
      <c r="C2523" t="e">
        <f t="shared" si="0"/>
        <v>#N/A</v>
      </c>
      <c r="D2523" t="b">
        <f t="shared" si="1"/>
        <v>0</v>
      </c>
      <c r="E2523">
        <f t="shared" si="2"/>
        <v>0</v>
      </c>
      <c r="F2523" s="13"/>
    </row>
    <row r="2524" spans="1:6" ht="15.75" customHeight="1" x14ac:dyDescent="0.15">
      <c r="A2524" s="12" t="s">
        <v>6072</v>
      </c>
      <c r="B2524" s="13"/>
      <c r="C2524" t="e">
        <f t="shared" si="0"/>
        <v>#N/A</v>
      </c>
      <c r="D2524" t="b">
        <f t="shared" si="1"/>
        <v>0</v>
      </c>
      <c r="E2524">
        <f t="shared" si="2"/>
        <v>0</v>
      </c>
      <c r="F2524" s="13"/>
    </row>
    <row r="2525" spans="1:6" ht="15.75" customHeight="1" x14ac:dyDescent="0.15">
      <c r="A2525" s="12" t="s">
        <v>6073</v>
      </c>
      <c r="B2525" s="13"/>
      <c r="C2525" t="e">
        <f t="shared" si="0"/>
        <v>#N/A</v>
      </c>
      <c r="D2525" t="b">
        <f t="shared" si="1"/>
        <v>0</v>
      </c>
      <c r="E2525">
        <f t="shared" si="2"/>
        <v>0</v>
      </c>
      <c r="F2525" s="13"/>
    </row>
    <row r="2526" spans="1:6" ht="15.75" customHeight="1" x14ac:dyDescent="0.15">
      <c r="A2526" s="12" t="s">
        <v>6074</v>
      </c>
      <c r="B2526" s="13"/>
      <c r="C2526" t="e">
        <f t="shared" si="0"/>
        <v>#N/A</v>
      </c>
      <c r="D2526" t="b">
        <f t="shared" si="1"/>
        <v>0</v>
      </c>
      <c r="E2526">
        <f t="shared" si="2"/>
        <v>0</v>
      </c>
      <c r="F2526" s="13"/>
    </row>
    <row r="2527" spans="1:6" ht="15.75" customHeight="1" x14ac:dyDescent="0.15">
      <c r="A2527" s="12" t="s">
        <v>6075</v>
      </c>
      <c r="B2527" s="13"/>
      <c r="C2527" t="e">
        <f t="shared" si="0"/>
        <v>#N/A</v>
      </c>
      <c r="D2527" t="b">
        <f t="shared" si="1"/>
        <v>0</v>
      </c>
      <c r="E2527">
        <f t="shared" si="2"/>
        <v>0</v>
      </c>
      <c r="F2527" s="13"/>
    </row>
    <row r="2528" spans="1:6" ht="15.75" customHeight="1" x14ac:dyDescent="0.15">
      <c r="A2528" s="12" t="s">
        <v>6076</v>
      </c>
      <c r="B2528" s="13"/>
      <c r="C2528" t="e">
        <f t="shared" si="0"/>
        <v>#N/A</v>
      </c>
      <c r="D2528" t="b">
        <f t="shared" si="1"/>
        <v>0</v>
      </c>
      <c r="E2528">
        <f t="shared" si="2"/>
        <v>0</v>
      </c>
      <c r="F2528" s="13"/>
    </row>
    <row r="2529" spans="1:6" ht="15.75" customHeight="1" x14ac:dyDescent="0.15">
      <c r="A2529" s="12" t="s">
        <v>6077</v>
      </c>
      <c r="B2529" s="13"/>
      <c r="C2529" t="e">
        <f t="shared" si="0"/>
        <v>#N/A</v>
      </c>
      <c r="D2529" t="b">
        <f t="shared" si="1"/>
        <v>0</v>
      </c>
      <c r="E2529">
        <f t="shared" si="2"/>
        <v>0</v>
      </c>
      <c r="F2529" s="13"/>
    </row>
    <row r="2530" spans="1:6" ht="15.75" customHeight="1" x14ac:dyDescent="0.15">
      <c r="A2530" s="12" t="s">
        <v>6078</v>
      </c>
      <c r="B2530" s="13"/>
      <c r="C2530" t="e">
        <f t="shared" si="0"/>
        <v>#N/A</v>
      </c>
      <c r="D2530" t="b">
        <f t="shared" si="1"/>
        <v>0</v>
      </c>
      <c r="E2530">
        <f t="shared" si="2"/>
        <v>0</v>
      </c>
      <c r="F2530" s="13"/>
    </row>
    <row r="2531" spans="1:6" ht="15.75" customHeight="1" x14ac:dyDescent="0.15">
      <c r="A2531" s="12" t="s">
        <v>6079</v>
      </c>
      <c r="B2531" s="13"/>
      <c r="C2531" t="e">
        <f t="shared" si="0"/>
        <v>#N/A</v>
      </c>
      <c r="D2531" t="b">
        <f t="shared" si="1"/>
        <v>0</v>
      </c>
      <c r="E2531">
        <f t="shared" si="2"/>
        <v>0</v>
      </c>
      <c r="F2531" s="13"/>
    </row>
    <row r="2532" spans="1:6" ht="15.75" customHeight="1" x14ac:dyDescent="0.15">
      <c r="A2532" s="12" t="s">
        <v>6080</v>
      </c>
      <c r="B2532" s="13"/>
      <c r="C2532" t="e">
        <f t="shared" si="0"/>
        <v>#N/A</v>
      </c>
      <c r="D2532" t="b">
        <f t="shared" si="1"/>
        <v>0</v>
      </c>
      <c r="E2532">
        <f t="shared" si="2"/>
        <v>0</v>
      </c>
      <c r="F2532" s="13"/>
    </row>
    <row r="2533" spans="1:6" ht="15.75" customHeight="1" x14ac:dyDescent="0.15">
      <c r="A2533" s="12" t="s">
        <v>6081</v>
      </c>
      <c r="B2533" s="13"/>
      <c r="C2533" t="e">
        <f t="shared" si="0"/>
        <v>#N/A</v>
      </c>
      <c r="D2533" t="b">
        <f t="shared" si="1"/>
        <v>0</v>
      </c>
      <c r="E2533">
        <f t="shared" si="2"/>
        <v>0</v>
      </c>
      <c r="F2533" s="13"/>
    </row>
    <row r="2534" spans="1:6" ht="15.75" customHeight="1" x14ac:dyDescent="0.15">
      <c r="A2534" s="12" t="s">
        <v>6082</v>
      </c>
      <c r="B2534" s="13"/>
      <c r="C2534" t="e">
        <f t="shared" si="0"/>
        <v>#N/A</v>
      </c>
      <c r="D2534" t="b">
        <f t="shared" si="1"/>
        <v>0</v>
      </c>
      <c r="E2534">
        <f t="shared" si="2"/>
        <v>0</v>
      </c>
      <c r="F2534" s="13"/>
    </row>
    <row r="2535" spans="1:6" ht="15.75" customHeight="1" x14ac:dyDescent="0.15">
      <c r="A2535" s="12" t="s">
        <v>6083</v>
      </c>
      <c r="B2535" s="13"/>
      <c r="C2535" t="e">
        <f t="shared" si="0"/>
        <v>#N/A</v>
      </c>
      <c r="D2535" t="b">
        <f t="shared" si="1"/>
        <v>0</v>
      </c>
      <c r="E2535">
        <f t="shared" si="2"/>
        <v>0</v>
      </c>
      <c r="F2535" s="13"/>
    </row>
    <row r="2536" spans="1:6" ht="15.75" customHeight="1" x14ac:dyDescent="0.15">
      <c r="A2536" s="12" t="s">
        <v>6084</v>
      </c>
      <c r="B2536" s="13"/>
      <c r="C2536" t="e">
        <f t="shared" si="0"/>
        <v>#N/A</v>
      </c>
      <c r="D2536" t="b">
        <f t="shared" si="1"/>
        <v>0</v>
      </c>
      <c r="E2536">
        <f t="shared" si="2"/>
        <v>0</v>
      </c>
      <c r="F2536" s="13"/>
    </row>
    <row r="2537" spans="1:6" ht="15.75" customHeight="1" x14ac:dyDescent="0.15">
      <c r="A2537" s="12" t="s">
        <v>6085</v>
      </c>
      <c r="B2537" s="13"/>
      <c r="C2537" t="e">
        <f t="shared" si="0"/>
        <v>#N/A</v>
      </c>
      <c r="D2537" t="b">
        <f t="shared" si="1"/>
        <v>0</v>
      </c>
      <c r="E2537">
        <f t="shared" si="2"/>
        <v>0</v>
      </c>
      <c r="F2537" s="13"/>
    </row>
    <row r="2538" spans="1:6" ht="15.75" customHeight="1" x14ac:dyDescent="0.15">
      <c r="A2538" s="12" t="s">
        <v>6086</v>
      </c>
      <c r="B2538" s="13"/>
      <c r="C2538" t="e">
        <f t="shared" si="0"/>
        <v>#N/A</v>
      </c>
      <c r="D2538" t="b">
        <f t="shared" si="1"/>
        <v>0</v>
      </c>
      <c r="E2538">
        <f t="shared" si="2"/>
        <v>0</v>
      </c>
      <c r="F2538" s="13"/>
    </row>
    <row r="2539" spans="1:6" ht="15.75" customHeight="1" x14ac:dyDescent="0.15">
      <c r="A2539" s="12" t="s">
        <v>6087</v>
      </c>
      <c r="B2539" s="13"/>
      <c r="C2539" t="e">
        <f t="shared" si="0"/>
        <v>#N/A</v>
      </c>
      <c r="D2539" t="b">
        <f t="shared" si="1"/>
        <v>0</v>
      </c>
      <c r="E2539">
        <f t="shared" si="2"/>
        <v>0</v>
      </c>
      <c r="F2539" s="13"/>
    </row>
    <row r="2540" spans="1:6" ht="15.75" customHeight="1" x14ac:dyDescent="0.15">
      <c r="A2540" s="12" t="s">
        <v>6088</v>
      </c>
      <c r="B2540" s="13"/>
      <c r="C2540" t="e">
        <f t="shared" si="0"/>
        <v>#N/A</v>
      </c>
      <c r="D2540" t="b">
        <f t="shared" si="1"/>
        <v>0</v>
      </c>
      <c r="E2540">
        <f t="shared" si="2"/>
        <v>0</v>
      </c>
      <c r="F2540" s="13"/>
    </row>
    <row r="2541" spans="1:6" ht="15.75" customHeight="1" x14ac:dyDescent="0.15">
      <c r="A2541" s="12" t="s">
        <v>6089</v>
      </c>
      <c r="B2541" s="13"/>
      <c r="C2541" t="e">
        <f t="shared" si="0"/>
        <v>#N/A</v>
      </c>
      <c r="D2541" t="b">
        <f t="shared" si="1"/>
        <v>0</v>
      </c>
      <c r="E2541">
        <f t="shared" si="2"/>
        <v>0</v>
      </c>
      <c r="F2541" s="13"/>
    </row>
    <row r="2542" spans="1:6" ht="15.75" customHeight="1" x14ac:dyDescent="0.15">
      <c r="A2542" s="12" t="s">
        <v>6090</v>
      </c>
      <c r="B2542" s="13"/>
      <c r="C2542" t="e">
        <f t="shared" si="0"/>
        <v>#N/A</v>
      </c>
      <c r="D2542" t="b">
        <f t="shared" si="1"/>
        <v>0</v>
      </c>
      <c r="E2542">
        <f t="shared" si="2"/>
        <v>0</v>
      </c>
      <c r="F2542" s="13"/>
    </row>
    <row r="2543" spans="1:6" ht="15.75" customHeight="1" x14ac:dyDescent="0.15">
      <c r="A2543" s="12" t="s">
        <v>6091</v>
      </c>
      <c r="B2543" s="13"/>
      <c r="C2543" t="e">
        <f t="shared" si="0"/>
        <v>#N/A</v>
      </c>
      <c r="D2543" t="b">
        <f t="shared" si="1"/>
        <v>0</v>
      </c>
      <c r="E2543">
        <f t="shared" si="2"/>
        <v>0</v>
      </c>
      <c r="F2543" s="13"/>
    </row>
    <row r="2544" spans="1:6" ht="15.75" customHeight="1" x14ac:dyDescent="0.15">
      <c r="A2544" s="12" t="s">
        <v>6092</v>
      </c>
      <c r="B2544" s="13"/>
      <c r="C2544" t="e">
        <f t="shared" si="0"/>
        <v>#N/A</v>
      </c>
      <c r="D2544" t="b">
        <f t="shared" si="1"/>
        <v>0</v>
      </c>
      <c r="E2544">
        <f t="shared" si="2"/>
        <v>0</v>
      </c>
      <c r="F2544" s="13"/>
    </row>
    <row r="2545" spans="1:6" ht="15.75" customHeight="1" x14ac:dyDescent="0.15">
      <c r="A2545" s="12" t="s">
        <v>6093</v>
      </c>
      <c r="B2545" s="13"/>
      <c r="C2545" t="e">
        <f t="shared" si="0"/>
        <v>#N/A</v>
      </c>
      <c r="D2545" t="b">
        <f t="shared" si="1"/>
        <v>0</v>
      </c>
      <c r="E2545">
        <f t="shared" si="2"/>
        <v>0</v>
      </c>
      <c r="F2545" s="13"/>
    </row>
    <row r="2546" spans="1:6" ht="15.75" customHeight="1" x14ac:dyDescent="0.15">
      <c r="A2546" s="12" t="s">
        <v>6094</v>
      </c>
      <c r="B2546" s="13"/>
      <c r="C2546" t="e">
        <f t="shared" si="0"/>
        <v>#N/A</v>
      </c>
      <c r="D2546" t="b">
        <f t="shared" si="1"/>
        <v>0</v>
      </c>
      <c r="E2546">
        <f t="shared" si="2"/>
        <v>0</v>
      </c>
      <c r="F2546" s="13"/>
    </row>
    <row r="2547" spans="1:6" ht="15.75" customHeight="1" x14ac:dyDescent="0.15">
      <c r="A2547" s="12" t="s">
        <v>6095</v>
      </c>
      <c r="B2547" s="13"/>
      <c r="C2547" t="e">
        <f t="shared" si="0"/>
        <v>#N/A</v>
      </c>
      <c r="D2547" t="b">
        <f t="shared" si="1"/>
        <v>0</v>
      </c>
      <c r="E2547">
        <f t="shared" si="2"/>
        <v>0</v>
      </c>
      <c r="F2547" s="13"/>
    </row>
    <row r="2548" spans="1:6" ht="15.75" customHeight="1" x14ac:dyDescent="0.15">
      <c r="A2548" s="12" t="s">
        <v>6096</v>
      </c>
      <c r="B2548" s="13"/>
      <c r="C2548" t="e">
        <f t="shared" si="0"/>
        <v>#N/A</v>
      </c>
      <c r="D2548" t="b">
        <f t="shared" si="1"/>
        <v>0</v>
      </c>
      <c r="E2548">
        <f t="shared" si="2"/>
        <v>0</v>
      </c>
      <c r="F2548" s="13"/>
    </row>
    <row r="2549" spans="1:6" ht="15.75" customHeight="1" x14ac:dyDescent="0.15">
      <c r="A2549" s="12" t="s">
        <v>6097</v>
      </c>
      <c r="B2549" s="13"/>
      <c r="C2549" t="e">
        <f t="shared" si="0"/>
        <v>#N/A</v>
      </c>
      <c r="D2549" t="b">
        <f t="shared" si="1"/>
        <v>0</v>
      </c>
      <c r="E2549">
        <f t="shared" si="2"/>
        <v>0</v>
      </c>
      <c r="F2549" s="13"/>
    </row>
    <row r="2550" spans="1:6" ht="15.75" customHeight="1" x14ac:dyDescent="0.15">
      <c r="A2550" s="12" t="s">
        <v>6098</v>
      </c>
      <c r="B2550" s="13"/>
      <c r="C2550" t="e">
        <f t="shared" si="0"/>
        <v>#N/A</v>
      </c>
      <c r="D2550" t="b">
        <f t="shared" si="1"/>
        <v>0</v>
      </c>
      <c r="E2550">
        <f t="shared" si="2"/>
        <v>0</v>
      </c>
      <c r="F2550" s="13"/>
    </row>
    <row r="2551" spans="1:6" ht="15.75" customHeight="1" x14ac:dyDescent="0.15">
      <c r="A2551" s="12" t="s">
        <v>6099</v>
      </c>
      <c r="B2551" s="13"/>
      <c r="C2551" t="e">
        <f t="shared" si="0"/>
        <v>#N/A</v>
      </c>
      <c r="D2551" t="b">
        <f t="shared" si="1"/>
        <v>0</v>
      </c>
      <c r="E2551">
        <f t="shared" si="2"/>
        <v>0</v>
      </c>
      <c r="F2551" s="13"/>
    </row>
    <row r="2552" spans="1:6" ht="15.75" customHeight="1" x14ac:dyDescent="0.15">
      <c r="A2552" s="12" t="s">
        <v>6100</v>
      </c>
      <c r="B2552" s="13"/>
      <c r="C2552" t="e">
        <f t="shared" si="0"/>
        <v>#N/A</v>
      </c>
      <c r="D2552" t="b">
        <f t="shared" si="1"/>
        <v>0</v>
      </c>
      <c r="E2552">
        <f t="shared" si="2"/>
        <v>0</v>
      </c>
      <c r="F2552" s="13"/>
    </row>
    <row r="2553" spans="1:6" ht="15.75" customHeight="1" x14ac:dyDescent="0.15">
      <c r="A2553" s="12" t="s">
        <v>6101</v>
      </c>
      <c r="B2553" s="13"/>
      <c r="C2553" t="e">
        <f t="shared" si="0"/>
        <v>#N/A</v>
      </c>
      <c r="D2553" t="b">
        <f t="shared" si="1"/>
        <v>0</v>
      </c>
      <c r="E2553">
        <f t="shared" si="2"/>
        <v>0</v>
      </c>
      <c r="F2553" s="13"/>
    </row>
    <row r="2554" spans="1:6" ht="15.75" customHeight="1" x14ac:dyDescent="0.15">
      <c r="A2554" s="12" t="s">
        <v>6102</v>
      </c>
      <c r="B2554" s="13"/>
      <c r="C2554" t="e">
        <f t="shared" si="0"/>
        <v>#N/A</v>
      </c>
      <c r="D2554" t="b">
        <f t="shared" si="1"/>
        <v>0</v>
      </c>
      <c r="E2554">
        <f t="shared" si="2"/>
        <v>0</v>
      </c>
      <c r="F2554" s="13"/>
    </row>
    <row r="2555" spans="1:6" ht="15.75" customHeight="1" x14ac:dyDescent="0.15">
      <c r="A2555" s="12" t="s">
        <v>6103</v>
      </c>
      <c r="B2555" s="13"/>
      <c r="C2555" t="e">
        <f t="shared" si="0"/>
        <v>#N/A</v>
      </c>
      <c r="D2555" t="b">
        <f t="shared" si="1"/>
        <v>0</v>
      </c>
      <c r="E2555">
        <f t="shared" si="2"/>
        <v>0</v>
      </c>
      <c r="F2555" s="13"/>
    </row>
    <row r="2556" spans="1:6" ht="15.75" customHeight="1" x14ac:dyDescent="0.15">
      <c r="A2556" s="12" t="s">
        <v>6104</v>
      </c>
      <c r="B2556" s="13"/>
      <c r="C2556" t="e">
        <f t="shared" si="0"/>
        <v>#N/A</v>
      </c>
      <c r="D2556" t="b">
        <f t="shared" si="1"/>
        <v>0</v>
      </c>
      <c r="E2556">
        <f t="shared" si="2"/>
        <v>0</v>
      </c>
      <c r="F2556" s="13"/>
    </row>
    <row r="2557" spans="1:6" ht="15.75" customHeight="1" x14ac:dyDescent="0.15">
      <c r="A2557" s="12" t="s">
        <v>6105</v>
      </c>
      <c r="B2557" s="13"/>
      <c r="C2557" t="e">
        <f t="shared" si="0"/>
        <v>#N/A</v>
      </c>
      <c r="D2557" t="b">
        <f t="shared" si="1"/>
        <v>0</v>
      </c>
      <c r="E2557">
        <f t="shared" si="2"/>
        <v>0</v>
      </c>
      <c r="F2557" s="13"/>
    </row>
    <row r="2558" spans="1:6" ht="15.75" customHeight="1" x14ac:dyDescent="0.15">
      <c r="A2558" s="12" t="s">
        <v>6106</v>
      </c>
      <c r="B2558" s="13"/>
      <c r="C2558" t="e">
        <f t="shared" si="0"/>
        <v>#N/A</v>
      </c>
      <c r="D2558" t="b">
        <f t="shared" si="1"/>
        <v>0</v>
      </c>
      <c r="E2558">
        <f t="shared" si="2"/>
        <v>0</v>
      </c>
      <c r="F2558" s="13"/>
    </row>
    <row r="2559" spans="1:6" ht="15.75" customHeight="1" x14ac:dyDescent="0.15">
      <c r="A2559" s="12" t="s">
        <v>6107</v>
      </c>
      <c r="B2559" s="13"/>
      <c r="C2559" t="e">
        <f t="shared" si="0"/>
        <v>#N/A</v>
      </c>
      <c r="D2559" t="b">
        <f t="shared" si="1"/>
        <v>0</v>
      </c>
      <c r="E2559">
        <f t="shared" si="2"/>
        <v>0</v>
      </c>
      <c r="F2559" s="13"/>
    </row>
    <row r="2560" spans="1:6" ht="15.75" customHeight="1" x14ac:dyDescent="0.15">
      <c r="A2560" s="12" t="s">
        <v>6108</v>
      </c>
      <c r="B2560" s="13"/>
      <c r="C2560" t="e">
        <f t="shared" si="0"/>
        <v>#N/A</v>
      </c>
      <c r="D2560" t="b">
        <f t="shared" si="1"/>
        <v>0</v>
      </c>
      <c r="E2560">
        <f t="shared" si="2"/>
        <v>0</v>
      </c>
      <c r="F2560" s="13"/>
    </row>
    <row r="2561" spans="1:6" ht="15.75" customHeight="1" x14ac:dyDescent="0.15">
      <c r="A2561" s="12" t="s">
        <v>6109</v>
      </c>
      <c r="B2561" s="13"/>
      <c r="C2561" t="e">
        <f t="shared" si="0"/>
        <v>#N/A</v>
      </c>
      <c r="D2561" t="b">
        <f t="shared" si="1"/>
        <v>0</v>
      </c>
      <c r="E2561">
        <f t="shared" si="2"/>
        <v>0</v>
      </c>
      <c r="F2561" s="13"/>
    </row>
    <row r="2562" spans="1:6" ht="15.75" customHeight="1" x14ac:dyDescent="0.15">
      <c r="A2562" s="12" t="s">
        <v>6110</v>
      </c>
      <c r="B2562" s="13"/>
      <c r="C2562" t="e">
        <f t="shared" si="0"/>
        <v>#N/A</v>
      </c>
      <c r="D2562" t="b">
        <f t="shared" si="1"/>
        <v>0</v>
      </c>
      <c r="E2562">
        <f t="shared" si="2"/>
        <v>0</v>
      </c>
      <c r="F2562" s="13"/>
    </row>
    <row r="2563" spans="1:6" ht="15.75" customHeight="1" x14ac:dyDescent="0.15">
      <c r="A2563" s="12" t="s">
        <v>6111</v>
      </c>
      <c r="B2563" s="13"/>
      <c r="C2563" t="e">
        <f t="shared" si="0"/>
        <v>#N/A</v>
      </c>
      <c r="D2563" t="b">
        <f t="shared" si="1"/>
        <v>0</v>
      </c>
      <c r="E2563">
        <f t="shared" si="2"/>
        <v>0</v>
      </c>
      <c r="F2563" s="13"/>
    </row>
    <row r="2564" spans="1:6" ht="15.75" customHeight="1" x14ac:dyDescent="0.15">
      <c r="A2564" s="12" t="s">
        <v>6112</v>
      </c>
      <c r="B2564" s="13"/>
      <c r="C2564" t="e">
        <f t="shared" si="0"/>
        <v>#N/A</v>
      </c>
      <c r="D2564" t="b">
        <f t="shared" si="1"/>
        <v>0</v>
      </c>
      <c r="E2564">
        <f t="shared" si="2"/>
        <v>0</v>
      </c>
      <c r="F2564" s="13"/>
    </row>
    <row r="2565" spans="1:6" ht="15.75" customHeight="1" x14ac:dyDescent="0.15">
      <c r="A2565" s="12" t="s">
        <v>6113</v>
      </c>
      <c r="B2565" s="13"/>
      <c r="C2565" t="e">
        <f t="shared" si="0"/>
        <v>#N/A</v>
      </c>
      <c r="D2565" t="b">
        <f t="shared" si="1"/>
        <v>0</v>
      </c>
      <c r="E2565">
        <f t="shared" si="2"/>
        <v>0</v>
      </c>
      <c r="F2565" s="13"/>
    </row>
    <row r="2566" spans="1:6" ht="15.75" customHeight="1" x14ac:dyDescent="0.15">
      <c r="A2566" s="12" t="s">
        <v>6114</v>
      </c>
      <c r="B2566" s="13"/>
      <c r="C2566" t="e">
        <f t="shared" si="0"/>
        <v>#N/A</v>
      </c>
      <c r="D2566" t="b">
        <f t="shared" si="1"/>
        <v>0</v>
      </c>
      <c r="E2566">
        <f t="shared" si="2"/>
        <v>0</v>
      </c>
      <c r="F2566" s="13"/>
    </row>
    <row r="2567" spans="1:6" ht="15.75" customHeight="1" x14ac:dyDescent="0.15">
      <c r="A2567" s="12" t="s">
        <v>6115</v>
      </c>
      <c r="B2567" s="13"/>
      <c r="C2567" t="e">
        <f t="shared" si="0"/>
        <v>#N/A</v>
      </c>
      <c r="D2567" t="b">
        <f t="shared" si="1"/>
        <v>0</v>
      </c>
      <c r="E2567">
        <f t="shared" si="2"/>
        <v>0</v>
      </c>
      <c r="F2567" s="13"/>
    </row>
    <row r="2568" spans="1:6" ht="15.75" customHeight="1" x14ac:dyDescent="0.15">
      <c r="A2568" s="12" t="s">
        <v>6116</v>
      </c>
      <c r="B2568" s="13"/>
      <c r="C2568" t="e">
        <f t="shared" si="0"/>
        <v>#N/A</v>
      </c>
      <c r="D2568" t="b">
        <f t="shared" si="1"/>
        <v>0</v>
      </c>
      <c r="E2568">
        <f t="shared" si="2"/>
        <v>0</v>
      </c>
      <c r="F2568" s="13"/>
    </row>
    <row r="2569" spans="1:6" ht="15.75" customHeight="1" x14ac:dyDescent="0.15">
      <c r="A2569" s="12" t="s">
        <v>6117</v>
      </c>
      <c r="B2569" s="13"/>
      <c r="C2569" t="e">
        <f t="shared" si="0"/>
        <v>#N/A</v>
      </c>
      <c r="D2569" t="b">
        <f t="shared" si="1"/>
        <v>0</v>
      </c>
      <c r="E2569">
        <f t="shared" si="2"/>
        <v>0</v>
      </c>
      <c r="F2569" s="13"/>
    </row>
    <row r="2570" spans="1:6" ht="15.75" customHeight="1" x14ac:dyDescent="0.15">
      <c r="A2570" s="12" t="s">
        <v>6118</v>
      </c>
      <c r="B2570" s="13"/>
      <c r="C2570" t="e">
        <f t="shared" si="0"/>
        <v>#N/A</v>
      </c>
      <c r="D2570" t="b">
        <f t="shared" si="1"/>
        <v>0</v>
      </c>
      <c r="E2570">
        <f t="shared" si="2"/>
        <v>0</v>
      </c>
      <c r="F2570" s="13"/>
    </row>
    <row r="2571" spans="1:6" ht="15.75" customHeight="1" x14ac:dyDescent="0.15">
      <c r="A2571" s="12" t="s">
        <v>6119</v>
      </c>
      <c r="B2571" s="13"/>
      <c r="C2571" t="e">
        <f t="shared" si="0"/>
        <v>#N/A</v>
      </c>
      <c r="D2571" t="b">
        <f t="shared" si="1"/>
        <v>0</v>
      </c>
      <c r="E2571">
        <f t="shared" si="2"/>
        <v>0</v>
      </c>
      <c r="F2571" s="13"/>
    </row>
    <row r="2572" spans="1:6" ht="15.75" customHeight="1" x14ac:dyDescent="0.15">
      <c r="A2572" s="12" t="s">
        <v>6120</v>
      </c>
      <c r="B2572" s="13"/>
      <c r="C2572" t="e">
        <f t="shared" si="0"/>
        <v>#N/A</v>
      </c>
      <c r="D2572" t="b">
        <f t="shared" si="1"/>
        <v>0</v>
      </c>
      <c r="E2572">
        <f t="shared" si="2"/>
        <v>0</v>
      </c>
      <c r="F2572" s="13"/>
    </row>
    <row r="2573" spans="1:6" ht="15.75" customHeight="1" x14ac:dyDescent="0.15">
      <c r="A2573" s="12" t="s">
        <v>6121</v>
      </c>
      <c r="B2573" s="13"/>
      <c r="C2573" t="e">
        <f t="shared" si="0"/>
        <v>#N/A</v>
      </c>
      <c r="D2573" t="b">
        <f t="shared" si="1"/>
        <v>0</v>
      </c>
      <c r="E2573">
        <f t="shared" si="2"/>
        <v>0</v>
      </c>
      <c r="F2573" s="13"/>
    </row>
    <row r="2574" spans="1:6" ht="15.75" customHeight="1" x14ac:dyDescent="0.15">
      <c r="A2574" s="12" t="s">
        <v>6122</v>
      </c>
      <c r="B2574" s="13"/>
      <c r="C2574" t="e">
        <f t="shared" si="0"/>
        <v>#N/A</v>
      </c>
      <c r="D2574" t="b">
        <f t="shared" si="1"/>
        <v>0</v>
      </c>
      <c r="E2574">
        <f t="shared" si="2"/>
        <v>0</v>
      </c>
      <c r="F2574" s="13"/>
    </row>
    <row r="2575" spans="1:6" ht="15.75" customHeight="1" x14ac:dyDescent="0.15">
      <c r="A2575" s="12" t="s">
        <v>6123</v>
      </c>
      <c r="B2575" s="13"/>
      <c r="C2575" t="e">
        <f t="shared" si="0"/>
        <v>#N/A</v>
      </c>
      <c r="D2575" t="b">
        <f t="shared" si="1"/>
        <v>0</v>
      </c>
      <c r="E2575">
        <f t="shared" si="2"/>
        <v>0</v>
      </c>
      <c r="F2575" s="13"/>
    </row>
    <row r="2576" spans="1:6" ht="15.75" customHeight="1" x14ac:dyDescent="0.15">
      <c r="A2576" s="12" t="s">
        <v>6124</v>
      </c>
      <c r="B2576" s="13"/>
      <c r="C2576" t="e">
        <f t="shared" si="0"/>
        <v>#N/A</v>
      </c>
      <c r="D2576" t="b">
        <f t="shared" si="1"/>
        <v>0</v>
      </c>
      <c r="E2576">
        <f t="shared" si="2"/>
        <v>0</v>
      </c>
      <c r="F2576" s="13"/>
    </row>
    <row r="2577" spans="1:6" ht="15.75" customHeight="1" x14ac:dyDescent="0.15">
      <c r="A2577" s="12" t="s">
        <v>6125</v>
      </c>
      <c r="B2577" s="13"/>
      <c r="C2577" t="e">
        <f t="shared" si="0"/>
        <v>#N/A</v>
      </c>
      <c r="D2577" t="b">
        <f t="shared" si="1"/>
        <v>0</v>
      </c>
      <c r="E2577">
        <f t="shared" si="2"/>
        <v>0</v>
      </c>
      <c r="F2577" s="13"/>
    </row>
    <row r="2578" spans="1:6" ht="15.75" customHeight="1" x14ac:dyDescent="0.15">
      <c r="A2578" s="12" t="s">
        <v>6126</v>
      </c>
      <c r="B2578" s="13"/>
      <c r="C2578" t="e">
        <f t="shared" si="0"/>
        <v>#N/A</v>
      </c>
      <c r="D2578" t="b">
        <f t="shared" si="1"/>
        <v>0</v>
      </c>
      <c r="E2578">
        <f t="shared" si="2"/>
        <v>0</v>
      </c>
      <c r="F2578" s="13"/>
    </row>
    <row r="2579" spans="1:6" ht="15.75" customHeight="1" x14ac:dyDescent="0.15">
      <c r="A2579" s="12" t="s">
        <v>6127</v>
      </c>
      <c r="B2579" s="13"/>
      <c r="C2579" t="e">
        <f t="shared" si="0"/>
        <v>#N/A</v>
      </c>
      <c r="D2579" t="b">
        <f t="shared" si="1"/>
        <v>0</v>
      </c>
      <c r="E2579">
        <f t="shared" si="2"/>
        <v>0</v>
      </c>
      <c r="F2579" s="13"/>
    </row>
    <row r="2580" spans="1:6" ht="15.75" customHeight="1" x14ac:dyDescent="0.15">
      <c r="A2580" s="12" t="s">
        <v>6128</v>
      </c>
      <c r="B2580" s="13"/>
      <c r="C2580" t="e">
        <f t="shared" si="0"/>
        <v>#N/A</v>
      </c>
      <c r="D2580" t="b">
        <f t="shared" si="1"/>
        <v>0</v>
      </c>
      <c r="E2580">
        <f t="shared" si="2"/>
        <v>0</v>
      </c>
      <c r="F2580" s="13"/>
    </row>
    <row r="2581" spans="1:6" ht="15.75" customHeight="1" x14ac:dyDescent="0.15">
      <c r="A2581" s="12" t="s">
        <v>6129</v>
      </c>
      <c r="B2581" s="13"/>
      <c r="C2581" t="e">
        <f t="shared" si="0"/>
        <v>#N/A</v>
      </c>
      <c r="D2581" t="b">
        <f t="shared" si="1"/>
        <v>0</v>
      </c>
      <c r="E2581">
        <f t="shared" si="2"/>
        <v>0</v>
      </c>
      <c r="F2581" s="13"/>
    </row>
    <row r="2582" spans="1:6" ht="15.75" customHeight="1" x14ac:dyDescent="0.15">
      <c r="A2582" s="12" t="s">
        <v>6130</v>
      </c>
      <c r="B2582" s="13"/>
      <c r="C2582" t="e">
        <f t="shared" si="0"/>
        <v>#N/A</v>
      </c>
      <c r="D2582" t="b">
        <f t="shared" si="1"/>
        <v>0</v>
      </c>
      <c r="E2582">
        <f t="shared" si="2"/>
        <v>0</v>
      </c>
      <c r="F2582" s="13"/>
    </row>
    <row r="2583" spans="1:6" ht="15.75" customHeight="1" x14ac:dyDescent="0.15">
      <c r="A2583" s="12" t="s">
        <v>6131</v>
      </c>
      <c r="B2583" s="13"/>
      <c r="C2583" t="e">
        <f t="shared" si="0"/>
        <v>#N/A</v>
      </c>
      <c r="D2583" t="b">
        <f t="shared" si="1"/>
        <v>0</v>
      </c>
      <c r="E2583">
        <f t="shared" si="2"/>
        <v>0</v>
      </c>
      <c r="F2583" s="13"/>
    </row>
    <row r="2584" spans="1:6" ht="15.75" customHeight="1" x14ac:dyDescent="0.15">
      <c r="A2584" s="12" t="s">
        <v>6132</v>
      </c>
      <c r="B2584" s="13"/>
      <c r="C2584" t="e">
        <f t="shared" si="0"/>
        <v>#N/A</v>
      </c>
      <c r="D2584" t="b">
        <f t="shared" si="1"/>
        <v>0</v>
      </c>
      <c r="E2584">
        <f t="shared" si="2"/>
        <v>0</v>
      </c>
      <c r="F2584" s="13"/>
    </row>
    <row r="2585" spans="1:6" ht="15.75" customHeight="1" x14ac:dyDescent="0.15">
      <c r="A2585" s="12" t="s">
        <v>6133</v>
      </c>
      <c r="B2585" s="13"/>
      <c r="C2585" t="e">
        <f t="shared" si="0"/>
        <v>#N/A</v>
      </c>
      <c r="D2585" t="b">
        <f t="shared" si="1"/>
        <v>0</v>
      </c>
      <c r="E2585">
        <f t="shared" si="2"/>
        <v>0</v>
      </c>
      <c r="F2585" s="13"/>
    </row>
    <row r="2586" spans="1:6" ht="15.75" customHeight="1" x14ac:dyDescent="0.15">
      <c r="A2586" s="12" t="s">
        <v>6134</v>
      </c>
      <c r="B2586" s="13"/>
      <c r="C2586" t="e">
        <f t="shared" si="0"/>
        <v>#N/A</v>
      </c>
      <c r="D2586" t="b">
        <f t="shared" si="1"/>
        <v>0</v>
      </c>
      <c r="E2586">
        <f t="shared" si="2"/>
        <v>0</v>
      </c>
      <c r="F2586" s="13"/>
    </row>
    <row r="2587" spans="1:6" ht="15.75" customHeight="1" x14ac:dyDescent="0.15">
      <c r="A2587" s="12" t="s">
        <v>6135</v>
      </c>
      <c r="B2587" s="13"/>
      <c r="C2587" t="e">
        <f t="shared" si="0"/>
        <v>#N/A</v>
      </c>
      <c r="D2587" t="b">
        <f t="shared" si="1"/>
        <v>0</v>
      </c>
      <c r="E2587">
        <f t="shared" si="2"/>
        <v>0</v>
      </c>
      <c r="F2587" s="13"/>
    </row>
    <row r="2588" spans="1:6" ht="15.75" customHeight="1" x14ac:dyDescent="0.15">
      <c r="A2588" s="12" t="s">
        <v>6136</v>
      </c>
      <c r="B2588" s="13"/>
      <c r="C2588" t="e">
        <f t="shared" si="0"/>
        <v>#N/A</v>
      </c>
      <c r="D2588" t="b">
        <f t="shared" si="1"/>
        <v>0</v>
      </c>
      <c r="E2588">
        <f t="shared" si="2"/>
        <v>0</v>
      </c>
      <c r="F2588" s="13"/>
    </row>
    <row r="2589" spans="1:6" ht="15.75" customHeight="1" x14ac:dyDescent="0.15">
      <c r="A2589" s="12" t="s">
        <v>6137</v>
      </c>
      <c r="B2589" s="13"/>
      <c r="C2589" t="e">
        <f t="shared" si="0"/>
        <v>#N/A</v>
      </c>
      <c r="D2589" t="b">
        <f t="shared" si="1"/>
        <v>0</v>
      </c>
      <c r="E2589">
        <f t="shared" si="2"/>
        <v>0</v>
      </c>
      <c r="F2589" s="13"/>
    </row>
    <row r="2590" spans="1:6" ht="15.75" customHeight="1" x14ac:dyDescent="0.15">
      <c r="A2590" s="12" t="s">
        <v>6138</v>
      </c>
      <c r="B2590" s="13"/>
      <c r="C2590" t="e">
        <f t="shared" si="0"/>
        <v>#N/A</v>
      </c>
      <c r="D2590" t="b">
        <f t="shared" si="1"/>
        <v>0</v>
      </c>
      <c r="E2590">
        <f t="shared" si="2"/>
        <v>0</v>
      </c>
      <c r="F2590" s="13"/>
    </row>
    <row r="2591" spans="1:6" ht="15.75" customHeight="1" x14ac:dyDescent="0.15">
      <c r="A2591" s="12" t="s">
        <v>6139</v>
      </c>
      <c r="B2591" s="13"/>
      <c r="C2591" t="e">
        <f t="shared" si="0"/>
        <v>#N/A</v>
      </c>
      <c r="D2591" t="b">
        <f t="shared" si="1"/>
        <v>0</v>
      </c>
      <c r="E2591">
        <f t="shared" si="2"/>
        <v>0</v>
      </c>
      <c r="F2591" s="13"/>
    </row>
    <row r="2592" spans="1:6" ht="15.75" customHeight="1" x14ac:dyDescent="0.15">
      <c r="A2592" s="12" t="s">
        <v>6140</v>
      </c>
      <c r="B2592" s="13"/>
      <c r="C2592" t="e">
        <f t="shared" si="0"/>
        <v>#N/A</v>
      </c>
      <c r="D2592" t="b">
        <f t="shared" si="1"/>
        <v>0</v>
      </c>
      <c r="E2592">
        <f t="shared" si="2"/>
        <v>0</v>
      </c>
      <c r="F2592" s="13"/>
    </row>
    <row r="2593" spans="1:6" ht="15.75" customHeight="1" x14ac:dyDescent="0.15">
      <c r="A2593" s="12" t="s">
        <v>6141</v>
      </c>
      <c r="B2593" s="13"/>
      <c r="C2593" t="e">
        <f t="shared" si="0"/>
        <v>#N/A</v>
      </c>
      <c r="D2593" t="b">
        <f t="shared" si="1"/>
        <v>0</v>
      </c>
      <c r="E2593">
        <f t="shared" si="2"/>
        <v>0</v>
      </c>
      <c r="F2593" s="13"/>
    </row>
    <row r="2594" spans="1:6" ht="15.75" customHeight="1" x14ac:dyDescent="0.15">
      <c r="A2594" s="12" t="s">
        <v>6142</v>
      </c>
      <c r="B2594" s="13"/>
      <c r="C2594" t="e">
        <f t="shared" si="0"/>
        <v>#N/A</v>
      </c>
      <c r="D2594" t="b">
        <f t="shared" si="1"/>
        <v>0</v>
      </c>
      <c r="E2594">
        <f t="shared" si="2"/>
        <v>0</v>
      </c>
      <c r="F2594" s="13"/>
    </row>
    <row r="2595" spans="1:6" ht="15.75" customHeight="1" x14ac:dyDescent="0.15">
      <c r="A2595" s="12" t="s">
        <v>6143</v>
      </c>
      <c r="B2595" s="13"/>
      <c r="C2595" t="e">
        <f t="shared" si="0"/>
        <v>#N/A</v>
      </c>
      <c r="D2595" t="b">
        <f t="shared" si="1"/>
        <v>0</v>
      </c>
      <c r="E2595">
        <f t="shared" si="2"/>
        <v>0</v>
      </c>
      <c r="F2595" s="13"/>
    </row>
    <row r="2596" spans="1:6" ht="15.75" customHeight="1" x14ac:dyDescent="0.15">
      <c r="A2596" s="12" t="s">
        <v>6144</v>
      </c>
      <c r="B2596" s="13"/>
      <c r="C2596" t="e">
        <f t="shared" si="0"/>
        <v>#N/A</v>
      </c>
      <c r="D2596" t="b">
        <f t="shared" si="1"/>
        <v>0</v>
      </c>
      <c r="E2596">
        <f t="shared" si="2"/>
        <v>0</v>
      </c>
      <c r="F2596" s="13"/>
    </row>
    <row r="2597" spans="1:6" ht="15.75" customHeight="1" x14ac:dyDescent="0.15">
      <c r="A2597" s="12" t="s">
        <v>6145</v>
      </c>
      <c r="B2597" s="13"/>
      <c r="C2597" t="e">
        <f t="shared" si="0"/>
        <v>#N/A</v>
      </c>
      <c r="D2597" t="b">
        <f t="shared" si="1"/>
        <v>0</v>
      </c>
      <c r="E2597">
        <f t="shared" si="2"/>
        <v>0</v>
      </c>
      <c r="F2597" s="13"/>
    </row>
    <row r="2598" spans="1:6" ht="15.75" customHeight="1" x14ac:dyDescent="0.15">
      <c r="A2598" s="12" t="s">
        <v>6146</v>
      </c>
      <c r="B2598" s="13"/>
      <c r="C2598" t="e">
        <f t="shared" si="0"/>
        <v>#N/A</v>
      </c>
      <c r="D2598" t="b">
        <f t="shared" si="1"/>
        <v>0</v>
      </c>
      <c r="E2598">
        <f t="shared" si="2"/>
        <v>0</v>
      </c>
      <c r="F2598" s="13"/>
    </row>
    <row r="2599" spans="1:6" ht="15.75" customHeight="1" x14ac:dyDescent="0.15">
      <c r="A2599" s="12" t="s">
        <v>6147</v>
      </c>
      <c r="B2599" s="13"/>
      <c r="C2599" t="e">
        <f t="shared" si="0"/>
        <v>#N/A</v>
      </c>
      <c r="D2599" t="b">
        <f t="shared" si="1"/>
        <v>0</v>
      </c>
      <c r="E2599">
        <f t="shared" si="2"/>
        <v>0</v>
      </c>
      <c r="F2599" s="13"/>
    </row>
    <row r="2600" spans="1:6" ht="15.75" customHeight="1" x14ac:dyDescent="0.15">
      <c r="A2600" s="12" t="s">
        <v>6148</v>
      </c>
      <c r="B2600" s="13"/>
      <c r="C2600" t="e">
        <f t="shared" si="0"/>
        <v>#N/A</v>
      </c>
      <c r="D2600" t="b">
        <f t="shared" si="1"/>
        <v>0</v>
      </c>
      <c r="E2600">
        <f t="shared" si="2"/>
        <v>0</v>
      </c>
      <c r="F2600" s="13"/>
    </row>
    <row r="2601" spans="1:6" ht="15.75" customHeight="1" x14ac:dyDescent="0.15">
      <c r="A2601" s="12" t="s">
        <v>6149</v>
      </c>
      <c r="B2601" s="13"/>
      <c r="C2601" t="e">
        <f t="shared" si="0"/>
        <v>#N/A</v>
      </c>
      <c r="D2601" t="b">
        <f t="shared" si="1"/>
        <v>0</v>
      </c>
      <c r="E2601">
        <f t="shared" si="2"/>
        <v>0</v>
      </c>
      <c r="F2601" s="13"/>
    </row>
    <row r="2602" spans="1:6" ht="15.75" customHeight="1" x14ac:dyDescent="0.15">
      <c r="A2602" s="12" t="s">
        <v>6150</v>
      </c>
      <c r="B2602" s="13"/>
      <c r="C2602" t="e">
        <f t="shared" si="0"/>
        <v>#N/A</v>
      </c>
      <c r="D2602" t="b">
        <f t="shared" si="1"/>
        <v>0</v>
      </c>
      <c r="E2602">
        <f t="shared" si="2"/>
        <v>0</v>
      </c>
      <c r="F2602" s="13"/>
    </row>
    <row r="2603" spans="1:6" ht="15.75" customHeight="1" x14ac:dyDescent="0.15">
      <c r="A2603" s="12" t="s">
        <v>6151</v>
      </c>
      <c r="B2603" s="13"/>
      <c r="C2603" t="e">
        <f t="shared" si="0"/>
        <v>#N/A</v>
      </c>
      <c r="D2603" t="b">
        <f t="shared" si="1"/>
        <v>0</v>
      </c>
      <c r="E2603">
        <f t="shared" si="2"/>
        <v>0</v>
      </c>
      <c r="F2603" s="13"/>
    </row>
    <row r="2604" spans="1:6" ht="15.75" customHeight="1" x14ac:dyDescent="0.15">
      <c r="A2604" s="12" t="s">
        <v>6152</v>
      </c>
      <c r="B2604" s="13"/>
      <c r="C2604" t="e">
        <f t="shared" si="0"/>
        <v>#N/A</v>
      </c>
      <c r="D2604" t="b">
        <f t="shared" si="1"/>
        <v>0</v>
      </c>
      <c r="E2604">
        <f t="shared" si="2"/>
        <v>0</v>
      </c>
      <c r="F2604" s="13"/>
    </row>
    <row r="2605" spans="1:6" ht="15.75" customHeight="1" x14ac:dyDescent="0.15">
      <c r="A2605" s="12" t="s">
        <v>6153</v>
      </c>
      <c r="B2605" s="13"/>
      <c r="C2605" t="e">
        <f t="shared" si="0"/>
        <v>#N/A</v>
      </c>
      <c r="D2605" t="b">
        <f t="shared" si="1"/>
        <v>0</v>
      </c>
      <c r="E2605">
        <f t="shared" si="2"/>
        <v>0</v>
      </c>
      <c r="F2605" s="13"/>
    </row>
    <row r="2606" spans="1:6" ht="15.75" customHeight="1" x14ac:dyDescent="0.15">
      <c r="A2606" s="12" t="s">
        <v>6154</v>
      </c>
      <c r="B2606" s="13"/>
      <c r="C2606" t="e">
        <f t="shared" si="0"/>
        <v>#N/A</v>
      </c>
      <c r="D2606" t="b">
        <f t="shared" si="1"/>
        <v>0</v>
      </c>
      <c r="E2606">
        <f t="shared" si="2"/>
        <v>0</v>
      </c>
      <c r="F2606" s="13"/>
    </row>
    <row r="2607" spans="1:6" ht="15.75" customHeight="1" x14ac:dyDescent="0.15">
      <c r="A2607" s="12" t="s">
        <v>6155</v>
      </c>
      <c r="B2607" s="13"/>
      <c r="C2607" t="e">
        <f t="shared" si="0"/>
        <v>#N/A</v>
      </c>
      <c r="D2607" t="b">
        <f t="shared" si="1"/>
        <v>0</v>
      </c>
      <c r="E2607">
        <f t="shared" si="2"/>
        <v>0</v>
      </c>
      <c r="F2607" s="13"/>
    </row>
    <row r="2608" spans="1:6" ht="15.75" customHeight="1" x14ac:dyDescent="0.15">
      <c r="A2608" s="12" t="s">
        <v>6156</v>
      </c>
      <c r="B2608" s="13"/>
      <c r="C2608" t="e">
        <f t="shared" si="0"/>
        <v>#N/A</v>
      </c>
      <c r="D2608" t="b">
        <f t="shared" si="1"/>
        <v>0</v>
      </c>
      <c r="E2608">
        <f t="shared" si="2"/>
        <v>0</v>
      </c>
      <c r="F2608" s="13"/>
    </row>
    <row r="2609" spans="1:6" ht="15.75" customHeight="1" x14ac:dyDescent="0.15">
      <c r="A2609" s="12" t="s">
        <v>6157</v>
      </c>
      <c r="B2609" s="13"/>
      <c r="C2609" t="e">
        <f t="shared" si="0"/>
        <v>#N/A</v>
      </c>
      <c r="D2609" t="b">
        <f t="shared" si="1"/>
        <v>0</v>
      </c>
      <c r="E2609">
        <f t="shared" si="2"/>
        <v>0</v>
      </c>
      <c r="F2609" s="13"/>
    </row>
    <row r="2610" spans="1:6" ht="15.75" customHeight="1" x14ac:dyDescent="0.15">
      <c r="A2610" s="12" t="s">
        <v>6158</v>
      </c>
      <c r="B2610" s="13"/>
      <c r="C2610" t="e">
        <f t="shared" si="0"/>
        <v>#N/A</v>
      </c>
      <c r="D2610" t="b">
        <f t="shared" si="1"/>
        <v>0</v>
      </c>
      <c r="E2610">
        <f t="shared" si="2"/>
        <v>0</v>
      </c>
      <c r="F2610" s="13"/>
    </row>
    <row r="2611" spans="1:6" ht="15.75" customHeight="1" x14ac:dyDescent="0.15">
      <c r="A2611" s="12" t="s">
        <v>6159</v>
      </c>
      <c r="B2611" s="13"/>
      <c r="C2611" t="e">
        <f t="shared" si="0"/>
        <v>#N/A</v>
      </c>
      <c r="D2611" t="b">
        <f t="shared" si="1"/>
        <v>0</v>
      </c>
      <c r="E2611">
        <f t="shared" si="2"/>
        <v>0</v>
      </c>
      <c r="F2611" s="13"/>
    </row>
    <row r="2612" spans="1:6" ht="15.75" customHeight="1" x14ac:dyDescent="0.15">
      <c r="A2612" s="12" t="s">
        <v>6160</v>
      </c>
      <c r="B2612" s="13"/>
      <c r="C2612" t="e">
        <f t="shared" si="0"/>
        <v>#N/A</v>
      </c>
      <c r="D2612" t="b">
        <f t="shared" si="1"/>
        <v>0</v>
      </c>
      <c r="E2612">
        <f t="shared" si="2"/>
        <v>0</v>
      </c>
      <c r="F2612" s="13"/>
    </row>
    <row r="2613" spans="1:6" ht="15.75" customHeight="1" x14ac:dyDescent="0.15">
      <c r="A2613" s="12" t="s">
        <v>6161</v>
      </c>
      <c r="B2613" s="13"/>
      <c r="C2613" t="e">
        <f t="shared" si="0"/>
        <v>#N/A</v>
      </c>
      <c r="D2613" t="b">
        <f t="shared" si="1"/>
        <v>0</v>
      </c>
      <c r="E2613">
        <f t="shared" si="2"/>
        <v>0</v>
      </c>
      <c r="F2613" s="13"/>
    </row>
    <row r="2614" spans="1:6" ht="15.75" customHeight="1" x14ac:dyDescent="0.15">
      <c r="A2614" s="12" t="s">
        <v>6162</v>
      </c>
      <c r="B2614" s="13"/>
      <c r="C2614" t="e">
        <f t="shared" si="0"/>
        <v>#N/A</v>
      </c>
      <c r="D2614" t="b">
        <f t="shared" si="1"/>
        <v>0</v>
      </c>
      <c r="E2614">
        <f t="shared" si="2"/>
        <v>0</v>
      </c>
      <c r="F2614" s="13"/>
    </row>
    <row r="2615" spans="1:6" ht="15.75" customHeight="1" x14ac:dyDescent="0.15">
      <c r="A2615" s="12" t="s">
        <v>6163</v>
      </c>
      <c r="B2615" s="13"/>
      <c r="C2615" t="e">
        <f t="shared" si="0"/>
        <v>#N/A</v>
      </c>
      <c r="D2615" t="b">
        <f t="shared" si="1"/>
        <v>0</v>
      </c>
      <c r="E2615">
        <f t="shared" si="2"/>
        <v>0</v>
      </c>
      <c r="F2615" s="13"/>
    </row>
    <row r="2616" spans="1:6" ht="15.75" customHeight="1" x14ac:dyDescent="0.15">
      <c r="A2616" s="12" t="s">
        <v>6164</v>
      </c>
      <c r="B2616" s="13"/>
      <c r="C2616" t="e">
        <f t="shared" si="0"/>
        <v>#N/A</v>
      </c>
      <c r="D2616" t="b">
        <f t="shared" si="1"/>
        <v>0</v>
      </c>
      <c r="E2616">
        <f t="shared" si="2"/>
        <v>0</v>
      </c>
      <c r="F2616" s="13"/>
    </row>
    <row r="2617" spans="1:6" ht="15.75" customHeight="1" x14ac:dyDescent="0.15">
      <c r="A2617" s="12" t="s">
        <v>6165</v>
      </c>
      <c r="B2617" s="13"/>
      <c r="C2617" t="e">
        <f t="shared" si="0"/>
        <v>#N/A</v>
      </c>
      <c r="D2617" t="b">
        <f t="shared" si="1"/>
        <v>0</v>
      </c>
      <c r="E2617">
        <f t="shared" si="2"/>
        <v>0</v>
      </c>
      <c r="F2617" s="13"/>
    </row>
    <row r="2618" spans="1:6" ht="15.75" customHeight="1" x14ac:dyDescent="0.15">
      <c r="A2618" s="12" t="s">
        <v>6166</v>
      </c>
      <c r="B2618" s="13"/>
      <c r="C2618" t="e">
        <f t="shared" si="0"/>
        <v>#N/A</v>
      </c>
      <c r="D2618" t="b">
        <f t="shared" si="1"/>
        <v>0</v>
      </c>
      <c r="E2618">
        <f t="shared" si="2"/>
        <v>0</v>
      </c>
      <c r="F2618" s="13"/>
    </row>
    <row r="2619" spans="1:6" ht="15.75" customHeight="1" x14ac:dyDescent="0.15">
      <c r="A2619" s="12" t="s">
        <v>6167</v>
      </c>
      <c r="B2619" s="13"/>
      <c r="C2619" t="e">
        <f t="shared" si="0"/>
        <v>#N/A</v>
      </c>
      <c r="D2619" t="b">
        <f t="shared" si="1"/>
        <v>0</v>
      </c>
      <c r="E2619">
        <f t="shared" si="2"/>
        <v>0</v>
      </c>
      <c r="F2619" s="13"/>
    </row>
    <row r="2620" spans="1:6" ht="15.75" customHeight="1" x14ac:dyDescent="0.15">
      <c r="A2620" s="12" t="s">
        <v>6168</v>
      </c>
      <c r="B2620" s="13"/>
      <c r="C2620" t="e">
        <f t="shared" si="0"/>
        <v>#N/A</v>
      </c>
      <c r="D2620" t="b">
        <f t="shared" si="1"/>
        <v>0</v>
      </c>
      <c r="E2620">
        <f t="shared" si="2"/>
        <v>0</v>
      </c>
      <c r="F2620" s="13"/>
    </row>
    <row r="2621" spans="1:6" ht="15.75" customHeight="1" x14ac:dyDescent="0.15">
      <c r="A2621" s="12" t="s">
        <v>6169</v>
      </c>
      <c r="B2621" s="13"/>
      <c r="C2621" t="e">
        <f t="shared" si="0"/>
        <v>#N/A</v>
      </c>
      <c r="D2621" t="b">
        <f t="shared" si="1"/>
        <v>0</v>
      </c>
      <c r="E2621">
        <f t="shared" si="2"/>
        <v>0</v>
      </c>
      <c r="F2621" s="13"/>
    </row>
    <row r="2622" spans="1:6" ht="15.75" customHeight="1" x14ac:dyDescent="0.15">
      <c r="A2622" s="12" t="s">
        <v>6170</v>
      </c>
      <c r="B2622" s="13"/>
      <c r="C2622" t="e">
        <f t="shared" si="0"/>
        <v>#N/A</v>
      </c>
      <c r="D2622" t="b">
        <f t="shared" si="1"/>
        <v>0</v>
      </c>
      <c r="E2622">
        <f t="shared" si="2"/>
        <v>0</v>
      </c>
      <c r="F2622" s="13"/>
    </row>
    <row r="2623" spans="1:6" ht="15.75" customHeight="1" x14ac:dyDescent="0.15">
      <c r="A2623" s="12" t="s">
        <v>6171</v>
      </c>
      <c r="B2623" s="13"/>
      <c r="C2623" t="e">
        <f t="shared" si="0"/>
        <v>#N/A</v>
      </c>
      <c r="D2623" t="b">
        <f t="shared" si="1"/>
        <v>0</v>
      </c>
      <c r="E2623">
        <f t="shared" si="2"/>
        <v>0</v>
      </c>
      <c r="F2623" s="13"/>
    </row>
    <row r="2624" spans="1:6" ht="15.75" customHeight="1" x14ac:dyDescent="0.15">
      <c r="A2624" s="12" t="s">
        <v>6172</v>
      </c>
      <c r="B2624" s="13"/>
      <c r="C2624" t="e">
        <f t="shared" si="0"/>
        <v>#N/A</v>
      </c>
      <c r="D2624" t="b">
        <f t="shared" si="1"/>
        <v>0</v>
      </c>
      <c r="E2624">
        <f t="shared" si="2"/>
        <v>0</v>
      </c>
      <c r="F2624" s="13"/>
    </row>
    <row r="2625" spans="1:6" ht="15.75" customHeight="1" x14ac:dyDescent="0.15">
      <c r="A2625" s="12" t="s">
        <v>6173</v>
      </c>
      <c r="B2625" s="13"/>
      <c r="C2625" t="e">
        <f t="shared" si="0"/>
        <v>#N/A</v>
      </c>
      <c r="D2625" t="b">
        <f t="shared" si="1"/>
        <v>0</v>
      </c>
      <c r="E2625">
        <f t="shared" si="2"/>
        <v>0</v>
      </c>
      <c r="F2625" s="13"/>
    </row>
    <row r="2626" spans="1:6" ht="15.75" customHeight="1" x14ac:dyDescent="0.15">
      <c r="A2626" s="12" t="s">
        <v>6174</v>
      </c>
      <c r="B2626" s="13"/>
      <c r="C2626" t="e">
        <f t="shared" si="0"/>
        <v>#N/A</v>
      </c>
      <c r="D2626" t="b">
        <f t="shared" si="1"/>
        <v>0</v>
      </c>
      <c r="E2626">
        <f t="shared" si="2"/>
        <v>0</v>
      </c>
      <c r="F2626" s="13"/>
    </row>
    <row r="2627" spans="1:6" ht="15.75" customHeight="1" x14ac:dyDescent="0.15">
      <c r="A2627" s="12" t="s">
        <v>6175</v>
      </c>
      <c r="B2627" s="13"/>
      <c r="C2627" t="e">
        <f t="shared" si="0"/>
        <v>#N/A</v>
      </c>
      <c r="D2627" t="b">
        <f t="shared" si="1"/>
        <v>0</v>
      </c>
      <c r="E2627">
        <f t="shared" si="2"/>
        <v>0</v>
      </c>
      <c r="F2627" s="13"/>
    </row>
    <row r="2628" spans="1:6" ht="15.75" customHeight="1" x14ac:dyDescent="0.15">
      <c r="A2628" s="12" t="s">
        <v>6176</v>
      </c>
      <c r="B2628" s="13"/>
      <c r="C2628" t="e">
        <f t="shared" si="0"/>
        <v>#N/A</v>
      </c>
      <c r="D2628" t="b">
        <f t="shared" si="1"/>
        <v>0</v>
      </c>
      <c r="E2628">
        <f t="shared" si="2"/>
        <v>0</v>
      </c>
      <c r="F2628" s="13"/>
    </row>
    <row r="2629" spans="1:6" ht="15.75" customHeight="1" x14ac:dyDescent="0.15">
      <c r="A2629" s="12" t="s">
        <v>6177</v>
      </c>
      <c r="B2629" s="13"/>
      <c r="C2629" t="e">
        <f t="shared" si="0"/>
        <v>#N/A</v>
      </c>
      <c r="D2629" t="b">
        <f t="shared" si="1"/>
        <v>0</v>
      </c>
      <c r="E2629">
        <f t="shared" si="2"/>
        <v>0</v>
      </c>
      <c r="F2629" s="13"/>
    </row>
    <row r="2630" spans="1:6" ht="15.75" customHeight="1" x14ac:dyDescent="0.15">
      <c r="A2630" s="12" t="s">
        <v>6178</v>
      </c>
      <c r="B2630" s="13"/>
      <c r="C2630" t="e">
        <f t="shared" si="0"/>
        <v>#N/A</v>
      </c>
      <c r="D2630" t="b">
        <f t="shared" si="1"/>
        <v>0</v>
      </c>
      <c r="E2630">
        <f t="shared" si="2"/>
        <v>0</v>
      </c>
      <c r="F2630" s="13"/>
    </row>
    <row r="2631" spans="1:6" ht="15.75" customHeight="1" x14ac:dyDescent="0.15">
      <c r="A2631" s="12" t="s">
        <v>6179</v>
      </c>
      <c r="B2631" s="13"/>
      <c r="C2631" t="e">
        <f t="shared" si="0"/>
        <v>#N/A</v>
      </c>
      <c r="D2631" t="b">
        <f t="shared" si="1"/>
        <v>0</v>
      </c>
      <c r="E2631">
        <f t="shared" si="2"/>
        <v>0</v>
      </c>
      <c r="F2631" s="13"/>
    </row>
    <row r="2632" spans="1:6" ht="15.75" customHeight="1" x14ac:dyDescent="0.15">
      <c r="A2632" s="12" t="s">
        <v>6180</v>
      </c>
      <c r="B2632" s="13"/>
      <c r="C2632" t="e">
        <f t="shared" si="0"/>
        <v>#N/A</v>
      </c>
      <c r="D2632" t="b">
        <f t="shared" si="1"/>
        <v>0</v>
      </c>
      <c r="E2632">
        <f t="shared" si="2"/>
        <v>0</v>
      </c>
      <c r="F2632" s="13"/>
    </row>
    <row r="2633" spans="1:6" ht="15.75" customHeight="1" x14ac:dyDescent="0.15">
      <c r="A2633" s="12" t="s">
        <v>6181</v>
      </c>
      <c r="B2633" s="13"/>
      <c r="C2633" t="e">
        <f t="shared" si="0"/>
        <v>#N/A</v>
      </c>
      <c r="D2633" t="b">
        <f t="shared" si="1"/>
        <v>0</v>
      </c>
      <c r="E2633">
        <f t="shared" si="2"/>
        <v>0</v>
      </c>
      <c r="F2633" s="13"/>
    </row>
    <row r="2634" spans="1:6" ht="15.75" customHeight="1" x14ac:dyDescent="0.15">
      <c r="A2634" s="12" t="s">
        <v>6182</v>
      </c>
      <c r="B2634" s="13"/>
      <c r="C2634" t="e">
        <f t="shared" si="0"/>
        <v>#N/A</v>
      </c>
      <c r="D2634" t="b">
        <f t="shared" si="1"/>
        <v>0</v>
      </c>
      <c r="E2634">
        <f t="shared" si="2"/>
        <v>0</v>
      </c>
      <c r="F2634" s="13"/>
    </row>
    <row r="2635" spans="1:6" ht="15.75" customHeight="1" x14ac:dyDescent="0.15">
      <c r="A2635" s="12" t="s">
        <v>6183</v>
      </c>
      <c r="B2635" s="13"/>
      <c r="C2635" t="e">
        <f t="shared" si="0"/>
        <v>#N/A</v>
      </c>
      <c r="D2635" t="b">
        <f t="shared" si="1"/>
        <v>0</v>
      </c>
      <c r="E2635">
        <f t="shared" si="2"/>
        <v>0</v>
      </c>
      <c r="F2635" s="13"/>
    </row>
    <row r="2636" spans="1:6" ht="15.75" customHeight="1" x14ac:dyDescent="0.15">
      <c r="A2636" s="12" t="s">
        <v>6184</v>
      </c>
      <c r="B2636" s="13"/>
      <c r="C2636" t="e">
        <f t="shared" si="0"/>
        <v>#N/A</v>
      </c>
      <c r="D2636" t="b">
        <f t="shared" si="1"/>
        <v>0</v>
      </c>
      <c r="E2636">
        <f t="shared" si="2"/>
        <v>0</v>
      </c>
      <c r="F2636" s="13"/>
    </row>
    <row r="2637" spans="1:6" ht="15.75" customHeight="1" x14ac:dyDescent="0.15">
      <c r="A2637" s="12" t="s">
        <v>6185</v>
      </c>
      <c r="B2637" s="13"/>
      <c r="C2637" t="e">
        <f t="shared" si="0"/>
        <v>#N/A</v>
      </c>
      <c r="D2637" t="b">
        <f t="shared" si="1"/>
        <v>0</v>
      </c>
      <c r="E2637">
        <f t="shared" si="2"/>
        <v>0</v>
      </c>
      <c r="F2637" s="13"/>
    </row>
    <row r="2638" spans="1:6" ht="15.75" customHeight="1" x14ac:dyDescent="0.15">
      <c r="A2638" s="12" t="s">
        <v>6186</v>
      </c>
      <c r="B2638" s="13"/>
      <c r="C2638" t="e">
        <f t="shared" si="0"/>
        <v>#N/A</v>
      </c>
      <c r="D2638" t="b">
        <f t="shared" si="1"/>
        <v>0</v>
      </c>
      <c r="E2638">
        <f t="shared" si="2"/>
        <v>0</v>
      </c>
      <c r="F2638" s="13"/>
    </row>
    <row r="2639" spans="1:6" ht="15.75" customHeight="1" x14ac:dyDescent="0.15">
      <c r="A2639" s="12" t="s">
        <v>6187</v>
      </c>
      <c r="B2639" s="13"/>
      <c r="C2639" t="e">
        <f t="shared" si="0"/>
        <v>#N/A</v>
      </c>
      <c r="D2639" t="b">
        <f t="shared" si="1"/>
        <v>0</v>
      </c>
      <c r="E2639">
        <f t="shared" si="2"/>
        <v>0</v>
      </c>
      <c r="F2639" s="13"/>
    </row>
    <row r="2640" spans="1:6" ht="15.75" customHeight="1" x14ac:dyDescent="0.15">
      <c r="A2640" s="12" t="s">
        <v>6188</v>
      </c>
      <c r="B2640" s="13"/>
      <c r="C2640" t="e">
        <f t="shared" si="0"/>
        <v>#N/A</v>
      </c>
      <c r="D2640" t="b">
        <f t="shared" si="1"/>
        <v>0</v>
      </c>
      <c r="E2640">
        <f t="shared" si="2"/>
        <v>0</v>
      </c>
      <c r="F2640" s="13"/>
    </row>
    <row r="2641" spans="1:6" ht="15.75" customHeight="1" x14ac:dyDescent="0.15">
      <c r="A2641" s="12" t="s">
        <v>6189</v>
      </c>
      <c r="B2641" s="13"/>
      <c r="C2641" t="e">
        <f t="shared" si="0"/>
        <v>#N/A</v>
      </c>
      <c r="D2641" t="b">
        <f t="shared" si="1"/>
        <v>0</v>
      </c>
      <c r="E2641">
        <f t="shared" si="2"/>
        <v>0</v>
      </c>
      <c r="F2641" s="13"/>
    </row>
    <row r="2642" spans="1:6" ht="15.75" customHeight="1" x14ac:dyDescent="0.15">
      <c r="A2642" s="12" t="s">
        <v>6190</v>
      </c>
      <c r="B2642" s="13"/>
      <c r="C2642" t="e">
        <f t="shared" si="0"/>
        <v>#N/A</v>
      </c>
      <c r="D2642" t="b">
        <f t="shared" si="1"/>
        <v>0</v>
      </c>
      <c r="E2642">
        <f t="shared" si="2"/>
        <v>0</v>
      </c>
      <c r="F2642" s="13"/>
    </row>
    <row r="2643" spans="1:6" ht="15.75" customHeight="1" x14ac:dyDescent="0.15">
      <c r="A2643" s="12" t="s">
        <v>6191</v>
      </c>
      <c r="B2643" s="13"/>
      <c r="C2643" t="e">
        <f t="shared" si="0"/>
        <v>#N/A</v>
      </c>
      <c r="D2643" t="b">
        <f t="shared" si="1"/>
        <v>0</v>
      </c>
      <c r="E2643">
        <f t="shared" si="2"/>
        <v>0</v>
      </c>
      <c r="F2643" s="13"/>
    </row>
    <row r="2644" spans="1:6" ht="15.75" customHeight="1" x14ac:dyDescent="0.15">
      <c r="A2644" s="12" t="s">
        <v>6192</v>
      </c>
      <c r="B2644" s="13"/>
      <c r="C2644" t="e">
        <f t="shared" si="0"/>
        <v>#N/A</v>
      </c>
      <c r="D2644" t="b">
        <f t="shared" si="1"/>
        <v>0</v>
      </c>
      <c r="E2644">
        <f t="shared" si="2"/>
        <v>0</v>
      </c>
      <c r="F2644" s="13"/>
    </row>
    <row r="2645" spans="1:6" ht="15.75" customHeight="1" x14ac:dyDescent="0.15">
      <c r="A2645" s="12" t="s">
        <v>6193</v>
      </c>
      <c r="B2645" s="13"/>
      <c r="C2645" t="e">
        <f t="shared" si="0"/>
        <v>#N/A</v>
      </c>
      <c r="D2645" t="b">
        <f t="shared" si="1"/>
        <v>0</v>
      </c>
      <c r="E2645">
        <f t="shared" si="2"/>
        <v>0</v>
      </c>
      <c r="F2645" s="13"/>
    </row>
    <row r="2646" spans="1:6" ht="15.75" customHeight="1" x14ac:dyDescent="0.15">
      <c r="A2646" s="12" t="s">
        <v>6194</v>
      </c>
      <c r="B2646" s="13"/>
      <c r="C2646" t="e">
        <f t="shared" si="0"/>
        <v>#N/A</v>
      </c>
      <c r="D2646" t="b">
        <f t="shared" si="1"/>
        <v>0</v>
      </c>
      <c r="E2646">
        <f t="shared" si="2"/>
        <v>0</v>
      </c>
      <c r="F2646" s="13"/>
    </row>
    <row r="2647" spans="1:6" ht="15.75" customHeight="1" x14ac:dyDescent="0.15">
      <c r="A2647" s="12" t="s">
        <v>6195</v>
      </c>
      <c r="B2647" s="13"/>
      <c r="C2647" t="e">
        <f t="shared" si="0"/>
        <v>#N/A</v>
      </c>
      <c r="D2647" t="b">
        <f t="shared" si="1"/>
        <v>0</v>
      </c>
      <c r="E2647">
        <f t="shared" si="2"/>
        <v>0</v>
      </c>
      <c r="F2647" s="13"/>
    </row>
    <row r="2648" spans="1:6" ht="15.75" customHeight="1" x14ac:dyDescent="0.15">
      <c r="A2648" s="12" t="s">
        <v>6196</v>
      </c>
      <c r="B2648" s="13"/>
      <c r="C2648" t="e">
        <f t="shared" si="0"/>
        <v>#N/A</v>
      </c>
      <c r="D2648" t="b">
        <f t="shared" si="1"/>
        <v>0</v>
      </c>
      <c r="E2648">
        <f t="shared" si="2"/>
        <v>0</v>
      </c>
      <c r="F2648" s="13"/>
    </row>
    <row r="2649" spans="1:6" ht="15.75" customHeight="1" x14ac:dyDescent="0.15">
      <c r="A2649" s="12" t="s">
        <v>6197</v>
      </c>
      <c r="B2649" s="13"/>
      <c r="C2649" t="e">
        <f t="shared" si="0"/>
        <v>#N/A</v>
      </c>
      <c r="D2649" t="b">
        <f t="shared" si="1"/>
        <v>0</v>
      </c>
      <c r="E2649">
        <f t="shared" si="2"/>
        <v>0</v>
      </c>
      <c r="F2649" s="13"/>
    </row>
    <row r="2650" spans="1:6" ht="15.75" customHeight="1" x14ac:dyDescent="0.15">
      <c r="A2650" s="12" t="s">
        <v>6198</v>
      </c>
      <c r="B2650" s="13"/>
      <c r="C2650" t="e">
        <f t="shared" si="0"/>
        <v>#N/A</v>
      </c>
      <c r="D2650" t="b">
        <f t="shared" si="1"/>
        <v>0</v>
      </c>
      <c r="E2650">
        <f t="shared" si="2"/>
        <v>0</v>
      </c>
      <c r="F2650" s="13"/>
    </row>
    <row r="2651" spans="1:6" ht="15.75" customHeight="1" x14ac:dyDescent="0.15">
      <c r="A2651" s="12" t="s">
        <v>6199</v>
      </c>
      <c r="B2651" s="13"/>
      <c r="C2651" t="e">
        <f t="shared" si="0"/>
        <v>#N/A</v>
      </c>
      <c r="D2651" t="b">
        <f t="shared" si="1"/>
        <v>0</v>
      </c>
      <c r="E2651">
        <f t="shared" si="2"/>
        <v>0</v>
      </c>
      <c r="F2651" s="13"/>
    </row>
    <row r="2652" spans="1:6" ht="15.75" customHeight="1" x14ac:dyDescent="0.15">
      <c r="A2652" s="12" t="s">
        <v>6200</v>
      </c>
      <c r="B2652" s="13"/>
      <c r="C2652" t="e">
        <f t="shared" si="0"/>
        <v>#N/A</v>
      </c>
      <c r="D2652" t="b">
        <f t="shared" si="1"/>
        <v>0</v>
      </c>
      <c r="E2652">
        <f t="shared" si="2"/>
        <v>0</v>
      </c>
      <c r="F2652" s="13"/>
    </row>
    <row r="2653" spans="1:6" ht="15.75" customHeight="1" x14ac:dyDescent="0.15">
      <c r="A2653" s="12" t="s">
        <v>6201</v>
      </c>
      <c r="B2653" s="13"/>
      <c r="C2653" t="e">
        <f t="shared" si="0"/>
        <v>#N/A</v>
      </c>
      <c r="D2653" t="b">
        <f t="shared" si="1"/>
        <v>0</v>
      </c>
      <c r="E2653">
        <f t="shared" si="2"/>
        <v>0</v>
      </c>
      <c r="F2653" s="13"/>
    </row>
    <row r="2654" spans="1:6" ht="15.75" customHeight="1" x14ac:dyDescent="0.15">
      <c r="A2654" s="12" t="s">
        <v>6202</v>
      </c>
      <c r="B2654" s="13"/>
      <c r="C2654" t="e">
        <f t="shared" si="0"/>
        <v>#N/A</v>
      </c>
      <c r="D2654" t="b">
        <f t="shared" si="1"/>
        <v>0</v>
      </c>
      <c r="E2654">
        <f t="shared" si="2"/>
        <v>0</v>
      </c>
      <c r="F2654" s="13"/>
    </row>
    <row r="2655" spans="1:6" ht="15.75" customHeight="1" x14ac:dyDescent="0.15">
      <c r="A2655" s="12" t="s">
        <v>6203</v>
      </c>
      <c r="B2655" s="13"/>
      <c r="C2655" t="e">
        <f t="shared" si="0"/>
        <v>#N/A</v>
      </c>
      <c r="D2655" t="b">
        <f t="shared" si="1"/>
        <v>0</v>
      </c>
      <c r="E2655">
        <f t="shared" si="2"/>
        <v>0</v>
      </c>
      <c r="F2655" s="13"/>
    </row>
    <row r="2656" spans="1:6" ht="15.75" customHeight="1" x14ac:dyDescent="0.15">
      <c r="A2656" s="12" t="s">
        <v>6204</v>
      </c>
      <c r="B2656" s="13"/>
      <c r="C2656" t="e">
        <f t="shared" si="0"/>
        <v>#N/A</v>
      </c>
      <c r="D2656" t="b">
        <f t="shared" si="1"/>
        <v>0</v>
      </c>
      <c r="E2656">
        <f t="shared" si="2"/>
        <v>0</v>
      </c>
      <c r="F2656" s="13"/>
    </row>
    <row r="2657" spans="1:6" ht="15.75" customHeight="1" x14ac:dyDescent="0.15">
      <c r="A2657" s="12" t="s">
        <v>6205</v>
      </c>
      <c r="B2657" s="13"/>
      <c r="C2657" t="e">
        <f t="shared" si="0"/>
        <v>#N/A</v>
      </c>
      <c r="D2657" t="b">
        <f t="shared" si="1"/>
        <v>0</v>
      </c>
      <c r="E2657">
        <f t="shared" si="2"/>
        <v>0</v>
      </c>
      <c r="F2657" s="13"/>
    </row>
    <row r="2658" spans="1:6" ht="15.75" customHeight="1" x14ac:dyDescent="0.15">
      <c r="A2658" s="12" t="s">
        <v>6206</v>
      </c>
      <c r="B2658" s="13"/>
      <c r="C2658" t="e">
        <f t="shared" si="0"/>
        <v>#N/A</v>
      </c>
      <c r="D2658" t="b">
        <f t="shared" si="1"/>
        <v>0</v>
      </c>
      <c r="E2658">
        <f t="shared" si="2"/>
        <v>0</v>
      </c>
      <c r="F2658" s="13"/>
    </row>
    <row r="2659" spans="1:6" ht="15.75" customHeight="1" x14ac:dyDescent="0.15">
      <c r="A2659" s="12" t="s">
        <v>6207</v>
      </c>
      <c r="B2659" s="13"/>
      <c r="C2659" t="e">
        <f t="shared" si="0"/>
        <v>#N/A</v>
      </c>
      <c r="D2659" t="b">
        <f t="shared" si="1"/>
        <v>0</v>
      </c>
      <c r="E2659">
        <f t="shared" si="2"/>
        <v>0</v>
      </c>
      <c r="F2659" s="13"/>
    </row>
    <row r="2660" spans="1:6" ht="15.75" customHeight="1" x14ac:dyDescent="0.15">
      <c r="A2660" s="12" t="s">
        <v>6208</v>
      </c>
      <c r="B2660" s="13"/>
      <c r="C2660" t="e">
        <f t="shared" si="0"/>
        <v>#N/A</v>
      </c>
      <c r="D2660" t="b">
        <f t="shared" si="1"/>
        <v>0</v>
      </c>
      <c r="E2660">
        <f t="shared" si="2"/>
        <v>0</v>
      </c>
      <c r="F2660" s="13"/>
    </row>
    <row r="2661" spans="1:6" ht="15.75" customHeight="1" x14ac:dyDescent="0.15">
      <c r="A2661" s="12" t="s">
        <v>6209</v>
      </c>
      <c r="B2661" s="13"/>
      <c r="C2661" t="e">
        <f t="shared" si="0"/>
        <v>#N/A</v>
      </c>
      <c r="D2661" t="b">
        <f t="shared" si="1"/>
        <v>0</v>
      </c>
      <c r="E2661">
        <f t="shared" si="2"/>
        <v>0</v>
      </c>
      <c r="F2661" s="13"/>
    </row>
    <row r="2662" spans="1:6" ht="15.75" customHeight="1" x14ac:dyDescent="0.15">
      <c r="A2662" s="12" t="s">
        <v>6210</v>
      </c>
      <c r="B2662" s="13"/>
      <c r="C2662" t="e">
        <f t="shared" si="0"/>
        <v>#N/A</v>
      </c>
      <c r="D2662" t="b">
        <f t="shared" si="1"/>
        <v>0</v>
      </c>
      <c r="E2662">
        <f t="shared" si="2"/>
        <v>0</v>
      </c>
      <c r="F2662" s="13"/>
    </row>
    <row r="2663" spans="1:6" ht="15.75" customHeight="1" x14ac:dyDescent="0.15">
      <c r="A2663" s="12" t="s">
        <v>6211</v>
      </c>
      <c r="B2663" s="13"/>
      <c r="C2663" t="e">
        <f t="shared" si="0"/>
        <v>#N/A</v>
      </c>
      <c r="D2663" t="b">
        <f t="shared" si="1"/>
        <v>0</v>
      </c>
      <c r="E2663">
        <f t="shared" si="2"/>
        <v>0</v>
      </c>
      <c r="F2663" s="13"/>
    </row>
    <row r="2664" spans="1:6" ht="15.75" customHeight="1" x14ac:dyDescent="0.15">
      <c r="A2664" s="12" t="s">
        <v>6212</v>
      </c>
      <c r="B2664" s="13"/>
      <c r="C2664" t="e">
        <f t="shared" si="0"/>
        <v>#N/A</v>
      </c>
      <c r="D2664" t="b">
        <f t="shared" si="1"/>
        <v>0</v>
      </c>
      <c r="E2664">
        <f t="shared" si="2"/>
        <v>0</v>
      </c>
      <c r="F2664" s="13"/>
    </row>
    <row r="2665" spans="1:6" ht="15.75" customHeight="1" x14ac:dyDescent="0.15">
      <c r="A2665" s="12" t="s">
        <v>6213</v>
      </c>
      <c r="B2665" s="13"/>
      <c r="C2665" t="e">
        <f t="shared" si="0"/>
        <v>#N/A</v>
      </c>
      <c r="D2665" t="b">
        <f t="shared" si="1"/>
        <v>0</v>
      </c>
      <c r="E2665">
        <f t="shared" si="2"/>
        <v>0</v>
      </c>
      <c r="F2665" s="13"/>
    </row>
    <row r="2666" spans="1:6" ht="15.75" customHeight="1" x14ac:dyDescent="0.15">
      <c r="A2666" s="12" t="s">
        <v>6214</v>
      </c>
      <c r="B2666" s="13"/>
      <c r="C2666" t="e">
        <f t="shared" si="0"/>
        <v>#N/A</v>
      </c>
      <c r="D2666" t="b">
        <f t="shared" si="1"/>
        <v>0</v>
      </c>
      <c r="E2666">
        <f t="shared" si="2"/>
        <v>0</v>
      </c>
      <c r="F2666" s="13"/>
    </row>
    <row r="2667" spans="1:6" ht="15.75" customHeight="1" x14ac:dyDescent="0.15">
      <c r="A2667" s="12" t="s">
        <v>6215</v>
      </c>
      <c r="B2667" s="13"/>
      <c r="C2667" t="e">
        <f t="shared" si="0"/>
        <v>#N/A</v>
      </c>
      <c r="D2667" t="b">
        <f t="shared" si="1"/>
        <v>0</v>
      </c>
      <c r="E2667">
        <f t="shared" si="2"/>
        <v>0</v>
      </c>
      <c r="F2667" s="13"/>
    </row>
    <row r="2668" spans="1:6" ht="15.75" customHeight="1" x14ac:dyDescent="0.15">
      <c r="A2668" s="12" t="s">
        <v>6216</v>
      </c>
      <c r="B2668" s="13"/>
      <c r="C2668" t="e">
        <f t="shared" si="0"/>
        <v>#N/A</v>
      </c>
      <c r="D2668" t="b">
        <f t="shared" si="1"/>
        <v>0</v>
      </c>
      <c r="E2668">
        <f t="shared" si="2"/>
        <v>0</v>
      </c>
      <c r="F2668" s="13"/>
    </row>
    <row r="2669" spans="1:6" ht="15.75" customHeight="1" x14ac:dyDescent="0.15">
      <c r="A2669" s="12" t="s">
        <v>6217</v>
      </c>
      <c r="B2669" s="13"/>
      <c r="C2669" t="e">
        <f t="shared" si="0"/>
        <v>#N/A</v>
      </c>
      <c r="D2669" t="b">
        <f t="shared" si="1"/>
        <v>0</v>
      </c>
      <c r="E2669">
        <f t="shared" si="2"/>
        <v>0</v>
      </c>
      <c r="F2669" s="13"/>
    </row>
    <row r="2670" spans="1:6" ht="15.75" customHeight="1" x14ac:dyDescent="0.15">
      <c r="A2670" s="12" t="s">
        <v>6218</v>
      </c>
      <c r="B2670" s="13"/>
      <c r="C2670" t="e">
        <f t="shared" si="0"/>
        <v>#N/A</v>
      </c>
      <c r="D2670" t="b">
        <f t="shared" si="1"/>
        <v>0</v>
      </c>
      <c r="E2670">
        <f t="shared" si="2"/>
        <v>0</v>
      </c>
      <c r="F2670" s="13"/>
    </row>
    <row r="2671" spans="1:6" ht="15.75" customHeight="1" x14ac:dyDescent="0.15">
      <c r="A2671" s="12" t="s">
        <v>6219</v>
      </c>
      <c r="B2671" s="13"/>
      <c r="C2671" t="e">
        <f t="shared" si="0"/>
        <v>#N/A</v>
      </c>
      <c r="D2671" t="b">
        <f t="shared" si="1"/>
        <v>0</v>
      </c>
      <c r="E2671">
        <f t="shared" si="2"/>
        <v>0</v>
      </c>
      <c r="F2671" s="13"/>
    </row>
    <row r="2672" spans="1:6" ht="15.75" customHeight="1" x14ac:dyDescent="0.15">
      <c r="A2672" s="12" t="s">
        <v>6220</v>
      </c>
      <c r="B2672" s="13"/>
      <c r="C2672" t="e">
        <f t="shared" si="0"/>
        <v>#N/A</v>
      </c>
      <c r="D2672" t="b">
        <f t="shared" si="1"/>
        <v>0</v>
      </c>
      <c r="E2672">
        <f t="shared" si="2"/>
        <v>0</v>
      </c>
      <c r="F2672" s="13"/>
    </row>
    <row r="2673" spans="1:6" ht="15.75" customHeight="1" x14ac:dyDescent="0.15">
      <c r="A2673" s="12" t="s">
        <v>6221</v>
      </c>
      <c r="B2673" s="13"/>
      <c r="C2673" t="e">
        <f t="shared" si="0"/>
        <v>#N/A</v>
      </c>
      <c r="D2673" t="b">
        <f t="shared" si="1"/>
        <v>0</v>
      </c>
      <c r="E2673">
        <f t="shared" si="2"/>
        <v>0</v>
      </c>
      <c r="F2673" s="13"/>
    </row>
    <row r="2674" spans="1:6" ht="15.75" customHeight="1" x14ac:dyDescent="0.15">
      <c r="A2674" s="12" t="s">
        <v>6222</v>
      </c>
      <c r="B2674" s="13"/>
      <c r="C2674" t="e">
        <f t="shared" si="0"/>
        <v>#N/A</v>
      </c>
      <c r="D2674" t="b">
        <f t="shared" si="1"/>
        <v>0</v>
      </c>
      <c r="E2674">
        <f t="shared" si="2"/>
        <v>0</v>
      </c>
      <c r="F2674" s="13"/>
    </row>
    <row r="2675" spans="1:6" ht="15.75" customHeight="1" x14ac:dyDescent="0.15">
      <c r="A2675" s="12" t="s">
        <v>6223</v>
      </c>
      <c r="B2675" s="13"/>
      <c r="C2675" t="e">
        <f t="shared" si="0"/>
        <v>#N/A</v>
      </c>
      <c r="D2675" t="b">
        <f t="shared" si="1"/>
        <v>0</v>
      </c>
      <c r="E2675">
        <f t="shared" si="2"/>
        <v>0</v>
      </c>
      <c r="F2675" s="13"/>
    </row>
    <row r="2676" spans="1:6" ht="15.75" customHeight="1" x14ac:dyDescent="0.15">
      <c r="A2676" s="12" t="s">
        <v>6224</v>
      </c>
      <c r="B2676" s="13"/>
      <c r="C2676" t="e">
        <f t="shared" si="0"/>
        <v>#N/A</v>
      </c>
      <c r="D2676" t="b">
        <f t="shared" si="1"/>
        <v>0</v>
      </c>
      <c r="E2676">
        <f t="shared" si="2"/>
        <v>0</v>
      </c>
      <c r="F2676" s="13"/>
    </row>
    <row r="2677" spans="1:6" ht="15.75" customHeight="1" x14ac:dyDescent="0.15">
      <c r="A2677" s="12" t="s">
        <v>6225</v>
      </c>
      <c r="B2677" s="13"/>
      <c r="C2677" t="e">
        <f t="shared" si="0"/>
        <v>#N/A</v>
      </c>
      <c r="D2677" t="b">
        <f t="shared" si="1"/>
        <v>0</v>
      </c>
      <c r="E2677">
        <f t="shared" si="2"/>
        <v>0</v>
      </c>
      <c r="F2677" s="13"/>
    </row>
    <row r="2678" spans="1:6" ht="15.75" customHeight="1" x14ac:dyDescent="0.15">
      <c r="A2678" s="12" t="s">
        <v>6226</v>
      </c>
      <c r="B2678" s="13"/>
      <c r="C2678" t="e">
        <f t="shared" si="0"/>
        <v>#N/A</v>
      </c>
      <c r="D2678" t="b">
        <f t="shared" si="1"/>
        <v>0</v>
      </c>
      <c r="E2678">
        <f t="shared" si="2"/>
        <v>0</v>
      </c>
      <c r="F2678" s="13"/>
    </row>
    <row r="2679" spans="1:6" ht="15.75" customHeight="1" x14ac:dyDescent="0.15">
      <c r="A2679" s="12" t="s">
        <v>6227</v>
      </c>
      <c r="B2679" s="13"/>
      <c r="C2679" t="e">
        <f t="shared" si="0"/>
        <v>#N/A</v>
      </c>
      <c r="D2679" t="b">
        <f t="shared" si="1"/>
        <v>0</v>
      </c>
      <c r="E2679">
        <f t="shared" si="2"/>
        <v>0</v>
      </c>
      <c r="F2679" s="13"/>
    </row>
    <row r="2680" spans="1:6" ht="15.75" customHeight="1" x14ac:dyDescent="0.15">
      <c r="A2680" s="12" t="s">
        <v>6228</v>
      </c>
      <c r="B2680" s="13"/>
      <c r="C2680" t="e">
        <f t="shared" si="0"/>
        <v>#N/A</v>
      </c>
      <c r="D2680" t="b">
        <f t="shared" si="1"/>
        <v>0</v>
      </c>
      <c r="E2680">
        <f t="shared" si="2"/>
        <v>0</v>
      </c>
      <c r="F2680" s="13"/>
    </row>
    <row r="2681" spans="1:6" ht="15.75" customHeight="1" x14ac:dyDescent="0.15">
      <c r="A2681" s="12" t="s">
        <v>6229</v>
      </c>
      <c r="B2681" s="13"/>
      <c r="C2681" t="e">
        <f t="shared" si="0"/>
        <v>#N/A</v>
      </c>
      <c r="D2681" t="b">
        <f t="shared" si="1"/>
        <v>0</v>
      </c>
      <c r="E2681">
        <f t="shared" si="2"/>
        <v>0</v>
      </c>
      <c r="F2681" s="13"/>
    </row>
    <row r="2682" spans="1:6" ht="15.75" customHeight="1" x14ac:dyDescent="0.15">
      <c r="A2682" s="12" t="s">
        <v>6230</v>
      </c>
      <c r="B2682" s="13"/>
      <c r="C2682" t="e">
        <f t="shared" si="0"/>
        <v>#N/A</v>
      </c>
      <c r="D2682" t="b">
        <f t="shared" si="1"/>
        <v>0</v>
      </c>
      <c r="E2682">
        <f t="shared" si="2"/>
        <v>0</v>
      </c>
      <c r="F2682" s="13"/>
    </row>
    <row r="2683" spans="1:6" ht="15.75" customHeight="1" x14ac:dyDescent="0.15">
      <c r="A2683" s="12" t="s">
        <v>6231</v>
      </c>
      <c r="B2683" s="13"/>
      <c r="C2683" t="e">
        <f t="shared" si="0"/>
        <v>#N/A</v>
      </c>
      <c r="D2683" t="b">
        <f t="shared" si="1"/>
        <v>0</v>
      </c>
      <c r="E2683">
        <f t="shared" si="2"/>
        <v>0</v>
      </c>
      <c r="F2683" s="13"/>
    </row>
    <row r="2684" spans="1:6" ht="15.75" customHeight="1" x14ac:dyDescent="0.15">
      <c r="A2684" s="12" t="s">
        <v>6232</v>
      </c>
      <c r="B2684" s="13"/>
      <c r="C2684" t="e">
        <f t="shared" si="0"/>
        <v>#N/A</v>
      </c>
      <c r="D2684" t="b">
        <f t="shared" si="1"/>
        <v>0</v>
      </c>
      <c r="E2684">
        <f t="shared" si="2"/>
        <v>0</v>
      </c>
      <c r="F2684" s="13"/>
    </row>
    <row r="2685" spans="1:6" ht="15.75" customHeight="1" x14ac:dyDescent="0.15">
      <c r="A2685" s="12" t="s">
        <v>6233</v>
      </c>
      <c r="B2685" s="13"/>
      <c r="C2685" t="e">
        <f t="shared" si="0"/>
        <v>#N/A</v>
      </c>
      <c r="D2685" t="b">
        <f t="shared" si="1"/>
        <v>0</v>
      </c>
      <c r="E2685">
        <f t="shared" si="2"/>
        <v>0</v>
      </c>
      <c r="F2685" s="13"/>
    </row>
    <row r="2686" spans="1:6" ht="15.75" customHeight="1" x14ac:dyDescent="0.15">
      <c r="A2686" s="12" t="s">
        <v>6234</v>
      </c>
      <c r="B2686" s="13"/>
      <c r="C2686" t="e">
        <f t="shared" si="0"/>
        <v>#N/A</v>
      </c>
      <c r="D2686" t="b">
        <f t="shared" si="1"/>
        <v>0</v>
      </c>
      <c r="E2686">
        <f t="shared" si="2"/>
        <v>0</v>
      </c>
      <c r="F2686" s="13"/>
    </row>
    <row r="2687" spans="1:6" ht="15.75" customHeight="1" x14ac:dyDescent="0.15">
      <c r="A2687" s="12" t="s">
        <v>6235</v>
      </c>
      <c r="B2687" s="13"/>
      <c r="C2687" t="e">
        <f t="shared" si="0"/>
        <v>#N/A</v>
      </c>
      <c r="D2687" t="b">
        <f t="shared" si="1"/>
        <v>0</v>
      </c>
      <c r="E2687">
        <f t="shared" si="2"/>
        <v>0</v>
      </c>
      <c r="F2687" s="13"/>
    </row>
    <row r="2688" spans="1:6" ht="15.75" customHeight="1" x14ac:dyDescent="0.15">
      <c r="A2688" s="12" t="s">
        <v>6236</v>
      </c>
      <c r="B2688" s="13"/>
      <c r="C2688" t="e">
        <f t="shared" si="0"/>
        <v>#N/A</v>
      </c>
      <c r="D2688" t="b">
        <f t="shared" si="1"/>
        <v>0</v>
      </c>
      <c r="E2688">
        <f t="shared" si="2"/>
        <v>0</v>
      </c>
      <c r="F2688" s="13"/>
    </row>
    <row r="2689" spans="1:6" ht="15.75" customHeight="1" x14ac:dyDescent="0.15">
      <c r="A2689" s="12" t="s">
        <v>6237</v>
      </c>
      <c r="B2689" s="13"/>
      <c r="C2689" t="e">
        <f t="shared" si="0"/>
        <v>#N/A</v>
      </c>
      <c r="D2689" t="b">
        <f t="shared" si="1"/>
        <v>0</v>
      </c>
      <c r="E2689">
        <f t="shared" si="2"/>
        <v>0</v>
      </c>
      <c r="F2689" s="13"/>
    </row>
    <row r="2690" spans="1:6" ht="15.75" customHeight="1" x14ac:dyDescent="0.15">
      <c r="A2690" s="12" t="s">
        <v>6238</v>
      </c>
      <c r="B2690" s="13"/>
      <c r="C2690" t="e">
        <f t="shared" si="0"/>
        <v>#N/A</v>
      </c>
      <c r="D2690" t="b">
        <f t="shared" si="1"/>
        <v>0</v>
      </c>
      <c r="E2690">
        <f t="shared" si="2"/>
        <v>0</v>
      </c>
      <c r="F2690" s="13"/>
    </row>
    <row r="2691" spans="1:6" ht="15.75" customHeight="1" x14ac:dyDescent="0.15">
      <c r="A2691" s="12" t="s">
        <v>6239</v>
      </c>
      <c r="B2691" s="13"/>
      <c r="C2691" t="e">
        <f t="shared" si="0"/>
        <v>#N/A</v>
      </c>
      <c r="D2691" t="b">
        <f t="shared" si="1"/>
        <v>0</v>
      </c>
      <c r="E2691">
        <f t="shared" si="2"/>
        <v>0</v>
      </c>
      <c r="F2691" s="13"/>
    </row>
    <row r="2692" spans="1:6" ht="15.75" customHeight="1" x14ac:dyDescent="0.15">
      <c r="A2692" s="12" t="s">
        <v>6240</v>
      </c>
      <c r="B2692" s="13"/>
      <c r="C2692" t="e">
        <f t="shared" si="0"/>
        <v>#N/A</v>
      </c>
      <c r="D2692" t="b">
        <f t="shared" si="1"/>
        <v>0</v>
      </c>
      <c r="E2692">
        <f t="shared" si="2"/>
        <v>0</v>
      </c>
      <c r="F2692" s="13"/>
    </row>
    <row r="2693" spans="1:6" ht="15.75" customHeight="1" x14ac:dyDescent="0.15">
      <c r="A2693" s="12" t="s">
        <v>6241</v>
      </c>
      <c r="B2693" s="13"/>
      <c r="C2693" t="e">
        <f t="shared" si="0"/>
        <v>#N/A</v>
      </c>
      <c r="D2693" t="b">
        <f t="shared" si="1"/>
        <v>0</v>
      </c>
      <c r="E2693">
        <f t="shared" si="2"/>
        <v>0</v>
      </c>
      <c r="F2693" s="13"/>
    </row>
    <row r="2694" spans="1:6" ht="15.75" customHeight="1" x14ac:dyDescent="0.15">
      <c r="A2694" s="12" t="s">
        <v>6242</v>
      </c>
      <c r="B2694" s="13"/>
      <c r="C2694" t="e">
        <f t="shared" si="0"/>
        <v>#N/A</v>
      </c>
      <c r="D2694" t="b">
        <f t="shared" si="1"/>
        <v>0</v>
      </c>
      <c r="E2694">
        <f t="shared" si="2"/>
        <v>0</v>
      </c>
      <c r="F2694" s="13"/>
    </row>
    <row r="2695" spans="1:6" ht="15.75" customHeight="1" x14ac:dyDescent="0.15">
      <c r="A2695" s="12" t="s">
        <v>6243</v>
      </c>
      <c r="B2695" s="13"/>
      <c r="C2695" t="e">
        <f t="shared" si="0"/>
        <v>#N/A</v>
      </c>
      <c r="D2695" t="b">
        <f t="shared" si="1"/>
        <v>0</v>
      </c>
      <c r="E2695">
        <f t="shared" si="2"/>
        <v>0</v>
      </c>
      <c r="F2695" s="13"/>
    </row>
    <row r="2696" spans="1:6" ht="15.75" customHeight="1" x14ac:dyDescent="0.15">
      <c r="A2696" s="12" t="s">
        <v>6244</v>
      </c>
      <c r="B2696" s="13"/>
      <c r="C2696" t="e">
        <f t="shared" si="0"/>
        <v>#N/A</v>
      </c>
      <c r="D2696" t="b">
        <f t="shared" si="1"/>
        <v>0</v>
      </c>
      <c r="E2696">
        <f t="shared" si="2"/>
        <v>0</v>
      </c>
      <c r="F2696" s="13"/>
    </row>
    <row r="2697" spans="1:6" ht="15.75" customHeight="1" x14ac:dyDescent="0.15">
      <c r="A2697" s="12" t="s">
        <v>6245</v>
      </c>
      <c r="B2697" s="13"/>
      <c r="C2697" t="e">
        <f t="shared" si="0"/>
        <v>#N/A</v>
      </c>
      <c r="D2697" t="b">
        <f t="shared" si="1"/>
        <v>0</v>
      </c>
      <c r="E2697">
        <f t="shared" si="2"/>
        <v>0</v>
      </c>
      <c r="F2697" s="13"/>
    </row>
    <row r="2698" spans="1:6" ht="15.75" customHeight="1" x14ac:dyDescent="0.15">
      <c r="A2698" s="12" t="s">
        <v>6246</v>
      </c>
      <c r="B2698" s="13"/>
      <c r="C2698" t="e">
        <f t="shared" si="0"/>
        <v>#N/A</v>
      </c>
      <c r="D2698" t="b">
        <f t="shared" si="1"/>
        <v>0</v>
      </c>
      <c r="E2698">
        <f t="shared" si="2"/>
        <v>0</v>
      </c>
      <c r="F2698" s="13"/>
    </row>
    <row r="2699" spans="1:6" ht="15.75" customHeight="1" x14ac:dyDescent="0.15">
      <c r="A2699" s="12" t="s">
        <v>6247</v>
      </c>
      <c r="B2699" s="13"/>
      <c r="C2699" t="e">
        <f t="shared" si="0"/>
        <v>#N/A</v>
      </c>
      <c r="D2699" t="b">
        <f t="shared" si="1"/>
        <v>0</v>
      </c>
      <c r="E2699">
        <f t="shared" si="2"/>
        <v>0</v>
      </c>
      <c r="F2699" s="13"/>
    </row>
    <row r="2700" spans="1:6" ht="15.75" customHeight="1" x14ac:dyDescent="0.15">
      <c r="A2700" s="12" t="s">
        <v>6248</v>
      </c>
      <c r="B2700" s="13"/>
      <c r="C2700" t="e">
        <f t="shared" si="0"/>
        <v>#N/A</v>
      </c>
      <c r="D2700" t="b">
        <f t="shared" si="1"/>
        <v>0</v>
      </c>
      <c r="E2700">
        <f t="shared" si="2"/>
        <v>0</v>
      </c>
      <c r="F2700" s="13"/>
    </row>
    <row r="2701" spans="1:6" ht="15.75" customHeight="1" x14ac:dyDescent="0.15">
      <c r="A2701" s="12" t="s">
        <v>6249</v>
      </c>
      <c r="B2701" s="13"/>
      <c r="C2701" t="e">
        <f t="shared" si="0"/>
        <v>#N/A</v>
      </c>
      <c r="D2701" t="b">
        <f t="shared" si="1"/>
        <v>0</v>
      </c>
      <c r="E2701">
        <f t="shared" si="2"/>
        <v>0</v>
      </c>
      <c r="F2701" s="13"/>
    </row>
    <row r="2702" spans="1:6" ht="15.75" customHeight="1" x14ac:dyDescent="0.15">
      <c r="A2702" s="12" t="s">
        <v>6250</v>
      </c>
      <c r="B2702" s="13"/>
      <c r="C2702" t="e">
        <f t="shared" si="0"/>
        <v>#N/A</v>
      </c>
      <c r="D2702" t="b">
        <f t="shared" si="1"/>
        <v>0</v>
      </c>
      <c r="E2702">
        <f t="shared" si="2"/>
        <v>0</v>
      </c>
      <c r="F2702" s="13"/>
    </row>
    <row r="2703" spans="1:6" ht="15.75" customHeight="1" x14ac:dyDescent="0.15">
      <c r="A2703" s="12" t="s">
        <v>6251</v>
      </c>
      <c r="B2703" s="13"/>
      <c r="C2703" t="e">
        <f t="shared" si="0"/>
        <v>#N/A</v>
      </c>
      <c r="D2703" t="b">
        <f t="shared" si="1"/>
        <v>0</v>
      </c>
      <c r="E2703">
        <f t="shared" si="2"/>
        <v>0</v>
      </c>
      <c r="F2703" s="13"/>
    </row>
    <row r="2704" spans="1:6" ht="15.75" customHeight="1" x14ac:dyDescent="0.15">
      <c r="A2704" s="12" t="s">
        <v>6252</v>
      </c>
      <c r="B2704" s="13"/>
      <c r="C2704" t="e">
        <f t="shared" si="0"/>
        <v>#N/A</v>
      </c>
      <c r="D2704" t="b">
        <f t="shared" si="1"/>
        <v>0</v>
      </c>
      <c r="E2704">
        <f t="shared" si="2"/>
        <v>0</v>
      </c>
      <c r="F2704" s="13"/>
    </row>
    <row r="2705" spans="1:6" ht="15.75" customHeight="1" x14ac:dyDescent="0.15">
      <c r="A2705" s="12" t="s">
        <v>6253</v>
      </c>
      <c r="B2705" s="13"/>
      <c r="C2705" t="e">
        <f t="shared" si="0"/>
        <v>#N/A</v>
      </c>
      <c r="D2705" t="b">
        <f t="shared" si="1"/>
        <v>0</v>
      </c>
      <c r="E2705">
        <f t="shared" si="2"/>
        <v>0</v>
      </c>
      <c r="F2705" s="13"/>
    </row>
    <row r="2706" spans="1:6" ht="15.75" customHeight="1" x14ac:dyDescent="0.15">
      <c r="A2706" s="12" t="s">
        <v>6254</v>
      </c>
      <c r="B2706" s="13"/>
      <c r="C2706" t="e">
        <f t="shared" si="0"/>
        <v>#N/A</v>
      </c>
      <c r="D2706" t="b">
        <f t="shared" si="1"/>
        <v>0</v>
      </c>
      <c r="E2706">
        <f t="shared" si="2"/>
        <v>0</v>
      </c>
      <c r="F2706" s="13"/>
    </row>
    <row r="2707" spans="1:6" ht="15.75" customHeight="1" x14ac:dyDescent="0.15">
      <c r="A2707" s="12" t="s">
        <v>6255</v>
      </c>
      <c r="B2707" s="13"/>
      <c r="C2707" t="e">
        <f t="shared" si="0"/>
        <v>#N/A</v>
      </c>
      <c r="D2707" t="b">
        <f t="shared" si="1"/>
        <v>0</v>
      </c>
      <c r="E2707">
        <f t="shared" si="2"/>
        <v>0</v>
      </c>
      <c r="F2707" s="13"/>
    </row>
    <row r="2708" spans="1:6" ht="15.75" customHeight="1" x14ac:dyDescent="0.15">
      <c r="A2708" s="12" t="s">
        <v>6256</v>
      </c>
      <c r="B2708" s="13"/>
      <c r="C2708" t="e">
        <f t="shared" si="0"/>
        <v>#N/A</v>
      </c>
      <c r="D2708" t="b">
        <f t="shared" si="1"/>
        <v>0</v>
      </c>
      <c r="E2708">
        <f t="shared" si="2"/>
        <v>0</v>
      </c>
      <c r="F2708" s="13"/>
    </row>
    <row r="2709" spans="1:6" ht="15.75" customHeight="1" x14ac:dyDescent="0.15">
      <c r="A2709" s="12" t="s">
        <v>6257</v>
      </c>
      <c r="B2709" s="13"/>
      <c r="C2709" t="e">
        <f t="shared" si="0"/>
        <v>#N/A</v>
      </c>
      <c r="D2709" t="b">
        <f t="shared" si="1"/>
        <v>0</v>
      </c>
      <c r="E2709">
        <f t="shared" si="2"/>
        <v>0</v>
      </c>
      <c r="F2709" s="13"/>
    </row>
    <row r="2710" spans="1:6" ht="15.75" customHeight="1" x14ac:dyDescent="0.15">
      <c r="A2710" s="12" t="s">
        <v>6257</v>
      </c>
      <c r="B2710" s="13"/>
      <c r="C2710" t="e">
        <f t="shared" si="0"/>
        <v>#N/A</v>
      </c>
      <c r="D2710" t="b">
        <f t="shared" si="1"/>
        <v>0</v>
      </c>
      <c r="E2710">
        <f t="shared" si="2"/>
        <v>0</v>
      </c>
      <c r="F2710" s="13"/>
    </row>
    <row r="2711" spans="1:6" ht="15.75" customHeight="1" x14ac:dyDescent="0.15">
      <c r="A2711" s="12" t="s">
        <v>6258</v>
      </c>
      <c r="B2711" s="13"/>
      <c r="C2711" t="e">
        <f t="shared" si="0"/>
        <v>#N/A</v>
      </c>
      <c r="D2711" t="b">
        <f t="shared" si="1"/>
        <v>0</v>
      </c>
      <c r="E2711">
        <f t="shared" si="2"/>
        <v>0</v>
      </c>
      <c r="F2711" s="13"/>
    </row>
    <row r="2712" spans="1:6" ht="15.75" customHeight="1" x14ac:dyDescent="0.15">
      <c r="A2712" s="12" t="s">
        <v>6259</v>
      </c>
      <c r="B2712" s="13"/>
      <c r="C2712" t="e">
        <f t="shared" si="0"/>
        <v>#N/A</v>
      </c>
      <c r="D2712" t="b">
        <f t="shared" si="1"/>
        <v>0</v>
      </c>
      <c r="E2712">
        <f t="shared" si="2"/>
        <v>0</v>
      </c>
      <c r="F2712" s="13"/>
    </row>
    <row r="2713" spans="1:6" ht="15.75" customHeight="1" x14ac:dyDescent="0.15">
      <c r="A2713" s="12" t="s">
        <v>6260</v>
      </c>
      <c r="B2713" s="13"/>
      <c r="C2713" t="e">
        <f t="shared" si="0"/>
        <v>#N/A</v>
      </c>
      <c r="D2713" t="b">
        <f t="shared" si="1"/>
        <v>0</v>
      </c>
      <c r="E2713">
        <f t="shared" si="2"/>
        <v>0</v>
      </c>
      <c r="F2713" s="13"/>
    </row>
    <row r="2714" spans="1:6" ht="15.75" customHeight="1" x14ac:dyDescent="0.15">
      <c r="A2714" s="12" t="s">
        <v>6261</v>
      </c>
      <c r="B2714" s="13"/>
      <c r="C2714" t="e">
        <f t="shared" si="0"/>
        <v>#N/A</v>
      </c>
      <c r="D2714" t="b">
        <f t="shared" si="1"/>
        <v>0</v>
      </c>
      <c r="E2714">
        <f t="shared" si="2"/>
        <v>0</v>
      </c>
      <c r="F2714" s="13"/>
    </row>
    <row r="2715" spans="1:6" ht="15.75" customHeight="1" x14ac:dyDescent="0.15">
      <c r="A2715" s="12" t="s">
        <v>6262</v>
      </c>
      <c r="B2715" s="13"/>
      <c r="C2715" t="e">
        <f t="shared" si="0"/>
        <v>#N/A</v>
      </c>
      <c r="D2715" t="b">
        <f t="shared" si="1"/>
        <v>0</v>
      </c>
      <c r="E2715">
        <f t="shared" si="2"/>
        <v>0</v>
      </c>
      <c r="F2715" s="13"/>
    </row>
    <row r="2716" spans="1:6" ht="15.75" customHeight="1" x14ac:dyDescent="0.15">
      <c r="A2716" s="12" t="s">
        <v>6263</v>
      </c>
      <c r="B2716" s="13"/>
      <c r="C2716" t="e">
        <f t="shared" si="0"/>
        <v>#N/A</v>
      </c>
      <c r="D2716" t="b">
        <f t="shared" si="1"/>
        <v>0</v>
      </c>
      <c r="E2716">
        <f t="shared" si="2"/>
        <v>0</v>
      </c>
      <c r="F2716" s="13"/>
    </row>
    <row r="2717" spans="1:6" ht="15.75" customHeight="1" x14ac:dyDescent="0.15">
      <c r="A2717" s="12" t="s">
        <v>6264</v>
      </c>
      <c r="B2717" s="13"/>
      <c r="C2717" t="e">
        <f t="shared" si="0"/>
        <v>#N/A</v>
      </c>
      <c r="D2717" t="b">
        <f t="shared" si="1"/>
        <v>0</v>
      </c>
      <c r="E2717">
        <f t="shared" si="2"/>
        <v>0</v>
      </c>
      <c r="F2717" s="13"/>
    </row>
    <row r="2718" spans="1:6" ht="15.75" customHeight="1" x14ac:dyDescent="0.15">
      <c r="A2718" s="12" t="s">
        <v>6265</v>
      </c>
      <c r="B2718" s="13"/>
      <c r="C2718" t="e">
        <f t="shared" si="0"/>
        <v>#N/A</v>
      </c>
      <c r="D2718" t="b">
        <f t="shared" si="1"/>
        <v>0</v>
      </c>
      <c r="E2718">
        <f t="shared" si="2"/>
        <v>0</v>
      </c>
      <c r="F2718" s="13"/>
    </row>
    <row r="2719" spans="1:6" ht="15.75" customHeight="1" x14ac:dyDescent="0.15">
      <c r="A2719" s="12" t="s">
        <v>6266</v>
      </c>
      <c r="B2719" s="13"/>
      <c r="C2719" t="e">
        <f t="shared" si="0"/>
        <v>#N/A</v>
      </c>
      <c r="D2719" t="b">
        <f t="shared" si="1"/>
        <v>0</v>
      </c>
      <c r="E2719">
        <f t="shared" si="2"/>
        <v>0</v>
      </c>
      <c r="F2719" s="13"/>
    </row>
    <row r="2720" spans="1:6" ht="15.75" customHeight="1" x14ac:dyDescent="0.15">
      <c r="A2720" s="12" t="s">
        <v>6267</v>
      </c>
      <c r="B2720" s="13"/>
      <c r="C2720" t="e">
        <f t="shared" si="0"/>
        <v>#N/A</v>
      </c>
      <c r="D2720" t="b">
        <f t="shared" si="1"/>
        <v>0</v>
      </c>
      <c r="E2720">
        <f t="shared" si="2"/>
        <v>0</v>
      </c>
      <c r="F2720" s="13"/>
    </row>
    <row r="2721" spans="1:6" ht="15.75" customHeight="1" x14ac:dyDescent="0.15">
      <c r="A2721" s="12" t="s">
        <v>6268</v>
      </c>
      <c r="B2721" s="13"/>
      <c r="C2721" t="e">
        <f t="shared" si="0"/>
        <v>#N/A</v>
      </c>
      <c r="D2721" t="b">
        <f t="shared" si="1"/>
        <v>0</v>
      </c>
      <c r="E2721">
        <f t="shared" si="2"/>
        <v>0</v>
      </c>
      <c r="F2721" s="13"/>
    </row>
    <row r="2722" spans="1:6" ht="15.75" customHeight="1" x14ac:dyDescent="0.15">
      <c r="A2722" s="12" t="s">
        <v>6269</v>
      </c>
      <c r="B2722" s="13"/>
      <c r="C2722" t="e">
        <f t="shared" si="0"/>
        <v>#N/A</v>
      </c>
      <c r="D2722" t="b">
        <f t="shared" si="1"/>
        <v>0</v>
      </c>
      <c r="E2722">
        <f t="shared" si="2"/>
        <v>0</v>
      </c>
      <c r="F2722" s="13"/>
    </row>
    <row r="2723" spans="1:6" ht="15.75" customHeight="1" x14ac:dyDescent="0.15">
      <c r="A2723" s="12" t="s">
        <v>6270</v>
      </c>
      <c r="B2723" s="13"/>
      <c r="C2723" t="e">
        <f t="shared" si="0"/>
        <v>#N/A</v>
      </c>
      <c r="D2723" t="b">
        <f t="shared" si="1"/>
        <v>0</v>
      </c>
      <c r="E2723">
        <f t="shared" si="2"/>
        <v>0</v>
      </c>
      <c r="F2723" s="13"/>
    </row>
    <row r="2724" spans="1:6" ht="15.75" customHeight="1" x14ac:dyDescent="0.15">
      <c r="A2724" s="12" t="s">
        <v>6271</v>
      </c>
      <c r="B2724" s="13"/>
      <c r="C2724" t="e">
        <f t="shared" si="0"/>
        <v>#N/A</v>
      </c>
      <c r="D2724" t="b">
        <f t="shared" si="1"/>
        <v>0</v>
      </c>
      <c r="E2724">
        <f t="shared" si="2"/>
        <v>0</v>
      </c>
      <c r="F2724" s="13"/>
    </row>
    <row r="2725" spans="1:6" ht="15.75" customHeight="1" x14ac:dyDescent="0.15">
      <c r="A2725" s="12" t="s">
        <v>6272</v>
      </c>
      <c r="B2725" s="13"/>
      <c r="C2725" t="e">
        <f t="shared" si="0"/>
        <v>#N/A</v>
      </c>
      <c r="D2725" t="b">
        <f t="shared" si="1"/>
        <v>0</v>
      </c>
      <c r="E2725">
        <f t="shared" si="2"/>
        <v>0</v>
      </c>
      <c r="F2725" s="13"/>
    </row>
    <row r="2726" spans="1:6" ht="15.75" customHeight="1" x14ac:dyDescent="0.15">
      <c r="A2726" s="12" t="s">
        <v>6273</v>
      </c>
      <c r="B2726" s="13"/>
      <c r="C2726" t="e">
        <f t="shared" si="0"/>
        <v>#N/A</v>
      </c>
      <c r="D2726" t="b">
        <f t="shared" si="1"/>
        <v>0</v>
      </c>
      <c r="E2726">
        <f t="shared" si="2"/>
        <v>0</v>
      </c>
      <c r="F2726" s="13"/>
    </row>
    <row r="2727" spans="1:6" ht="15.75" customHeight="1" x14ac:dyDescent="0.15">
      <c r="A2727" s="12" t="s">
        <v>6274</v>
      </c>
      <c r="B2727" s="13"/>
      <c r="C2727" t="e">
        <f t="shared" si="0"/>
        <v>#N/A</v>
      </c>
      <c r="D2727" t="b">
        <f t="shared" si="1"/>
        <v>0</v>
      </c>
      <c r="E2727">
        <f t="shared" si="2"/>
        <v>0</v>
      </c>
      <c r="F2727" s="13"/>
    </row>
    <row r="2728" spans="1:6" ht="15.75" customHeight="1" x14ac:dyDescent="0.15">
      <c r="A2728" s="12" t="s">
        <v>6275</v>
      </c>
      <c r="B2728" s="13"/>
      <c r="C2728" t="e">
        <f t="shared" si="0"/>
        <v>#N/A</v>
      </c>
      <c r="D2728" t="b">
        <f t="shared" si="1"/>
        <v>0</v>
      </c>
      <c r="E2728">
        <f t="shared" si="2"/>
        <v>0</v>
      </c>
      <c r="F2728" s="13"/>
    </row>
    <row r="2729" spans="1:6" ht="15.75" customHeight="1" x14ac:dyDescent="0.15">
      <c r="A2729" s="12" t="s">
        <v>6276</v>
      </c>
      <c r="B2729" s="13"/>
      <c r="C2729" t="e">
        <f t="shared" si="0"/>
        <v>#N/A</v>
      </c>
      <c r="D2729" t="b">
        <f t="shared" si="1"/>
        <v>0</v>
      </c>
      <c r="E2729">
        <f t="shared" si="2"/>
        <v>0</v>
      </c>
      <c r="F2729" s="13"/>
    </row>
    <row r="2730" spans="1:6" ht="15.75" customHeight="1" x14ac:dyDescent="0.15">
      <c r="A2730" s="12" t="s">
        <v>6277</v>
      </c>
      <c r="B2730" s="13"/>
      <c r="C2730" t="e">
        <f t="shared" si="0"/>
        <v>#N/A</v>
      </c>
      <c r="D2730" t="b">
        <f t="shared" si="1"/>
        <v>0</v>
      </c>
      <c r="E2730">
        <f t="shared" si="2"/>
        <v>0</v>
      </c>
      <c r="F2730" s="13"/>
    </row>
    <row r="2731" spans="1:6" ht="15.75" customHeight="1" x14ac:dyDescent="0.15">
      <c r="A2731" s="12" t="s">
        <v>6278</v>
      </c>
      <c r="B2731" s="13"/>
      <c r="C2731" t="e">
        <f t="shared" si="0"/>
        <v>#N/A</v>
      </c>
      <c r="D2731" t="b">
        <f t="shared" si="1"/>
        <v>0</v>
      </c>
      <c r="E2731">
        <f t="shared" si="2"/>
        <v>0</v>
      </c>
      <c r="F2731" s="13"/>
    </row>
    <row r="2732" spans="1:6" ht="15.75" customHeight="1" x14ac:dyDescent="0.15">
      <c r="A2732" s="12" t="s">
        <v>6279</v>
      </c>
      <c r="B2732" s="13"/>
      <c r="C2732" t="e">
        <f t="shared" si="0"/>
        <v>#N/A</v>
      </c>
      <c r="D2732" t="b">
        <f t="shared" si="1"/>
        <v>0</v>
      </c>
      <c r="E2732">
        <f t="shared" si="2"/>
        <v>0</v>
      </c>
      <c r="F2732" s="13"/>
    </row>
    <row r="2733" spans="1:6" ht="15.75" customHeight="1" x14ac:dyDescent="0.15">
      <c r="A2733" s="12" t="s">
        <v>6280</v>
      </c>
      <c r="B2733" s="13"/>
      <c r="C2733" t="e">
        <f t="shared" si="0"/>
        <v>#N/A</v>
      </c>
      <c r="D2733" t="b">
        <f t="shared" si="1"/>
        <v>0</v>
      </c>
      <c r="E2733">
        <f t="shared" si="2"/>
        <v>0</v>
      </c>
      <c r="F2733" s="13"/>
    </row>
    <row r="2734" spans="1:6" ht="15.75" customHeight="1" x14ac:dyDescent="0.15">
      <c r="A2734" s="12" t="s">
        <v>3589</v>
      </c>
      <c r="B2734" s="13"/>
      <c r="C2734">
        <f t="shared" si="0"/>
        <v>7</v>
      </c>
      <c r="D2734" t="b">
        <f t="shared" si="1"/>
        <v>1</v>
      </c>
      <c r="E2734">
        <f t="shared" si="2"/>
        <v>1</v>
      </c>
      <c r="F2734" s="13"/>
    </row>
    <row r="2735" spans="1:6" ht="15.75" customHeight="1" x14ac:dyDescent="0.15">
      <c r="A2735" s="12" t="s">
        <v>6281</v>
      </c>
      <c r="B2735" s="13"/>
      <c r="C2735" t="e">
        <f t="shared" si="0"/>
        <v>#N/A</v>
      </c>
      <c r="D2735" t="b">
        <f t="shared" si="1"/>
        <v>0</v>
      </c>
      <c r="E2735">
        <f t="shared" si="2"/>
        <v>0</v>
      </c>
      <c r="F2735" s="13"/>
    </row>
    <row r="2736" spans="1:6" ht="15.75" customHeight="1" x14ac:dyDescent="0.15">
      <c r="A2736" s="12" t="s">
        <v>6282</v>
      </c>
      <c r="B2736" s="13"/>
      <c r="C2736" t="e">
        <f t="shared" si="0"/>
        <v>#N/A</v>
      </c>
      <c r="D2736" t="b">
        <f t="shared" si="1"/>
        <v>0</v>
      </c>
      <c r="E2736">
        <f t="shared" si="2"/>
        <v>0</v>
      </c>
      <c r="F2736" s="13"/>
    </row>
    <row r="2737" spans="1:6" ht="15.75" customHeight="1" x14ac:dyDescent="0.15">
      <c r="A2737" s="12" t="s">
        <v>6283</v>
      </c>
      <c r="B2737" s="13"/>
      <c r="C2737" t="e">
        <f t="shared" si="0"/>
        <v>#N/A</v>
      </c>
      <c r="D2737" t="b">
        <f t="shared" si="1"/>
        <v>0</v>
      </c>
      <c r="E2737">
        <f t="shared" si="2"/>
        <v>0</v>
      </c>
      <c r="F2737" s="13"/>
    </row>
    <row r="2738" spans="1:6" ht="15.75" customHeight="1" x14ac:dyDescent="0.15">
      <c r="A2738" s="12" t="s">
        <v>6284</v>
      </c>
      <c r="B2738" s="13"/>
      <c r="C2738" t="e">
        <f t="shared" si="0"/>
        <v>#N/A</v>
      </c>
      <c r="D2738" t="b">
        <f t="shared" si="1"/>
        <v>0</v>
      </c>
      <c r="E2738">
        <f t="shared" si="2"/>
        <v>0</v>
      </c>
      <c r="F2738" s="13"/>
    </row>
    <row r="2739" spans="1:6" ht="15.75" customHeight="1" x14ac:dyDescent="0.15">
      <c r="A2739" s="12" t="s">
        <v>6285</v>
      </c>
      <c r="B2739" s="13"/>
      <c r="C2739" t="e">
        <f t="shared" si="0"/>
        <v>#N/A</v>
      </c>
      <c r="D2739" t="b">
        <f t="shared" si="1"/>
        <v>0</v>
      </c>
      <c r="E2739">
        <f t="shared" si="2"/>
        <v>0</v>
      </c>
      <c r="F2739" s="13"/>
    </row>
    <row r="2740" spans="1:6" ht="15.75" customHeight="1" x14ac:dyDescent="0.15">
      <c r="A2740" s="12" t="s">
        <v>6286</v>
      </c>
      <c r="B2740" s="13"/>
      <c r="C2740" t="e">
        <f t="shared" si="0"/>
        <v>#N/A</v>
      </c>
      <c r="D2740" t="b">
        <f t="shared" si="1"/>
        <v>0</v>
      </c>
      <c r="E2740">
        <f t="shared" si="2"/>
        <v>0</v>
      </c>
      <c r="F2740" s="13"/>
    </row>
    <row r="2741" spans="1:6" ht="15.75" customHeight="1" x14ac:dyDescent="0.15">
      <c r="A2741" s="12" t="s">
        <v>6287</v>
      </c>
      <c r="B2741" s="13"/>
      <c r="C2741" t="e">
        <f t="shared" si="0"/>
        <v>#N/A</v>
      </c>
      <c r="D2741" t="b">
        <f t="shared" si="1"/>
        <v>0</v>
      </c>
      <c r="E2741">
        <f t="shared" si="2"/>
        <v>0</v>
      </c>
      <c r="F2741" s="13"/>
    </row>
    <row r="2742" spans="1:6" ht="15.75" customHeight="1" x14ac:dyDescent="0.15">
      <c r="A2742" s="12" t="s">
        <v>6288</v>
      </c>
      <c r="B2742" s="13"/>
      <c r="C2742" t="e">
        <f t="shared" si="0"/>
        <v>#N/A</v>
      </c>
      <c r="D2742" t="b">
        <f t="shared" si="1"/>
        <v>0</v>
      </c>
      <c r="E2742">
        <f t="shared" si="2"/>
        <v>0</v>
      </c>
      <c r="F2742" s="13"/>
    </row>
    <row r="2743" spans="1:6" ht="15.75" customHeight="1" x14ac:dyDescent="0.15">
      <c r="A2743" s="12" t="s">
        <v>6289</v>
      </c>
      <c r="B2743" s="13"/>
      <c r="C2743" t="e">
        <f t="shared" si="0"/>
        <v>#N/A</v>
      </c>
      <c r="D2743" t="b">
        <f t="shared" si="1"/>
        <v>0</v>
      </c>
      <c r="E2743">
        <f t="shared" si="2"/>
        <v>0</v>
      </c>
      <c r="F2743" s="13"/>
    </row>
    <row r="2744" spans="1:6" ht="15.75" customHeight="1" x14ac:dyDescent="0.15">
      <c r="A2744" s="12" t="s">
        <v>6290</v>
      </c>
      <c r="B2744" s="13"/>
      <c r="C2744" t="e">
        <f t="shared" si="0"/>
        <v>#N/A</v>
      </c>
      <c r="D2744" t="b">
        <f t="shared" si="1"/>
        <v>0</v>
      </c>
      <c r="E2744">
        <f t="shared" si="2"/>
        <v>0</v>
      </c>
      <c r="F2744" s="13"/>
    </row>
    <row r="2745" spans="1:6" ht="15.75" customHeight="1" x14ac:dyDescent="0.15">
      <c r="A2745" s="12" t="s">
        <v>6291</v>
      </c>
      <c r="B2745" s="13"/>
      <c r="C2745" t="e">
        <f t="shared" si="0"/>
        <v>#N/A</v>
      </c>
      <c r="D2745" t="b">
        <f t="shared" si="1"/>
        <v>0</v>
      </c>
      <c r="E2745">
        <f t="shared" si="2"/>
        <v>0</v>
      </c>
      <c r="F2745" s="13"/>
    </row>
    <row r="2746" spans="1:6" ht="15.75" customHeight="1" x14ac:dyDescent="0.15">
      <c r="A2746" s="12" t="s">
        <v>6292</v>
      </c>
      <c r="B2746" s="13"/>
      <c r="C2746" t="e">
        <f t="shared" si="0"/>
        <v>#N/A</v>
      </c>
      <c r="D2746" t="b">
        <f t="shared" si="1"/>
        <v>0</v>
      </c>
      <c r="E2746">
        <f t="shared" si="2"/>
        <v>0</v>
      </c>
      <c r="F2746" s="13"/>
    </row>
    <row r="2747" spans="1:6" ht="15.75" customHeight="1" x14ac:dyDescent="0.15">
      <c r="A2747" s="12" t="s">
        <v>6293</v>
      </c>
      <c r="B2747" s="13"/>
      <c r="C2747" t="e">
        <f t="shared" si="0"/>
        <v>#N/A</v>
      </c>
      <c r="D2747" t="b">
        <f t="shared" si="1"/>
        <v>0</v>
      </c>
      <c r="E2747">
        <f t="shared" si="2"/>
        <v>0</v>
      </c>
      <c r="F2747" s="13"/>
    </row>
    <row r="2748" spans="1:6" ht="15.75" customHeight="1" x14ac:dyDescent="0.15">
      <c r="A2748" s="12" t="s">
        <v>6294</v>
      </c>
      <c r="B2748" s="13"/>
      <c r="C2748" t="e">
        <f t="shared" si="0"/>
        <v>#N/A</v>
      </c>
      <c r="D2748" t="b">
        <f t="shared" si="1"/>
        <v>0</v>
      </c>
      <c r="E2748">
        <f t="shared" si="2"/>
        <v>0</v>
      </c>
      <c r="F2748" s="13"/>
    </row>
    <row r="2749" spans="1:6" ht="15.75" customHeight="1" x14ac:dyDescent="0.15">
      <c r="A2749" s="12" t="s">
        <v>6295</v>
      </c>
      <c r="B2749" s="13"/>
      <c r="C2749" t="e">
        <f t="shared" si="0"/>
        <v>#N/A</v>
      </c>
      <c r="D2749" t="b">
        <f t="shared" si="1"/>
        <v>0</v>
      </c>
      <c r="E2749">
        <f t="shared" si="2"/>
        <v>0</v>
      </c>
      <c r="F2749" s="13"/>
    </row>
    <row r="2750" spans="1:6" ht="15.75" customHeight="1" x14ac:dyDescent="0.15">
      <c r="A2750" s="12" t="s">
        <v>6296</v>
      </c>
      <c r="B2750" s="13"/>
      <c r="C2750" t="e">
        <f t="shared" si="0"/>
        <v>#N/A</v>
      </c>
      <c r="D2750" t="b">
        <f t="shared" si="1"/>
        <v>0</v>
      </c>
      <c r="E2750">
        <f t="shared" si="2"/>
        <v>0</v>
      </c>
      <c r="F2750" s="13"/>
    </row>
    <row r="2751" spans="1:6" ht="15.75" customHeight="1" x14ac:dyDescent="0.15">
      <c r="A2751" s="12" t="s">
        <v>6297</v>
      </c>
      <c r="B2751" s="13"/>
      <c r="C2751" t="e">
        <f t="shared" si="0"/>
        <v>#N/A</v>
      </c>
      <c r="D2751" t="b">
        <f t="shared" si="1"/>
        <v>0</v>
      </c>
      <c r="E2751">
        <f t="shared" si="2"/>
        <v>0</v>
      </c>
      <c r="F2751" s="13"/>
    </row>
    <row r="2752" spans="1:6" ht="15.75" customHeight="1" x14ac:dyDescent="0.15">
      <c r="A2752" s="12" t="s">
        <v>6298</v>
      </c>
      <c r="B2752" s="13"/>
      <c r="C2752" t="e">
        <f t="shared" si="0"/>
        <v>#N/A</v>
      </c>
      <c r="D2752" t="b">
        <f t="shared" si="1"/>
        <v>0</v>
      </c>
      <c r="E2752">
        <f t="shared" si="2"/>
        <v>0</v>
      </c>
      <c r="F2752" s="13"/>
    </row>
    <row r="2753" spans="1:6" ht="15.75" customHeight="1" x14ac:dyDescent="0.15">
      <c r="A2753" s="12" t="s">
        <v>6299</v>
      </c>
      <c r="B2753" s="13"/>
      <c r="C2753" t="e">
        <f t="shared" si="0"/>
        <v>#N/A</v>
      </c>
      <c r="D2753" t="b">
        <f t="shared" si="1"/>
        <v>0</v>
      </c>
      <c r="E2753">
        <f t="shared" si="2"/>
        <v>0</v>
      </c>
      <c r="F2753" s="13"/>
    </row>
    <row r="2754" spans="1:6" ht="15.75" customHeight="1" x14ac:dyDescent="0.15">
      <c r="A2754" s="12" t="s">
        <v>6300</v>
      </c>
      <c r="B2754" s="13"/>
      <c r="C2754" t="e">
        <f t="shared" si="0"/>
        <v>#N/A</v>
      </c>
      <c r="D2754" t="b">
        <f t="shared" si="1"/>
        <v>0</v>
      </c>
      <c r="E2754">
        <f t="shared" si="2"/>
        <v>0</v>
      </c>
      <c r="F2754" s="13"/>
    </row>
    <row r="2755" spans="1:6" ht="15.75" customHeight="1" x14ac:dyDescent="0.15">
      <c r="A2755" s="12" t="s">
        <v>6301</v>
      </c>
      <c r="B2755" s="13"/>
      <c r="C2755" t="e">
        <f t="shared" si="0"/>
        <v>#N/A</v>
      </c>
      <c r="D2755" t="b">
        <f t="shared" si="1"/>
        <v>0</v>
      </c>
      <c r="E2755">
        <f t="shared" si="2"/>
        <v>0</v>
      </c>
      <c r="F2755" s="13"/>
    </row>
    <row r="2756" spans="1:6" ht="15.75" customHeight="1" x14ac:dyDescent="0.15">
      <c r="A2756" s="12" t="s">
        <v>6302</v>
      </c>
      <c r="B2756" s="13"/>
      <c r="C2756" t="e">
        <f t="shared" si="0"/>
        <v>#N/A</v>
      </c>
      <c r="D2756" t="b">
        <f t="shared" si="1"/>
        <v>0</v>
      </c>
      <c r="E2756">
        <f t="shared" si="2"/>
        <v>0</v>
      </c>
      <c r="F2756" s="13"/>
    </row>
    <row r="2757" spans="1:6" ht="15.75" customHeight="1" x14ac:dyDescent="0.15">
      <c r="A2757" s="12" t="s">
        <v>6303</v>
      </c>
      <c r="B2757" s="13"/>
      <c r="C2757" t="e">
        <f t="shared" si="0"/>
        <v>#N/A</v>
      </c>
      <c r="D2757" t="b">
        <f t="shared" si="1"/>
        <v>0</v>
      </c>
      <c r="E2757">
        <f t="shared" si="2"/>
        <v>0</v>
      </c>
      <c r="F2757" s="13"/>
    </row>
    <row r="2758" spans="1:6" ht="15.75" customHeight="1" x14ac:dyDescent="0.15">
      <c r="A2758" s="12" t="s">
        <v>6304</v>
      </c>
      <c r="B2758" s="13"/>
      <c r="C2758" t="e">
        <f t="shared" si="0"/>
        <v>#N/A</v>
      </c>
      <c r="D2758" t="b">
        <f t="shared" si="1"/>
        <v>0</v>
      </c>
      <c r="E2758">
        <f t="shared" si="2"/>
        <v>0</v>
      </c>
      <c r="F2758" s="13"/>
    </row>
    <row r="2759" spans="1:6" ht="15.75" customHeight="1" x14ac:dyDescent="0.15">
      <c r="A2759" s="12" t="s">
        <v>6305</v>
      </c>
      <c r="B2759" s="13"/>
      <c r="C2759" t="e">
        <f t="shared" si="0"/>
        <v>#N/A</v>
      </c>
      <c r="D2759" t="b">
        <f t="shared" si="1"/>
        <v>0</v>
      </c>
      <c r="E2759">
        <f t="shared" si="2"/>
        <v>0</v>
      </c>
      <c r="F2759" s="13"/>
    </row>
    <row r="2760" spans="1:6" ht="15.75" customHeight="1" x14ac:dyDescent="0.15">
      <c r="A2760" s="12" t="s">
        <v>6306</v>
      </c>
      <c r="B2760" s="13"/>
      <c r="C2760" t="e">
        <f t="shared" si="0"/>
        <v>#N/A</v>
      </c>
      <c r="D2760" t="b">
        <f t="shared" si="1"/>
        <v>0</v>
      </c>
      <c r="E2760">
        <f t="shared" si="2"/>
        <v>0</v>
      </c>
      <c r="F2760" s="13"/>
    </row>
    <row r="2761" spans="1:6" ht="15.75" customHeight="1" x14ac:dyDescent="0.15">
      <c r="A2761" s="12" t="s">
        <v>6307</v>
      </c>
      <c r="B2761" s="13"/>
      <c r="C2761" t="e">
        <f t="shared" si="0"/>
        <v>#N/A</v>
      </c>
      <c r="D2761" t="b">
        <f t="shared" si="1"/>
        <v>0</v>
      </c>
      <c r="E2761">
        <f t="shared" si="2"/>
        <v>0</v>
      </c>
      <c r="F2761" s="13"/>
    </row>
    <row r="2762" spans="1:6" ht="15.75" customHeight="1" x14ac:dyDescent="0.15">
      <c r="A2762" s="12" t="s">
        <v>6308</v>
      </c>
      <c r="B2762" s="13"/>
      <c r="C2762" t="e">
        <f t="shared" si="0"/>
        <v>#N/A</v>
      </c>
      <c r="D2762" t="b">
        <f t="shared" si="1"/>
        <v>0</v>
      </c>
      <c r="E2762">
        <f t="shared" si="2"/>
        <v>0</v>
      </c>
      <c r="F2762" s="13"/>
    </row>
    <row r="2763" spans="1:6" ht="15.75" customHeight="1" x14ac:dyDescent="0.15">
      <c r="A2763" s="12" t="s">
        <v>6309</v>
      </c>
      <c r="B2763" s="13"/>
      <c r="C2763" t="e">
        <f t="shared" si="0"/>
        <v>#N/A</v>
      </c>
      <c r="D2763" t="b">
        <f t="shared" si="1"/>
        <v>0</v>
      </c>
      <c r="E2763">
        <f t="shared" si="2"/>
        <v>0</v>
      </c>
      <c r="F2763" s="13"/>
    </row>
    <row r="2764" spans="1:6" ht="15.75" customHeight="1" x14ac:dyDescent="0.15">
      <c r="A2764" s="12" t="s">
        <v>6310</v>
      </c>
      <c r="B2764" s="13"/>
      <c r="C2764" t="e">
        <f t="shared" si="0"/>
        <v>#N/A</v>
      </c>
      <c r="D2764" t="b">
        <f t="shared" si="1"/>
        <v>0</v>
      </c>
      <c r="E2764">
        <f t="shared" si="2"/>
        <v>0</v>
      </c>
      <c r="F2764" s="13"/>
    </row>
    <row r="2765" spans="1:6" ht="15.75" customHeight="1" x14ac:dyDescent="0.15">
      <c r="A2765" s="12" t="s">
        <v>6311</v>
      </c>
      <c r="B2765" s="13"/>
      <c r="C2765" t="e">
        <f t="shared" si="0"/>
        <v>#N/A</v>
      </c>
      <c r="D2765" t="b">
        <f t="shared" si="1"/>
        <v>0</v>
      </c>
      <c r="E2765">
        <f t="shared" si="2"/>
        <v>0</v>
      </c>
      <c r="F2765" s="13"/>
    </row>
    <row r="2766" spans="1:6" ht="15.75" customHeight="1" x14ac:dyDescent="0.15">
      <c r="A2766" s="12" t="s">
        <v>6312</v>
      </c>
      <c r="B2766" s="13"/>
      <c r="C2766" t="e">
        <f t="shared" si="0"/>
        <v>#N/A</v>
      </c>
      <c r="D2766" t="b">
        <f t="shared" si="1"/>
        <v>0</v>
      </c>
      <c r="E2766">
        <f t="shared" si="2"/>
        <v>0</v>
      </c>
      <c r="F2766" s="13"/>
    </row>
    <row r="2767" spans="1:6" ht="15.75" customHeight="1" x14ac:dyDescent="0.15">
      <c r="A2767" s="12" t="s">
        <v>6313</v>
      </c>
      <c r="B2767" s="13"/>
      <c r="C2767" t="e">
        <f t="shared" si="0"/>
        <v>#N/A</v>
      </c>
      <c r="D2767" t="b">
        <f t="shared" si="1"/>
        <v>0</v>
      </c>
      <c r="E2767">
        <f t="shared" si="2"/>
        <v>0</v>
      </c>
      <c r="F2767" s="13"/>
    </row>
    <row r="2768" spans="1:6" ht="15.75" customHeight="1" x14ac:dyDescent="0.15">
      <c r="A2768" s="12" t="s">
        <v>6314</v>
      </c>
      <c r="B2768" s="13"/>
      <c r="C2768" t="e">
        <f t="shared" si="0"/>
        <v>#N/A</v>
      </c>
      <c r="D2768" t="b">
        <f t="shared" si="1"/>
        <v>0</v>
      </c>
      <c r="E2768">
        <f t="shared" si="2"/>
        <v>0</v>
      </c>
      <c r="F2768" s="13"/>
    </row>
    <row r="2769" spans="1:6" ht="15.75" customHeight="1" x14ac:dyDescent="0.15">
      <c r="A2769" s="12" t="s">
        <v>6315</v>
      </c>
      <c r="B2769" s="13"/>
      <c r="C2769" t="e">
        <f t="shared" si="0"/>
        <v>#N/A</v>
      </c>
      <c r="D2769" t="b">
        <f t="shared" si="1"/>
        <v>0</v>
      </c>
      <c r="E2769">
        <f t="shared" si="2"/>
        <v>0</v>
      </c>
      <c r="F2769" s="13"/>
    </row>
    <row r="2770" spans="1:6" ht="15.75" customHeight="1" x14ac:dyDescent="0.15">
      <c r="A2770" s="12" t="s">
        <v>6316</v>
      </c>
      <c r="B2770" s="13"/>
      <c r="C2770" t="e">
        <f t="shared" si="0"/>
        <v>#N/A</v>
      </c>
      <c r="D2770" t="b">
        <f t="shared" si="1"/>
        <v>0</v>
      </c>
      <c r="E2770">
        <f t="shared" si="2"/>
        <v>0</v>
      </c>
      <c r="F2770" s="13"/>
    </row>
    <row r="2771" spans="1:6" ht="15.75" customHeight="1" x14ac:dyDescent="0.15">
      <c r="A2771" s="12" t="s">
        <v>6317</v>
      </c>
      <c r="B2771" s="13"/>
      <c r="C2771" t="e">
        <f t="shared" si="0"/>
        <v>#N/A</v>
      </c>
      <c r="D2771" t="b">
        <f t="shared" si="1"/>
        <v>0</v>
      </c>
      <c r="E2771">
        <f t="shared" si="2"/>
        <v>0</v>
      </c>
      <c r="F2771" s="13"/>
    </row>
    <row r="2772" spans="1:6" ht="15.75" customHeight="1" x14ac:dyDescent="0.15">
      <c r="A2772" s="12" t="s">
        <v>6318</v>
      </c>
      <c r="B2772" s="13"/>
      <c r="C2772" t="e">
        <f t="shared" si="0"/>
        <v>#N/A</v>
      </c>
      <c r="D2772" t="b">
        <f t="shared" si="1"/>
        <v>0</v>
      </c>
      <c r="E2772">
        <f t="shared" si="2"/>
        <v>0</v>
      </c>
      <c r="F2772" s="13"/>
    </row>
    <row r="2773" spans="1:6" ht="15.75" customHeight="1" x14ac:dyDescent="0.15">
      <c r="A2773" s="12" t="s">
        <v>6319</v>
      </c>
      <c r="B2773" s="13"/>
      <c r="C2773" t="e">
        <f t="shared" si="0"/>
        <v>#N/A</v>
      </c>
      <c r="D2773" t="b">
        <f t="shared" si="1"/>
        <v>0</v>
      </c>
      <c r="E2773">
        <f t="shared" si="2"/>
        <v>0</v>
      </c>
      <c r="F2773" s="13"/>
    </row>
    <row r="2774" spans="1:6" ht="15.75" customHeight="1" x14ac:dyDescent="0.15">
      <c r="A2774" s="12" t="s">
        <v>6320</v>
      </c>
      <c r="B2774" s="13"/>
      <c r="C2774" t="e">
        <f t="shared" si="0"/>
        <v>#N/A</v>
      </c>
      <c r="D2774" t="b">
        <f t="shared" si="1"/>
        <v>0</v>
      </c>
      <c r="E2774">
        <f t="shared" si="2"/>
        <v>0</v>
      </c>
      <c r="F2774" s="13"/>
    </row>
    <row r="2775" spans="1:6" ht="15.75" customHeight="1" x14ac:dyDescent="0.15">
      <c r="A2775" s="12" t="s">
        <v>6321</v>
      </c>
      <c r="B2775" s="13"/>
      <c r="C2775" t="e">
        <f t="shared" si="0"/>
        <v>#N/A</v>
      </c>
      <c r="D2775" t="b">
        <f t="shared" si="1"/>
        <v>0</v>
      </c>
      <c r="E2775">
        <f t="shared" si="2"/>
        <v>0</v>
      </c>
      <c r="F2775" s="13"/>
    </row>
    <row r="2776" spans="1:6" ht="15.75" customHeight="1" x14ac:dyDescent="0.15">
      <c r="A2776" s="12" t="s">
        <v>6322</v>
      </c>
      <c r="B2776" s="13"/>
      <c r="C2776" t="e">
        <f t="shared" si="0"/>
        <v>#N/A</v>
      </c>
      <c r="D2776" t="b">
        <f t="shared" si="1"/>
        <v>0</v>
      </c>
      <c r="E2776">
        <f t="shared" si="2"/>
        <v>0</v>
      </c>
      <c r="F2776" s="13"/>
    </row>
    <row r="2777" spans="1:6" ht="15.75" customHeight="1" x14ac:dyDescent="0.15">
      <c r="A2777" s="12" t="s">
        <v>6323</v>
      </c>
      <c r="B2777" s="13"/>
      <c r="C2777" t="e">
        <f t="shared" si="0"/>
        <v>#N/A</v>
      </c>
      <c r="D2777" t="b">
        <f t="shared" si="1"/>
        <v>0</v>
      </c>
      <c r="E2777">
        <f t="shared" si="2"/>
        <v>0</v>
      </c>
      <c r="F2777" s="13"/>
    </row>
    <row r="2778" spans="1:6" ht="15.75" customHeight="1" x14ac:dyDescent="0.15">
      <c r="A2778" s="12" t="s">
        <v>6324</v>
      </c>
      <c r="B2778" s="13"/>
      <c r="C2778" t="e">
        <f t="shared" si="0"/>
        <v>#N/A</v>
      </c>
      <c r="D2778" t="b">
        <f t="shared" si="1"/>
        <v>0</v>
      </c>
      <c r="E2778">
        <f t="shared" si="2"/>
        <v>0</v>
      </c>
      <c r="F2778" s="13"/>
    </row>
    <row r="2779" spans="1:6" ht="15.75" customHeight="1" x14ac:dyDescent="0.15">
      <c r="A2779" s="12" t="s">
        <v>6325</v>
      </c>
      <c r="B2779" s="13"/>
      <c r="C2779" t="e">
        <f t="shared" si="0"/>
        <v>#N/A</v>
      </c>
      <c r="D2779" t="b">
        <f t="shared" si="1"/>
        <v>0</v>
      </c>
      <c r="E2779">
        <f t="shared" si="2"/>
        <v>0</v>
      </c>
      <c r="F2779" s="13"/>
    </row>
    <row r="2780" spans="1:6" ht="15.75" customHeight="1" x14ac:dyDescent="0.15">
      <c r="A2780" s="12" t="s">
        <v>6326</v>
      </c>
      <c r="B2780" s="13"/>
      <c r="C2780" t="e">
        <f t="shared" si="0"/>
        <v>#N/A</v>
      </c>
      <c r="D2780" t="b">
        <f t="shared" si="1"/>
        <v>0</v>
      </c>
      <c r="E2780">
        <f t="shared" si="2"/>
        <v>0</v>
      </c>
      <c r="F2780" s="13"/>
    </row>
    <row r="2781" spans="1:6" ht="15.75" customHeight="1" x14ac:dyDescent="0.15">
      <c r="A2781" s="12" t="s">
        <v>6327</v>
      </c>
      <c r="B2781" s="13"/>
      <c r="C2781" t="e">
        <f t="shared" si="0"/>
        <v>#N/A</v>
      </c>
      <c r="D2781" t="b">
        <f t="shared" si="1"/>
        <v>0</v>
      </c>
      <c r="E2781">
        <f t="shared" si="2"/>
        <v>0</v>
      </c>
      <c r="F2781" s="13"/>
    </row>
    <row r="2782" spans="1:6" ht="15.75" customHeight="1" x14ac:dyDescent="0.15">
      <c r="A2782" s="12" t="s">
        <v>6328</v>
      </c>
      <c r="B2782" s="13"/>
      <c r="C2782" t="e">
        <f t="shared" si="0"/>
        <v>#N/A</v>
      </c>
      <c r="D2782" t="b">
        <f t="shared" si="1"/>
        <v>0</v>
      </c>
      <c r="E2782">
        <f t="shared" si="2"/>
        <v>0</v>
      </c>
      <c r="F2782" s="13"/>
    </row>
    <row r="2783" spans="1:6" ht="15.75" customHeight="1" x14ac:dyDescent="0.15">
      <c r="A2783" s="12" t="s">
        <v>6329</v>
      </c>
      <c r="B2783" s="13"/>
      <c r="C2783" t="e">
        <f t="shared" si="0"/>
        <v>#N/A</v>
      </c>
      <c r="D2783" t="b">
        <f t="shared" si="1"/>
        <v>0</v>
      </c>
      <c r="E2783">
        <f t="shared" si="2"/>
        <v>0</v>
      </c>
      <c r="F2783" s="13"/>
    </row>
    <row r="2784" spans="1:6" ht="15.75" customHeight="1" x14ac:dyDescent="0.15">
      <c r="A2784" s="12" t="s">
        <v>6330</v>
      </c>
      <c r="B2784" s="13"/>
      <c r="C2784" t="e">
        <f t="shared" si="0"/>
        <v>#N/A</v>
      </c>
      <c r="D2784" t="b">
        <f t="shared" si="1"/>
        <v>0</v>
      </c>
      <c r="E2784">
        <f t="shared" si="2"/>
        <v>0</v>
      </c>
      <c r="F2784" s="13"/>
    </row>
    <row r="2785" spans="1:6" ht="15.75" customHeight="1" x14ac:dyDescent="0.15">
      <c r="A2785" s="12" t="s">
        <v>6331</v>
      </c>
      <c r="B2785" s="13"/>
      <c r="C2785" t="e">
        <f t="shared" si="0"/>
        <v>#N/A</v>
      </c>
      <c r="D2785" t="b">
        <f t="shared" si="1"/>
        <v>0</v>
      </c>
      <c r="E2785">
        <f t="shared" si="2"/>
        <v>0</v>
      </c>
      <c r="F2785" s="13"/>
    </row>
    <row r="2786" spans="1:6" ht="15.75" customHeight="1" x14ac:dyDescent="0.15">
      <c r="A2786" s="12" t="s">
        <v>6332</v>
      </c>
      <c r="B2786" s="13"/>
      <c r="C2786" t="e">
        <f t="shared" si="0"/>
        <v>#N/A</v>
      </c>
      <c r="D2786" t="b">
        <f t="shared" si="1"/>
        <v>0</v>
      </c>
      <c r="E2786">
        <f t="shared" si="2"/>
        <v>0</v>
      </c>
      <c r="F2786" s="13"/>
    </row>
    <row r="2787" spans="1:6" ht="15.75" customHeight="1" x14ac:dyDescent="0.15">
      <c r="A2787" s="12" t="s">
        <v>6333</v>
      </c>
      <c r="B2787" s="13"/>
      <c r="C2787" t="e">
        <f t="shared" si="0"/>
        <v>#N/A</v>
      </c>
      <c r="D2787" t="b">
        <f t="shared" si="1"/>
        <v>0</v>
      </c>
      <c r="E2787">
        <f t="shared" si="2"/>
        <v>0</v>
      </c>
      <c r="F2787" s="13"/>
    </row>
    <row r="2788" spans="1:6" ht="15.75" customHeight="1" x14ac:dyDescent="0.15">
      <c r="A2788" s="12" t="s">
        <v>6333</v>
      </c>
      <c r="B2788" s="13"/>
      <c r="C2788" t="e">
        <f t="shared" si="0"/>
        <v>#N/A</v>
      </c>
      <c r="D2788" t="b">
        <f t="shared" si="1"/>
        <v>0</v>
      </c>
      <c r="E2788">
        <f t="shared" si="2"/>
        <v>0</v>
      </c>
      <c r="F2788" s="13"/>
    </row>
    <row r="2789" spans="1:6" ht="15.75" customHeight="1" x14ac:dyDescent="0.15">
      <c r="A2789" s="12" t="s">
        <v>6333</v>
      </c>
      <c r="B2789" s="13"/>
      <c r="C2789" t="e">
        <f t="shared" si="0"/>
        <v>#N/A</v>
      </c>
      <c r="D2789" t="b">
        <f t="shared" si="1"/>
        <v>0</v>
      </c>
      <c r="E2789">
        <f t="shared" si="2"/>
        <v>0</v>
      </c>
      <c r="F2789" s="13"/>
    </row>
    <row r="2790" spans="1:6" ht="15.75" customHeight="1" x14ac:dyDescent="0.15">
      <c r="A2790" s="12" t="s">
        <v>6334</v>
      </c>
      <c r="B2790" s="13"/>
      <c r="C2790" t="e">
        <f t="shared" si="0"/>
        <v>#N/A</v>
      </c>
      <c r="D2790" t="b">
        <f t="shared" si="1"/>
        <v>0</v>
      </c>
      <c r="E2790">
        <f t="shared" si="2"/>
        <v>0</v>
      </c>
      <c r="F2790" s="13"/>
    </row>
    <row r="2791" spans="1:6" ht="15.75" customHeight="1" x14ac:dyDescent="0.15">
      <c r="A2791" s="12" t="s">
        <v>6335</v>
      </c>
      <c r="B2791" s="13"/>
      <c r="C2791" t="e">
        <f t="shared" si="0"/>
        <v>#N/A</v>
      </c>
      <c r="D2791" t="b">
        <f t="shared" si="1"/>
        <v>0</v>
      </c>
      <c r="E2791">
        <f t="shared" si="2"/>
        <v>0</v>
      </c>
      <c r="F2791" s="13"/>
    </row>
    <row r="2792" spans="1:6" ht="15.75" customHeight="1" x14ac:dyDescent="0.15">
      <c r="A2792" s="12" t="s">
        <v>6336</v>
      </c>
      <c r="B2792" s="13"/>
      <c r="C2792" t="e">
        <f t="shared" si="0"/>
        <v>#N/A</v>
      </c>
      <c r="D2792" t="b">
        <f t="shared" si="1"/>
        <v>0</v>
      </c>
      <c r="E2792">
        <f t="shared" si="2"/>
        <v>0</v>
      </c>
      <c r="F2792" s="13"/>
    </row>
    <row r="2793" spans="1:6" ht="15.75" customHeight="1" x14ac:dyDescent="0.15">
      <c r="A2793" s="12" t="s">
        <v>6337</v>
      </c>
      <c r="B2793" s="13"/>
      <c r="C2793" t="e">
        <f t="shared" si="0"/>
        <v>#N/A</v>
      </c>
      <c r="D2793" t="b">
        <f t="shared" si="1"/>
        <v>0</v>
      </c>
      <c r="E2793">
        <f t="shared" si="2"/>
        <v>0</v>
      </c>
      <c r="F2793" s="13"/>
    </row>
    <row r="2794" spans="1:6" ht="15.75" customHeight="1" x14ac:dyDescent="0.15">
      <c r="A2794" s="12" t="s">
        <v>6338</v>
      </c>
      <c r="B2794" s="13"/>
      <c r="C2794" t="e">
        <f t="shared" si="0"/>
        <v>#N/A</v>
      </c>
      <c r="D2794" t="b">
        <f t="shared" si="1"/>
        <v>0</v>
      </c>
      <c r="E2794">
        <f t="shared" si="2"/>
        <v>0</v>
      </c>
      <c r="F2794" s="13"/>
    </row>
    <row r="2795" spans="1:6" ht="15.75" customHeight="1" x14ac:dyDescent="0.15">
      <c r="A2795" s="12" t="s">
        <v>6339</v>
      </c>
      <c r="B2795" s="13"/>
      <c r="C2795" t="e">
        <f t="shared" si="0"/>
        <v>#N/A</v>
      </c>
      <c r="D2795" t="b">
        <f t="shared" si="1"/>
        <v>0</v>
      </c>
      <c r="E2795">
        <f t="shared" si="2"/>
        <v>0</v>
      </c>
      <c r="F2795" s="13"/>
    </row>
    <row r="2796" spans="1:6" ht="15.75" customHeight="1" x14ac:dyDescent="0.15">
      <c r="A2796" s="12" t="s">
        <v>6340</v>
      </c>
      <c r="B2796" s="13"/>
      <c r="C2796" t="e">
        <f t="shared" si="0"/>
        <v>#N/A</v>
      </c>
      <c r="D2796" t="b">
        <f t="shared" si="1"/>
        <v>0</v>
      </c>
      <c r="E2796">
        <f t="shared" si="2"/>
        <v>0</v>
      </c>
      <c r="F2796" s="13"/>
    </row>
    <row r="2797" spans="1:6" ht="15.75" customHeight="1" x14ac:dyDescent="0.15">
      <c r="A2797" s="12" t="s">
        <v>6341</v>
      </c>
      <c r="B2797" s="13"/>
      <c r="C2797" t="e">
        <f t="shared" si="0"/>
        <v>#N/A</v>
      </c>
      <c r="D2797" t="b">
        <f t="shared" si="1"/>
        <v>0</v>
      </c>
      <c r="E2797">
        <f t="shared" si="2"/>
        <v>0</v>
      </c>
      <c r="F2797" s="13"/>
    </row>
    <row r="2798" spans="1:6" ht="15.75" customHeight="1" x14ac:dyDescent="0.15">
      <c r="A2798" s="12" t="s">
        <v>6342</v>
      </c>
      <c r="B2798" s="13"/>
      <c r="C2798" t="e">
        <f t="shared" si="0"/>
        <v>#N/A</v>
      </c>
      <c r="D2798" t="b">
        <f t="shared" si="1"/>
        <v>0</v>
      </c>
      <c r="E2798">
        <f t="shared" si="2"/>
        <v>0</v>
      </c>
      <c r="F2798" s="13"/>
    </row>
    <row r="2799" spans="1:6" ht="15.75" customHeight="1" x14ac:dyDescent="0.15">
      <c r="A2799" s="12" t="s">
        <v>6343</v>
      </c>
      <c r="B2799" s="13"/>
      <c r="C2799" t="e">
        <f t="shared" si="0"/>
        <v>#N/A</v>
      </c>
      <c r="D2799" t="b">
        <f t="shared" si="1"/>
        <v>0</v>
      </c>
      <c r="E2799">
        <f t="shared" si="2"/>
        <v>0</v>
      </c>
      <c r="F2799" s="13"/>
    </row>
    <row r="2800" spans="1:6" ht="15.75" customHeight="1" x14ac:dyDescent="0.15">
      <c r="A2800" s="12" t="s">
        <v>6344</v>
      </c>
      <c r="B2800" s="13"/>
      <c r="C2800" t="e">
        <f t="shared" si="0"/>
        <v>#N/A</v>
      </c>
      <c r="D2800" t="b">
        <f t="shared" si="1"/>
        <v>0</v>
      </c>
      <c r="E2800">
        <f t="shared" si="2"/>
        <v>0</v>
      </c>
      <c r="F2800" s="13"/>
    </row>
    <row r="2801" spans="1:6" ht="15.75" customHeight="1" x14ac:dyDescent="0.15">
      <c r="A2801" s="12" t="s">
        <v>6345</v>
      </c>
      <c r="B2801" s="13"/>
      <c r="C2801" t="e">
        <f t="shared" si="0"/>
        <v>#N/A</v>
      </c>
      <c r="D2801" t="b">
        <f t="shared" si="1"/>
        <v>0</v>
      </c>
      <c r="E2801">
        <f t="shared" si="2"/>
        <v>0</v>
      </c>
      <c r="F2801" s="13"/>
    </row>
    <row r="2802" spans="1:6" ht="15.75" customHeight="1" x14ac:dyDescent="0.15">
      <c r="A2802" s="12" t="s">
        <v>6346</v>
      </c>
      <c r="B2802" s="13"/>
      <c r="C2802" t="e">
        <f t="shared" si="0"/>
        <v>#N/A</v>
      </c>
      <c r="D2802" t="b">
        <f t="shared" si="1"/>
        <v>0</v>
      </c>
      <c r="E2802">
        <f t="shared" si="2"/>
        <v>0</v>
      </c>
      <c r="F2802" s="13"/>
    </row>
    <row r="2803" spans="1:6" ht="15.75" customHeight="1" x14ac:dyDescent="0.15">
      <c r="A2803" s="12" t="s">
        <v>6347</v>
      </c>
      <c r="B2803" s="13"/>
      <c r="C2803" t="e">
        <f t="shared" si="0"/>
        <v>#N/A</v>
      </c>
      <c r="D2803" t="b">
        <f t="shared" si="1"/>
        <v>0</v>
      </c>
      <c r="E2803">
        <f t="shared" si="2"/>
        <v>0</v>
      </c>
      <c r="F2803" s="13"/>
    </row>
    <row r="2804" spans="1:6" ht="15.75" customHeight="1" x14ac:dyDescent="0.15">
      <c r="A2804" s="12" t="s">
        <v>6348</v>
      </c>
      <c r="B2804" s="13"/>
      <c r="C2804" t="e">
        <f t="shared" si="0"/>
        <v>#N/A</v>
      </c>
      <c r="D2804" t="b">
        <f t="shared" si="1"/>
        <v>0</v>
      </c>
      <c r="E2804">
        <f t="shared" si="2"/>
        <v>0</v>
      </c>
      <c r="F2804" s="13"/>
    </row>
    <row r="2805" spans="1:6" ht="15.75" customHeight="1" x14ac:dyDescent="0.15">
      <c r="A2805" s="12" t="s">
        <v>6349</v>
      </c>
      <c r="B2805" s="13"/>
      <c r="C2805" t="e">
        <f t="shared" si="0"/>
        <v>#N/A</v>
      </c>
      <c r="D2805" t="b">
        <f t="shared" si="1"/>
        <v>0</v>
      </c>
      <c r="E2805">
        <f t="shared" si="2"/>
        <v>0</v>
      </c>
      <c r="F2805" s="13"/>
    </row>
    <row r="2806" spans="1:6" ht="15.75" customHeight="1" x14ac:dyDescent="0.15">
      <c r="A2806" s="12" t="s">
        <v>6350</v>
      </c>
      <c r="B2806" s="13"/>
      <c r="C2806" t="e">
        <f t="shared" si="0"/>
        <v>#N/A</v>
      </c>
      <c r="D2806" t="b">
        <f t="shared" si="1"/>
        <v>0</v>
      </c>
      <c r="E2806">
        <f t="shared" si="2"/>
        <v>0</v>
      </c>
      <c r="F2806" s="13"/>
    </row>
    <row r="2807" spans="1:6" ht="15.75" customHeight="1" x14ac:dyDescent="0.15">
      <c r="A2807" s="12" t="s">
        <v>6351</v>
      </c>
      <c r="B2807" s="13"/>
      <c r="C2807" t="e">
        <f t="shared" si="0"/>
        <v>#N/A</v>
      </c>
      <c r="D2807" t="b">
        <f t="shared" si="1"/>
        <v>0</v>
      </c>
      <c r="E2807">
        <f t="shared" si="2"/>
        <v>0</v>
      </c>
      <c r="F2807" s="13"/>
    </row>
    <row r="2808" spans="1:6" ht="15.75" customHeight="1" x14ac:dyDescent="0.15">
      <c r="A2808" s="12" t="s">
        <v>6352</v>
      </c>
      <c r="B2808" s="13"/>
      <c r="C2808" t="e">
        <f t="shared" si="0"/>
        <v>#N/A</v>
      </c>
      <c r="D2808" t="b">
        <f t="shared" si="1"/>
        <v>0</v>
      </c>
      <c r="E2808">
        <f t="shared" si="2"/>
        <v>0</v>
      </c>
      <c r="F2808" s="13"/>
    </row>
    <row r="2809" spans="1:6" ht="15.75" customHeight="1" x14ac:dyDescent="0.15">
      <c r="A2809" s="12" t="s">
        <v>6353</v>
      </c>
      <c r="B2809" s="13"/>
      <c r="C2809" t="e">
        <f t="shared" si="0"/>
        <v>#N/A</v>
      </c>
      <c r="D2809" t="b">
        <f t="shared" si="1"/>
        <v>0</v>
      </c>
      <c r="E2809">
        <f t="shared" si="2"/>
        <v>0</v>
      </c>
      <c r="F2809" s="13"/>
    </row>
    <row r="2810" spans="1:6" ht="15.75" customHeight="1" x14ac:dyDescent="0.15">
      <c r="A2810" s="12" t="s">
        <v>6354</v>
      </c>
      <c r="B2810" s="13"/>
      <c r="C2810" t="e">
        <f t="shared" si="0"/>
        <v>#N/A</v>
      </c>
      <c r="D2810" t="b">
        <f t="shared" si="1"/>
        <v>0</v>
      </c>
      <c r="E2810">
        <f t="shared" si="2"/>
        <v>0</v>
      </c>
      <c r="F2810" s="13"/>
    </row>
    <row r="2811" spans="1:6" ht="15.75" customHeight="1" x14ac:dyDescent="0.15">
      <c r="A2811" s="12" t="s">
        <v>6355</v>
      </c>
      <c r="B2811" s="13"/>
      <c r="C2811" t="e">
        <f t="shared" si="0"/>
        <v>#N/A</v>
      </c>
      <c r="D2811" t="b">
        <f t="shared" si="1"/>
        <v>0</v>
      </c>
      <c r="E2811">
        <f t="shared" si="2"/>
        <v>0</v>
      </c>
      <c r="F2811" s="13"/>
    </row>
    <row r="2812" spans="1:6" ht="15.75" customHeight="1" x14ac:dyDescent="0.15">
      <c r="A2812" s="12" t="s">
        <v>6356</v>
      </c>
      <c r="B2812" s="13"/>
      <c r="C2812" t="e">
        <f t="shared" si="0"/>
        <v>#N/A</v>
      </c>
      <c r="D2812" t="b">
        <f t="shared" si="1"/>
        <v>0</v>
      </c>
      <c r="E2812">
        <f t="shared" si="2"/>
        <v>0</v>
      </c>
      <c r="F2812" s="13"/>
    </row>
    <row r="2813" spans="1:6" ht="15.75" customHeight="1" x14ac:dyDescent="0.15">
      <c r="A2813" s="12" t="s">
        <v>6357</v>
      </c>
      <c r="B2813" s="13"/>
      <c r="C2813" t="e">
        <f t="shared" si="0"/>
        <v>#N/A</v>
      </c>
      <c r="D2813" t="b">
        <f t="shared" si="1"/>
        <v>0</v>
      </c>
      <c r="E2813">
        <f t="shared" si="2"/>
        <v>0</v>
      </c>
      <c r="F2813" s="13"/>
    </row>
    <row r="2814" spans="1:6" ht="15.75" customHeight="1" x14ac:dyDescent="0.15">
      <c r="A2814" s="12" t="s">
        <v>6358</v>
      </c>
      <c r="B2814" s="13"/>
      <c r="C2814" t="e">
        <f t="shared" si="0"/>
        <v>#N/A</v>
      </c>
      <c r="D2814" t="b">
        <f t="shared" si="1"/>
        <v>0</v>
      </c>
      <c r="E2814">
        <f t="shared" si="2"/>
        <v>0</v>
      </c>
      <c r="F2814" s="13"/>
    </row>
    <row r="2815" spans="1:6" ht="15.75" customHeight="1" x14ac:dyDescent="0.15">
      <c r="A2815" s="12" t="s">
        <v>6359</v>
      </c>
      <c r="B2815" s="13"/>
      <c r="C2815" t="e">
        <f t="shared" si="0"/>
        <v>#N/A</v>
      </c>
      <c r="D2815" t="b">
        <f t="shared" si="1"/>
        <v>0</v>
      </c>
      <c r="E2815">
        <f t="shared" si="2"/>
        <v>0</v>
      </c>
      <c r="F2815" s="13"/>
    </row>
    <row r="2816" spans="1:6" ht="15.75" customHeight="1" x14ac:dyDescent="0.15">
      <c r="A2816" s="12" t="s">
        <v>6360</v>
      </c>
      <c r="B2816" s="13"/>
      <c r="C2816" t="e">
        <f t="shared" si="0"/>
        <v>#N/A</v>
      </c>
      <c r="D2816" t="b">
        <f t="shared" si="1"/>
        <v>0</v>
      </c>
      <c r="E2816">
        <f t="shared" si="2"/>
        <v>0</v>
      </c>
      <c r="F2816" s="13"/>
    </row>
    <row r="2817" spans="1:6" ht="15.75" customHeight="1" x14ac:dyDescent="0.15">
      <c r="A2817" s="12" t="s">
        <v>6361</v>
      </c>
      <c r="B2817" s="13"/>
      <c r="C2817" t="e">
        <f t="shared" si="0"/>
        <v>#N/A</v>
      </c>
      <c r="D2817" t="b">
        <f t="shared" si="1"/>
        <v>0</v>
      </c>
      <c r="E2817">
        <f t="shared" si="2"/>
        <v>0</v>
      </c>
      <c r="F2817" s="13"/>
    </row>
    <row r="2818" spans="1:6" ht="15.75" customHeight="1" x14ac:dyDescent="0.15">
      <c r="A2818" s="12" t="s">
        <v>6362</v>
      </c>
      <c r="B2818" s="13"/>
      <c r="C2818" t="e">
        <f t="shared" si="0"/>
        <v>#N/A</v>
      </c>
      <c r="D2818" t="b">
        <f t="shared" si="1"/>
        <v>0</v>
      </c>
      <c r="E2818">
        <f t="shared" si="2"/>
        <v>0</v>
      </c>
      <c r="F2818" s="13"/>
    </row>
    <row r="2819" spans="1:6" ht="15.75" customHeight="1" x14ac:dyDescent="0.15">
      <c r="A2819" s="12" t="s">
        <v>6363</v>
      </c>
      <c r="B2819" s="13"/>
      <c r="C2819" t="e">
        <f t="shared" si="0"/>
        <v>#N/A</v>
      </c>
      <c r="D2819" t="b">
        <f t="shared" si="1"/>
        <v>0</v>
      </c>
      <c r="E2819">
        <f t="shared" si="2"/>
        <v>0</v>
      </c>
      <c r="F2819" s="13"/>
    </row>
    <row r="2820" spans="1:6" ht="15.75" customHeight="1" x14ac:dyDescent="0.15">
      <c r="A2820" s="12" t="s">
        <v>6364</v>
      </c>
      <c r="B2820" s="13"/>
      <c r="C2820" t="e">
        <f t="shared" si="0"/>
        <v>#N/A</v>
      </c>
      <c r="D2820" t="b">
        <f t="shared" si="1"/>
        <v>0</v>
      </c>
      <c r="E2820">
        <f t="shared" si="2"/>
        <v>0</v>
      </c>
      <c r="F2820" s="13"/>
    </row>
    <row r="2821" spans="1:6" ht="15.75" customHeight="1" x14ac:dyDescent="0.15">
      <c r="A2821" s="12" t="s">
        <v>6365</v>
      </c>
      <c r="B2821" s="13"/>
      <c r="C2821" t="e">
        <f t="shared" si="0"/>
        <v>#N/A</v>
      </c>
      <c r="D2821" t="b">
        <f t="shared" si="1"/>
        <v>0</v>
      </c>
      <c r="E2821">
        <f t="shared" si="2"/>
        <v>0</v>
      </c>
      <c r="F2821" s="13"/>
    </row>
    <row r="2822" spans="1:6" ht="15.75" customHeight="1" x14ac:dyDescent="0.15">
      <c r="A2822" s="12" t="s">
        <v>6366</v>
      </c>
      <c r="B2822" s="13"/>
      <c r="C2822" t="e">
        <f t="shared" si="0"/>
        <v>#N/A</v>
      </c>
      <c r="D2822" t="b">
        <f t="shared" si="1"/>
        <v>0</v>
      </c>
      <c r="E2822">
        <f t="shared" si="2"/>
        <v>0</v>
      </c>
      <c r="F2822" s="13"/>
    </row>
    <row r="2823" spans="1:6" ht="15.75" customHeight="1" x14ac:dyDescent="0.15">
      <c r="A2823" s="12" t="s">
        <v>6367</v>
      </c>
      <c r="B2823" s="13"/>
      <c r="C2823" t="e">
        <f t="shared" si="0"/>
        <v>#N/A</v>
      </c>
      <c r="D2823" t="b">
        <f t="shared" si="1"/>
        <v>0</v>
      </c>
      <c r="E2823">
        <f t="shared" si="2"/>
        <v>0</v>
      </c>
      <c r="F2823" s="13"/>
    </row>
    <row r="2824" spans="1:6" ht="15.75" customHeight="1" x14ac:dyDescent="0.15">
      <c r="A2824" s="12" t="s">
        <v>6368</v>
      </c>
      <c r="B2824" s="13"/>
      <c r="C2824" t="e">
        <f t="shared" si="0"/>
        <v>#N/A</v>
      </c>
      <c r="D2824" t="b">
        <f t="shared" si="1"/>
        <v>0</v>
      </c>
      <c r="E2824">
        <f t="shared" si="2"/>
        <v>0</v>
      </c>
      <c r="F2824" s="13"/>
    </row>
    <row r="2825" spans="1:6" ht="15.75" customHeight="1" x14ac:dyDescent="0.15">
      <c r="A2825" s="12" t="s">
        <v>6369</v>
      </c>
      <c r="B2825" s="13"/>
      <c r="C2825" t="e">
        <f t="shared" si="0"/>
        <v>#N/A</v>
      </c>
      <c r="D2825" t="b">
        <f t="shared" si="1"/>
        <v>0</v>
      </c>
      <c r="E2825">
        <f t="shared" si="2"/>
        <v>0</v>
      </c>
      <c r="F2825" s="13"/>
    </row>
    <row r="2826" spans="1:6" ht="15.75" customHeight="1" x14ac:dyDescent="0.15">
      <c r="A2826" s="12" t="s">
        <v>6370</v>
      </c>
      <c r="B2826" s="13"/>
      <c r="C2826" t="e">
        <f t="shared" si="0"/>
        <v>#N/A</v>
      </c>
      <c r="D2826" t="b">
        <f t="shared" si="1"/>
        <v>0</v>
      </c>
      <c r="E2826">
        <f t="shared" si="2"/>
        <v>0</v>
      </c>
      <c r="F2826" s="13"/>
    </row>
    <row r="2827" spans="1:6" ht="15.75" customHeight="1" x14ac:dyDescent="0.15">
      <c r="A2827" s="12" t="s">
        <v>6371</v>
      </c>
      <c r="B2827" s="13"/>
      <c r="C2827" t="e">
        <f t="shared" si="0"/>
        <v>#N/A</v>
      </c>
      <c r="D2827" t="b">
        <f t="shared" si="1"/>
        <v>0</v>
      </c>
      <c r="E2827">
        <f t="shared" si="2"/>
        <v>0</v>
      </c>
      <c r="F2827" s="13"/>
    </row>
    <row r="2828" spans="1:6" ht="15.75" customHeight="1" x14ac:dyDescent="0.15">
      <c r="A2828" s="12" t="s">
        <v>6372</v>
      </c>
      <c r="B2828" s="13"/>
      <c r="C2828" t="e">
        <f t="shared" si="0"/>
        <v>#N/A</v>
      </c>
      <c r="D2828" t="b">
        <f t="shared" si="1"/>
        <v>0</v>
      </c>
      <c r="E2828">
        <f t="shared" si="2"/>
        <v>0</v>
      </c>
      <c r="F2828" s="13"/>
    </row>
    <row r="2829" spans="1:6" ht="15.75" customHeight="1" x14ac:dyDescent="0.15">
      <c r="A2829" s="12" t="s">
        <v>6373</v>
      </c>
      <c r="B2829" s="13"/>
      <c r="C2829" t="e">
        <f t="shared" si="0"/>
        <v>#N/A</v>
      </c>
      <c r="D2829" t="b">
        <f t="shared" si="1"/>
        <v>0</v>
      </c>
      <c r="E2829">
        <f t="shared" si="2"/>
        <v>0</v>
      </c>
      <c r="F2829" s="13"/>
    </row>
    <row r="2830" spans="1:6" ht="15.75" customHeight="1" x14ac:dyDescent="0.15">
      <c r="A2830" s="12" t="s">
        <v>6374</v>
      </c>
      <c r="B2830" s="13"/>
      <c r="C2830" t="e">
        <f t="shared" si="0"/>
        <v>#N/A</v>
      </c>
      <c r="D2830" t="b">
        <f t="shared" si="1"/>
        <v>0</v>
      </c>
      <c r="E2830">
        <f t="shared" si="2"/>
        <v>0</v>
      </c>
      <c r="F2830" s="13"/>
    </row>
    <row r="2831" spans="1:6" ht="15.75" customHeight="1" x14ac:dyDescent="0.15">
      <c r="A2831" s="12" t="s">
        <v>6375</v>
      </c>
      <c r="B2831" s="13"/>
      <c r="C2831" t="e">
        <f t="shared" si="0"/>
        <v>#N/A</v>
      </c>
      <c r="D2831" t="b">
        <f t="shared" si="1"/>
        <v>0</v>
      </c>
      <c r="E2831">
        <f t="shared" si="2"/>
        <v>0</v>
      </c>
      <c r="F2831" s="13"/>
    </row>
    <row r="2832" spans="1:6" ht="15.75" customHeight="1" x14ac:dyDescent="0.15">
      <c r="A2832" s="12" t="s">
        <v>6376</v>
      </c>
      <c r="B2832" s="13"/>
      <c r="C2832" t="e">
        <f t="shared" si="0"/>
        <v>#N/A</v>
      </c>
      <c r="D2832" t="b">
        <f t="shared" si="1"/>
        <v>0</v>
      </c>
      <c r="E2832">
        <f t="shared" si="2"/>
        <v>0</v>
      </c>
      <c r="F2832" s="13"/>
    </row>
    <row r="2833" spans="1:6" ht="15.75" customHeight="1" x14ac:dyDescent="0.15">
      <c r="A2833" s="12" t="s">
        <v>6377</v>
      </c>
      <c r="B2833" s="13"/>
      <c r="C2833" t="e">
        <f t="shared" si="0"/>
        <v>#N/A</v>
      </c>
      <c r="D2833" t="b">
        <f t="shared" si="1"/>
        <v>0</v>
      </c>
      <c r="E2833">
        <f t="shared" si="2"/>
        <v>0</v>
      </c>
      <c r="F2833" s="13"/>
    </row>
    <row r="2834" spans="1:6" ht="15.75" customHeight="1" x14ac:dyDescent="0.15">
      <c r="A2834" s="12" t="s">
        <v>6378</v>
      </c>
      <c r="B2834" s="13"/>
      <c r="C2834" t="e">
        <f t="shared" si="0"/>
        <v>#N/A</v>
      </c>
      <c r="D2834" t="b">
        <f t="shared" si="1"/>
        <v>0</v>
      </c>
      <c r="E2834">
        <f t="shared" si="2"/>
        <v>0</v>
      </c>
      <c r="F2834" s="13"/>
    </row>
    <row r="2835" spans="1:6" ht="15.75" customHeight="1" x14ac:dyDescent="0.15">
      <c r="A2835" s="12" t="s">
        <v>6379</v>
      </c>
      <c r="B2835" s="13"/>
      <c r="C2835" t="e">
        <f t="shared" si="0"/>
        <v>#N/A</v>
      </c>
      <c r="D2835" t="b">
        <f t="shared" si="1"/>
        <v>0</v>
      </c>
      <c r="E2835">
        <f t="shared" si="2"/>
        <v>0</v>
      </c>
      <c r="F2835" s="13"/>
    </row>
    <row r="2836" spans="1:6" ht="15.75" customHeight="1" x14ac:dyDescent="0.15">
      <c r="A2836" s="12" t="s">
        <v>6380</v>
      </c>
      <c r="B2836" s="13"/>
      <c r="C2836" t="e">
        <f t="shared" si="0"/>
        <v>#N/A</v>
      </c>
      <c r="D2836" t="b">
        <f t="shared" si="1"/>
        <v>0</v>
      </c>
      <c r="E2836">
        <f t="shared" si="2"/>
        <v>0</v>
      </c>
      <c r="F2836" s="13"/>
    </row>
    <row r="2837" spans="1:6" ht="15.75" customHeight="1" x14ac:dyDescent="0.15">
      <c r="A2837" s="12" t="s">
        <v>6381</v>
      </c>
      <c r="B2837" s="13"/>
      <c r="C2837" t="e">
        <f t="shared" si="0"/>
        <v>#N/A</v>
      </c>
      <c r="D2837" t="b">
        <f t="shared" si="1"/>
        <v>0</v>
      </c>
      <c r="E2837">
        <f t="shared" si="2"/>
        <v>0</v>
      </c>
      <c r="F2837" s="13"/>
    </row>
    <row r="2838" spans="1:6" ht="15.75" customHeight="1" x14ac:dyDescent="0.15">
      <c r="A2838" s="12" t="s">
        <v>6382</v>
      </c>
      <c r="B2838" s="13"/>
      <c r="C2838" t="e">
        <f t="shared" si="0"/>
        <v>#N/A</v>
      </c>
      <c r="D2838" t="b">
        <f t="shared" si="1"/>
        <v>0</v>
      </c>
      <c r="E2838">
        <f t="shared" si="2"/>
        <v>0</v>
      </c>
      <c r="F2838" s="13"/>
    </row>
    <row r="2839" spans="1:6" ht="15.75" customHeight="1" x14ac:dyDescent="0.15">
      <c r="A2839" s="12" t="s">
        <v>6383</v>
      </c>
      <c r="B2839" s="13"/>
      <c r="C2839" t="e">
        <f t="shared" si="0"/>
        <v>#N/A</v>
      </c>
      <c r="D2839" t="b">
        <f t="shared" si="1"/>
        <v>0</v>
      </c>
      <c r="E2839">
        <f t="shared" si="2"/>
        <v>0</v>
      </c>
      <c r="F2839" s="13"/>
    </row>
    <row r="2840" spans="1:6" ht="15.75" customHeight="1" x14ac:dyDescent="0.15">
      <c r="A2840" s="12" t="s">
        <v>6384</v>
      </c>
      <c r="B2840" s="13"/>
      <c r="C2840" t="e">
        <f t="shared" si="0"/>
        <v>#N/A</v>
      </c>
      <c r="D2840" t="b">
        <f t="shared" si="1"/>
        <v>0</v>
      </c>
      <c r="E2840">
        <f t="shared" si="2"/>
        <v>0</v>
      </c>
      <c r="F2840" s="13"/>
    </row>
    <row r="2841" spans="1:6" ht="15.75" customHeight="1" x14ac:dyDescent="0.15">
      <c r="A2841" s="12" t="s">
        <v>6385</v>
      </c>
      <c r="B2841" s="13"/>
      <c r="C2841" t="e">
        <f t="shared" si="0"/>
        <v>#N/A</v>
      </c>
      <c r="D2841" t="b">
        <f t="shared" si="1"/>
        <v>0</v>
      </c>
      <c r="E2841">
        <f t="shared" si="2"/>
        <v>0</v>
      </c>
      <c r="F2841" s="13"/>
    </row>
    <row r="2842" spans="1:6" ht="15.75" customHeight="1" x14ac:dyDescent="0.15">
      <c r="A2842" s="12" t="s">
        <v>6386</v>
      </c>
      <c r="B2842" s="13"/>
      <c r="C2842" t="e">
        <f t="shared" si="0"/>
        <v>#N/A</v>
      </c>
      <c r="D2842" t="b">
        <f t="shared" si="1"/>
        <v>0</v>
      </c>
      <c r="E2842">
        <f t="shared" si="2"/>
        <v>0</v>
      </c>
      <c r="F2842" s="13"/>
    </row>
    <row r="2843" spans="1:6" ht="15.75" customHeight="1" x14ac:dyDescent="0.15">
      <c r="A2843" s="12" t="s">
        <v>6387</v>
      </c>
      <c r="B2843" s="13"/>
      <c r="C2843" t="e">
        <f t="shared" si="0"/>
        <v>#N/A</v>
      </c>
      <c r="D2843" t="b">
        <f t="shared" si="1"/>
        <v>0</v>
      </c>
      <c r="E2843">
        <f t="shared" si="2"/>
        <v>0</v>
      </c>
      <c r="F2843" s="13"/>
    </row>
    <row r="2844" spans="1:6" ht="15.75" customHeight="1" x14ac:dyDescent="0.15">
      <c r="A2844" s="12" t="s">
        <v>6388</v>
      </c>
      <c r="B2844" s="13"/>
      <c r="C2844" t="e">
        <f t="shared" si="0"/>
        <v>#N/A</v>
      </c>
      <c r="D2844" t="b">
        <f t="shared" si="1"/>
        <v>0</v>
      </c>
      <c r="E2844">
        <f t="shared" si="2"/>
        <v>0</v>
      </c>
      <c r="F2844" s="13"/>
    </row>
    <row r="2845" spans="1:6" ht="15.75" customHeight="1" x14ac:dyDescent="0.15">
      <c r="A2845" s="12" t="s">
        <v>6389</v>
      </c>
      <c r="B2845" s="13"/>
      <c r="C2845" t="e">
        <f t="shared" si="0"/>
        <v>#N/A</v>
      </c>
      <c r="D2845" t="b">
        <f t="shared" si="1"/>
        <v>0</v>
      </c>
      <c r="E2845">
        <f t="shared" si="2"/>
        <v>0</v>
      </c>
      <c r="F2845" s="13"/>
    </row>
    <row r="2846" spans="1:6" ht="15.75" customHeight="1" x14ac:dyDescent="0.15">
      <c r="A2846" s="12" t="s">
        <v>6390</v>
      </c>
      <c r="B2846" s="13"/>
      <c r="C2846" t="e">
        <f t="shared" si="0"/>
        <v>#N/A</v>
      </c>
      <c r="D2846" t="b">
        <f t="shared" si="1"/>
        <v>0</v>
      </c>
      <c r="E2846">
        <f t="shared" si="2"/>
        <v>0</v>
      </c>
      <c r="F2846" s="13"/>
    </row>
    <row r="2847" spans="1:6" ht="15.75" customHeight="1" x14ac:dyDescent="0.15">
      <c r="A2847" s="12" t="s">
        <v>6391</v>
      </c>
      <c r="B2847" s="13"/>
      <c r="C2847" t="e">
        <f t="shared" si="0"/>
        <v>#N/A</v>
      </c>
      <c r="D2847" t="b">
        <f t="shared" si="1"/>
        <v>0</v>
      </c>
      <c r="E2847">
        <f t="shared" si="2"/>
        <v>0</v>
      </c>
      <c r="F2847" s="13"/>
    </row>
    <row r="2848" spans="1:6" ht="15.75" customHeight="1" x14ac:dyDescent="0.15">
      <c r="A2848" s="12" t="s">
        <v>6392</v>
      </c>
      <c r="B2848" s="13"/>
      <c r="C2848" t="e">
        <f t="shared" si="0"/>
        <v>#N/A</v>
      </c>
      <c r="D2848" t="b">
        <f t="shared" si="1"/>
        <v>0</v>
      </c>
      <c r="E2848">
        <f t="shared" si="2"/>
        <v>0</v>
      </c>
      <c r="F2848" s="13"/>
    </row>
    <row r="2849" spans="1:6" ht="15.75" customHeight="1" x14ac:dyDescent="0.15">
      <c r="A2849" s="12" t="s">
        <v>6393</v>
      </c>
      <c r="B2849" s="13"/>
      <c r="C2849" t="e">
        <f t="shared" si="0"/>
        <v>#N/A</v>
      </c>
      <c r="D2849" t="b">
        <f t="shared" si="1"/>
        <v>0</v>
      </c>
      <c r="E2849">
        <f t="shared" si="2"/>
        <v>0</v>
      </c>
      <c r="F2849" s="13"/>
    </row>
    <row r="2850" spans="1:6" ht="15.75" customHeight="1" x14ac:dyDescent="0.15">
      <c r="A2850" s="12" t="s">
        <v>6394</v>
      </c>
      <c r="B2850" s="13"/>
      <c r="C2850" t="e">
        <f t="shared" si="0"/>
        <v>#N/A</v>
      </c>
      <c r="D2850" t="b">
        <f t="shared" si="1"/>
        <v>0</v>
      </c>
      <c r="E2850">
        <f t="shared" si="2"/>
        <v>0</v>
      </c>
      <c r="F2850" s="13"/>
    </row>
    <row r="2851" spans="1:6" ht="15.75" customHeight="1" x14ac:dyDescent="0.15">
      <c r="A2851" s="12" t="s">
        <v>6395</v>
      </c>
      <c r="B2851" s="13"/>
      <c r="C2851" t="e">
        <f t="shared" si="0"/>
        <v>#N/A</v>
      </c>
      <c r="D2851" t="b">
        <f t="shared" si="1"/>
        <v>0</v>
      </c>
      <c r="E2851">
        <f t="shared" si="2"/>
        <v>0</v>
      </c>
      <c r="F2851" s="13"/>
    </row>
    <row r="2852" spans="1:6" ht="15.75" customHeight="1" x14ac:dyDescent="0.15">
      <c r="A2852" s="12" t="s">
        <v>6396</v>
      </c>
      <c r="B2852" s="13"/>
      <c r="C2852" t="e">
        <f t="shared" si="0"/>
        <v>#N/A</v>
      </c>
      <c r="D2852" t="b">
        <f t="shared" si="1"/>
        <v>0</v>
      </c>
      <c r="E2852">
        <f t="shared" si="2"/>
        <v>0</v>
      </c>
      <c r="F2852" s="13"/>
    </row>
    <row r="2853" spans="1:6" ht="15.75" customHeight="1" x14ac:dyDescent="0.15">
      <c r="A2853" s="12" t="s">
        <v>6397</v>
      </c>
      <c r="B2853" s="13"/>
      <c r="C2853" t="e">
        <f t="shared" si="0"/>
        <v>#N/A</v>
      </c>
      <c r="D2853" t="b">
        <f t="shared" si="1"/>
        <v>0</v>
      </c>
      <c r="E2853">
        <f t="shared" si="2"/>
        <v>0</v>
      </c>
      <c r="F2853" s="13"/>
    </row>
    <row r="2854" spans="1:6" ht="15.75" customHeight="1" x14ac:dyDescent="0.15">
      <c r="A2854" s="12" t="s">
        <v>6398</v>
      </c>
      <c r="B2854" s="13"/>
      <c r="C2854" t="e">
        <f t="shared" si="0"/>
        <v>#N/A</v>
      </c>
      <c r="D2854" t="b">
        <f t="shared" si="1"/>
        <v>0</v>
      </c>
      <c r="E2854">
        <f t="shared" si="2"/>
        <v>0</v>
      </c>
      <c r="F2854" s="13"/>
    </row>
    <row r="2855" spans="1:6" ht="15.75" customHeight="1" x14ac:dyDescent="0.15">
      <c r="A2855" s="12" t="s">
        <v>6399</v>
      </c>
      <c r="B2855" s="13"/>
      <c r="C2855" t="e">
        <f t="shared" si="0"/>
        <v>#N/A</v>
      </c>
      <c r="D2855" t="b">
        <f t="shared" si="1"/>
        <v>0</v>
      </c>
      <c r="E2855">
        <f t="shared" si="2"/>
        <v>0</v>
      </c>
      <c r="F2855" s="13"/>
    </row>
    <row r="2856" spans="1:6" ht="15.75" customHeight="1" x14ac:dyDescent="0.15">
      <c r="A2856" s="12" t="s">
        <v>6400</v>
      </c>
      <c r="B2856" s="13"/>
      <c r="C2856" t="e">
        <f t="shared" si="0"/>
        <v>#N/A</v>
      </c>
      <c r="D2856" t="b">
        <f t="shared" si="1"/>
        <v>0</v>
      </c>
      <c r="E2856">
        <f t="shared" si="2"/>
        <v>0</v>
      </c>
      <c r="F2856" s="13"/>
    </row>
    <row r="2857" spans="1:6" ht="15.75" customHeight="1" x14ac:dyDescent="0.15">
      <c r="A2857" s="12" t="s">
        <v>6401</v>
      </c>
      <c r="B2857" s="13"/>
      <c r="C2857" t="e">
        <f t="shared" si="0"/>
        <v>#N/A</v>
      </c>
      <c r="D2857" t="b">
        <f t="shared" si="1"/>
        <v>0</v>
      </c>
      <c r="E2857">
        <f t="shared" si="2"/>
        <v>0</v>
      </c>
      <c r="F2857" s="13"/>
    </row>
    <row r="2858" spans="1:6" ht="15.75" customHeight="1" x14ac:dyDescent="0.15">
      <c r="A2858" s="12" t="s">
        <v>6402</v>
      </c>
      <c r="B2858" s="13"/>
      <c r="C2858" t="e">
        <f t="shared" si="0"/>
        <v>#N/A</v>
      </c>
      <c r="D2858" t="b">
        <f t="shared" si="1"/>
        <v>0</v>
      </c>
      <c r="E2858">
        <f t="shared" si="2"/>
        <v>0</v>
      </c>
      <c r="F2858" s="13"/>
    </row>
    <row r="2859" spans="1:6" ht="15.75" customHeight="1" x14ac:dyDescent="0.15">
      <c r="A2859" s="12" t="s">
        <v>6403</v>
      </c>
      <c r="B2859" s="13"/>
      <c r="C2859" t="e">
        <f t="shared" si="0"/>
        <v>#N/A</v>
      </c>
      <c r="D2859" t="b">
        <f t="shared" si="1"/>
        <v>0</v>
      </c>
      <c r="E2859">
        <f t="shared" si="2"/>
        <v>0</v>
      </c>
      <c r="F2859" s="13"/>
    </row>
    <row r="2860" spans="1:6" ht="15.75" customHeight="1" x14ac:dyDescent="0.15">
      <c r="A2860" s="12" t="s">
        <v>6404</v>
      </c>
      <c r="B2860" s="13"/>
      <c r="C2860" t="e">
        <f t="shared" si="0"/>
        <v>#N/A</v>
      </c>
      <c r="D2860" t="b">
        <f t="shared" si="1"/>
        <v>0</v>
      </c>
      <c r="E2860">
        <f t="shared" si="2"/>
        <v>0</v>
      </c>
      <c r="F2860" s="13"/>
    </row>
    <row r="2861" spans="1:6" ht="15.75" customHeight="1" x14ac:dyDescent="0.15">
      <c r="A2861" s="12" t="s">
        <v>6405</v>
      </c>
      <c r="B2861" s="13"/>
      <c r="C2861" t="e">
        <f t="shared" si="0"/>
        <v>#N/A</v>
      </c>
      <c r="D2861" t="b">
        <f t="shared" si="1"/>
        <v>0</v>
      </c>
      <c r="E2861">
        <f t="shared" si="2"/>
        <v>0</v>
      </c>
      <c r="F2861" s="13"/>
    </row>
    <row r="2862" spans="1:6" ht="15.75" customHeight="1" x14ac:dyDescent="0.15">
      <c r="A2862" s="12" t="s">
        <v>6406</v>
      </c>
      <c r="B2862" s="13"/>
      <c r="C2862" t="e">
        <f t="shared" si="0"/>
        <v>#N/A</v>
      </c>
      <c r="D2862" t="b">
        <f t="shared" si="1"/>
        <v>0</v>
      </c>
      <c r="E2862">
        <f t="shared" si="2"/>
        <v>0</v>
      </c>
      <c r="F2862" s="13"/>
    </row>
    <row r="2863" spans="1:6" ht="15.75" customHeight="1" x14ac:dyDescent="0.15">
      <c r="A2863" s="12" t="s">
        <v>6407</v>
      </c>
      <c r="B2863" s="13"/>
      <c r="C2863" t="e">
        <f t="shared" si="0"/>
        <v>#N/A</v>
      </c>
      <c r="D2863" t="b">
        <f t="shared" si="1"/>
        <v>0</v>
      </c>
      <c r="E2863">
        <f t="shared" si="2"/>
        <v>0</v>
      </c>
      <c r="F2863" s="13"/>
    </row>
    <row r="2864" spans="1:6" ht="15.75" customHeight="1" x14ac:dyDescent="0.15">
      <c r="A2864" s="12" t="s">
        <v>6408</v>
      </c>
      <c r="B2864" s="13"/>
      <c r="C2864" t="e">
        <f t="shared" si="0"/>
        <v>#N/A</v>
      </c>
      <c r="D2864" t="b">
        <f t="shared" si="1"/>
        <v>0</v>
      </c>
      <c r="E2864">
        <f t="shared" si="2"/>
        <v>0</v>
      </c>
      <c r="F2864" s="13"/>
    </row>
    <row r="2865" spans="1:6" ht="15.75" customHeight="1" x14ac:dyDescent="0.15">
      <c r="A2865" s="12" t="s">
        <v>6409</v>
      </c>
      <c r="B2865" s="13"/>
      <c r="C2865" t="e">
        <f t="shared" si="0"/>
        <v>#N/A</v>
      </c>
      <c r="D2865" t="b">
        <f t="shared" si="1"/>
        <v>0</v>
      </c>
      <c r="E2865">
        <f t="shared" si="2"/>
        <v>0</v>
      </c>
      <c r="F2865" s="13"/>
    </row>
    <row r="2866" spans="1:6" ht="15.75" customHeight="1" x14ac:dyDescent="0.15">
      <c r="A2866" s="12" t="s">
        <v>6410</v>
      </c>
      <c r="B2866" s="13"/>
      <c r="C2866" t="e">
        <f t="shared" si="0"/>
        <v>#N/A</v>
      </c>
      <c r="D2866" t="b">
        <f t="shared" si="1"/>
        <v>0</v>
      </c>
      <c r="E2866">
        <f t="shared" si="2"/>
        <v>0</v>
      </c>
      <c r="F2866" s="13"/>
    </row>
    <row r="2867" spans="1:6" ht="15.75" customHeight="1" x14ac:dyDescent="0.15">
      <c r="A2867" s="12" t="s">
        <v>6411</v>
      </c>
      <c r="B2867" s="13"/>
      <c r="C2867" t="e">
        <f t="shared" si="0"/>
        <v>#N/A</v>
      </c>
      <c r="D2867" t="b">
        <f t="shared" si="1"/>
        <v>0</v>
      </c>
      <c r="E2867">
        <f t="shared" si="2"/>
        <v>0</v>
      </c>
      <c r="F2867" s="13"/>
    </row>
    <row r="2868" spans="1:6" ht="15.75" customHeight="1" x14ac:dyDescent="0.15">
      <c r="A2868" s="12" t="s">
        <v>6412</v>
      </c>
      <c r="B2868" s="13"/>
      <c r="C2868" t="e">
        <f t="shared" si="0"/>
        <v>#N/A</v>
      </c>
      <c r="D2868" t="b">
        <f t="shared" si="1"/>
        <v>0</v>
      </c>
      <c r="E2868">
        <f t="shared" si="2"/>
        <v>0</v>
      </c>
      <c r="F2868" s="13"/>
    </row>
    <row r="2869" spans="1:6" ht="15.75" customHeight="1" x14ac:dyDescent="0.15">
      <c r="A2869" s="12" t="s">
        <v>6413</v>
      </c>
      <c r="B2869" s="13"/>
      <c r="C2869" t="e">
        <f t="shared" si="0"/>
        <v>#N/A</v>
      </c>
      <c r="D2869" t="b">
        <f t="shared" si="1"/>
        <v>0</v>
      </c>
      <c r="E2869">
        <f t="shared" si="2"/>
        <v>0</v>
      </c>
      <c r="F2869" s="13"/>
    </row>
    <row r="2870" spans="1:6" ht="15.75" customHeight="1" x14ac:dyDescent="0.15">
      <c r="A2870" s="12" t="s">
        <v>6414</v>
      </c>
      <c r="B2870" s="13"/>
      <c r="C2870" t="e">
        <f t="shared" si="0"/>
        <v>#N/A</v>
      </c>
      <c r="D2870" t="b">
        <f t="shared" si="1"/>
        <v>0</v>
      </c>
      <c r="E2870">
        <f t="shared" si="2"/>
        <v>0</v>
      </c>
      <c r="F2870" s="13"/>
    </row>
    <row r="2871" spans="1:6" ht="15.75" customHeight="1" x14ac:dyDescent="0.15">
      <c r="A2871" s="12" t="s">
        <v>6415</v>
      </c>
      <c r="B2871" s="13"/>
      <c r="C2871" t="e">
        <f t="shared" si="0"/>
        <v>#N/A</v>
      </c>
      <c r="D2871" t="b">
        <f t="shared" si="1"/>
        <v>0</v>
      </c>
      <c r="E2871">
        <f t="shared" si="2"/>
        <v>0</v>
      </c>
      <c r="F2871" s="13"/>
    </row>
    <row r="2872" spans="1:6" ht="15.75" customHeight="1" x14ac:dyDescent="0.15">
      <c r="A2872" s="12" t="s">
        <v>6416</v>
      </c>
      <c r="B2872" s="13"/>
      <c r="C2872" t="e">
        <f t="shared" si="0"/>
        <v>#N/A</v>
      </c>
      <c r="D2872" t="b">
        <f t="shared" si="1"/>
        <v>0</v>
      </c>
      <c r="E2872">
        <f t="shared" si="2"/>
        <v>0</v>
      </c>
      <c r="F2872" s="13"/>
    </row>
    <row r="2873" spans="1:6" ht="15.75" customHeight="1" x14ac:dyDescent="0.15">
      <c r="A2873" s="12" t="s">
        <v>6417</v>
      </c>
      <c r="B2873" s="13"/>
      <c r="C2873" t="e">
        <f t="shared" si="0"/>
        <v>#N/A</v>
      </c>
      <c r="D2873" t="b">
        <f t="shared" si="1"/>
        <v>0</v>
      </c>
      <c r="E2873">
        <f t="shared" si="2"/>
        <v>0</v>
      </c>
      <c r="F2873" s="13"/>
    </row>
    <row r="2874" spans="1:6" ht="15.75" customHeight="1" x14ac:dyDescent="0.15">
      <c r="A2874" s="12" t="s">
        <v>6418</v>
      </c>
      <c r="B2874" s="13"/>
      <c r="C2874" t="e">
        <f t="shared" si="0"/>
        <v>#N/A</v>
      </c>
      <c r="D2874" t="b">
        <f t="shared" si="1"/>
        <v>0</v>
      </c>
      <c r="E2874">
        <f t="shared" si="2"/>
        <v>0</v>
      </c>
      <c r="F2874" s="13"/>
    </row>
    <row r="2875" spans="1:6" ht="15.75" customHeight="1" x14ac:dyDescent="0.15">
      <c r="A2875" s="12" t="s">
        <v>6419</v>
      </c>
      <c r="B2875" s="13"/>
      <c r="C2875" t="e">
        <f t="shared" si="0"/>
        <v>#N/A</v>
      </c>
      <c r="D2875" t="b">
        <f t="shared" si="1"/>
        <v>0</v>
      </c>
      <c r="E2875">
        <f t="shared" si="2"/>
        <v>0</v>
      </c>
      <c r="F2875" s="13"/>
    </row>
    <row r="2876" spans="1:6" ht="15.75" customHeight="1" x14ac:dyDescent="0.15">
      <c r="A2876" s="12" t="s">
        <v>6420</v>
      </c>
      <c r="B2876" s="13"/>
      <c r="C2876" t="e">
        <f t="shared" si="0"/>
        <v>#N/A</v>
      </c>
      <c r="D2876" t="b">
        <f t="shared" si="1"/>
        <v>0</v>
      </c>
      <c r="E2876">
        <f t="shared" si="2"/>
        <v>0</v>
      </c>
      <c r="F2876" s="13"/>
    </row>
    <row r="2877" spans="1:6" ht="15.75" customHeight="1" x14ac:dyDescent="0.15">
      <c r="A2877" s="12" t="s">
        <v>6421</v>
      </c>
      <c r="B2877" s="13"/>
      <c r="C2877" t="e">
        <f t="shared" si="0"/>
        <v>#N/A</v>
      </c>
      <c r="D2877" t="b">
        <f t="shared" si="1"/>
        <v>0</v>
      </c>
      <c r="E2877">
        <f t="shared" si="2"/>
        <v>0</v>
      </c>
      <c r="F2877" s="13"/>
    </row>
    <row r="2878" spans="1:6" ht="15.75" customHeight="1" x14ac:dyDescent="0.15">
      <c r="A2878" s="12" t="s">
        <v>6422</v>
      </c>
      <c r="B2878" s="13"/>
      <c r="C2878" t="e">
        <f t="shared" si="0"/>
        <v>#N/A</v>
      </c>
      <c r="D2878" t="b">
        <f t="shared" si="1"/>
        <v>0</v>
      </c>
      <c r="E2878">
        <f t="shared" si="2"/>
        <v>0</v>
      </c>
      <c r="F2878" s="13"/>
    </row>
    <row r="2879" spans="1:6" ht="15.75" customHeight="1" x14ac:dyDescent="0.15">
      <c r="A2879" s="12" t="s">
        <v>6423</v>
      </c>
      <c r="B2879" s="13"/>
      <c r="C2879" t="e">
        <f t="shared" si="0"/>
        <v>#N/A</v>
      </c>
      <c r="D2879" t="b">
        <f t="shared" si="1"/>
        <v>0</v>
      </c>
      <c r="E2879">
        <f t="shared" si="2"/>
        <v>0</v>
      </c>
      <c r="F2879" s="13"/>
    </row>
    <row r="2880" spans="1:6" ht="15.75" customHeight="1" x14ac:dyDescent="0.15">
      <c r="A2880" s="12" t="s">
        <v>6424</v>
      </c>
      <c r="B2880" s="13"/>
      <c r="C2880" t="e">
        <f t="shared" si="0"/>
        <v>#N/A</v>
      </c>
      <c r="D2880" t="b">
        <f t="shared" si="1"/>
        <v>0</v>
      </c>
      <c r="E2880">
        <f t="shared" si="2"/>
        <v>0</v>
      </c>
      <c r="F2880" s="13"/>
    </row>
    <row r="2881" spans="1:6" ht="15.75" customHeight="1" x14ac:dyDescent="0.15">
      <c r="A2881" s="12" t="s">
        <v>6424</v>
      </c>
      <c r="B2881" s="13"/>
      <c r="C2881" t="e">
        <f t="shared" si="0"/>
        <v>#N/A</v>
      </c>
      <c r="D2881" t="b">
        <f t="shared" si="1"/>
        <v>0</v>
      </c>
      <c r="E2881">
        <f t="shared" si="2"/>
        <v>0</v>
      </c>
      <c r="F2881" s="13"/>
    </row>
    <row r="2882" spans="1:6" ht="15.75" customHeight="1" x14ac:dyDescent="0.15">
      <c r="A2882" s="12" t="s">
        <v>6425</v>
      </c>
      <c r="B2882" s="13"/>
      <c r="C2882" t="e">
        <f t="shared" si="0"/>
        <v>#N/A</v>
      </c>
      <c r="D2882" t="b">
        <f t="shared" si="1"/>
        <v>0</v>
      </c>
      <c r="E2882">
        <f t="shared" si="2"/>
        <v>0</v>
      </c>
      <c r="F2882" s="13"/>
    </row>
    <row r="2883" spans="1:6" ht="15.75" customHeight="1" x14ac:dyDescent="0.15">
      <c r="A2883" s="12" t="s">
        <v>6426</v>
      </c>
      <c r="B2883" s="13"/>
      <c r="C2883" t="e">
        <f t="shared" si="0"/>
        <v>#N/A</v>
      </c>
      <c r="D2883" t="b">
        <f t="shared" si="1"/>
        <v>0</v>
      </c>
      <c r="E2883">
        <f t="shared" si="2"/>
        <v>0</v>
      </c>
      <c r="F2883" s="13"/>
    </row>
    <row r="2884" spans="1:6" ht="15.75" customHeight="1" x14ac:dyDescent="0.15">
      <c r="A2884" s="12" t="s">
        <v>6427</v>
      </c>
      <c r="B2884" s="13"/>
      <c r="C2884" t="e">
        <f t="shared" si="0"/>
        <v>#N/A</v>
      </c>
      <c r="D2884" t="b">
        <f t="shared" si="1"/>
        <v>0</v>
      </c>
      <c r="E2884">
        <f t="shared" si="2"/>
        <v>0</v>
      </c>
      <c r="F2884" s="13"/>
    </row>
    <row r="2885" spans="1:6" ht="15.75" customHeight="1" x14ac:dyDescent="0.15">
      <c r="A2885" s="12" t="s">
        <v>6428</v>
      </c>
      <c r="B2885" s="13"/>
      <c r="C2885" t="e">
        <f t="shared" si="0"/>
        <v>#N/A</v>
      </c>
      <c r="D2885" t="b">
        <f t="shared" si="1"/>
        <v>0</v>
      </c>
      <c r="E2885">
        <f t="shared" si="2"/>
        <v>0</v>
      </c>
      <c r="F2885" s="13"/>
    </row>
    <row r="2886" spans="1:6" ht="15.75" customHeight="1" x14ac:dyDescent="0.15">
      <c r="A2886" s="12" t="s">
        <v>6429</v>
      </c>
      <c r="B2886" s="13"/>
      <c r="C2886" t="e">
        <f t="shared" si="0"/>
        <v>#N/A</v>
      </c>
      <c r="D2886" t="b">
        <f t="shared" si="1"/>
        <v>0</v>
      </c>
      <c r="E2886">
        <f t="shared" si="2"/>
        <v>0</v>
      </c>
      <c r="F2886" s="13"/>
    </row>
    <row r="2887" spans="1:6" ht="15.75" customHeight="1" x14ac:dyDescent="0.15">
      <c r="A2887" s="12" t="s">
        <v>6430</v>
      </c>
      <c r="B2887" s="13"/>
      <c r="C2887" t="e">
        <f t="shared" si="0"/>
        <v>#N/A</v>
      </c>
      <c r="D2887" t="b">
        <f t="shared" si="1"/>
        <v>0</v>
      </c>
      <c r="E2887">
        <f t="shared" si="2"/>
        <v>0</v>
      </c>
      <c r="F2887" s="13"/>
    </row>
    <row r="2888" spans="1:6" ht="15.75" customHeight="1" x14ac:dyDescent="0.15">
      <c r="A2888" s="12" t="s">
        <v>6431</v>
      </c>
      <c r="B2888" s="13"/>
      <c r="C2888" t="e">
        <f t="shared" si="0"/>
        <v>#N/A</v>
      </c>
      <c r="D2888" t="b">
        <f t="shared" si="1"/>
        <v>0</v>
      </c>
      <c r="E2888">
        <f t="shared" si="2"/>
        <v>0</v>
      </c>
      <c r="F2888" s="13"/>
    </row>
    <row r="2889" spans="1:6" ht="15.75" customHeight="1" x14ac:dyDescent="0.15">
      <c r="A2889" s="12" t="s">
        <v>6432</v>
      </c>
      <c r="B2889" s="13"/>
      <c r="C2889" t="e">
        <f t="shared" si="0"/>
        <v>#N/A</v>
      </c>
      <c r="D2889" t="b">
        <f t="shared" si="1"/>
        <v>0</v>
      </c>
      <c r="E2889">
        <f t="shared" si="2"/>
        <v>0</v>
      </c>
      <c r="F2889" s="13"/>
    </row>
    <row r="2890" spans="1:6" ht="15.75" customHeight="1" x14ac:dyDescent="0.15">
      <c r="A2890" s="12" t="s">
        <v>6433</v>
      </c>
      <c r="B2890" s="13"/>
      <c r="C2890" t="e">
        <f t="shared" si="0"/>
        <v>#N/A</v>
      </c>
      <c r="D2890" t="b">
        <f t="shared" si="1"/>
        <v>0</v>
      </c>
      <c r="E2890">
        <f t="shared" si="2"/>
        <v>0</v>
      </c>
      <c r="F2890" s="13"/>
    </row>
    <row r="2891" spans="1:6" ht="15.75" customHeight="1" x14ac:dyDescent="0.15">
      <c r="A2891" s="12" t="s">
        <v>6434</v>
      </c>
      <c r="B2891" s="13"/>
      <c r="C2891" t="e">
        <f t="shared" si="0"/>
        <v>#N/A</v>
      </c>
      <c r="D2891" t="b">
        <f t="shared" si="1"/>
        <v>0</v>
      </c>
      <c r="E2891">
        <f t="shared" si="2"/>
        <v>0</v>
      </c>
      <c r="F2891" s="13"/>
    </row>
    <row r="2892" spans="1:6" ht="15.75" customHeight="1" x14ac:dyDescent="0.15">
      <c r="A2892" s="12" t="s">
        <v>6435</v>
      </c>
      <c r="B2892" s="13"/>
      <c r="C2892" t="e">
        <f t="shared" si="0"/>
        <v>#N/A</v>
      </c>
      <c r="D2892" t="b">
        <f t="shared" si="1"/>
        <v>0</v>
      </c>
      <c r="E2892">
        <f t="shared" si="2"/>
        <v>0</v>
      </c>
      <c r="F2892" s="13"/>
    </row>
    <row r="2893" spans="1:6" ht="15.75" customHeight="1" x14ac:dyDescent="0.15">
      <c r="A2893" s="12" t="s">
        <v>6436</v>
      </c>
      <c r="B2893" s="13"/>
      <c r="C2893" t="e">
        <f t="shared" si="0"/>
        <v>#N/A</v>
      </c>
      <c r="D2893" t="b">
        <f t="shared" si="1"/>
        <v>0</v>
      </c>
      <c r="E2893">
        <f t="shared" si="2"/>
        <v>0</v>
      </c>
      <c r="F2893" s="13"/>
    </row>
    <row r="2894" spans="1:6" ht="15.75" customHeight="1" x14ac:dyDescent="0.15">
      <c r="A2894" s="12" t="s">
        <v>6437</v>
      </c>
      <c r="B2894" s="13"/>
      <c r="C2894" t="e">
        <f t="shared" si="0"/>
        <v>#N/A</v>
      </c>
      <c r="D2894" t="b">
        <f t="shared" si="1"/>
        <v>0</v>
      </c>
      <c r="E2894">
        <f t="shared" si="2"/>
        <v>0</v>
      </c>
      <c r="F2894" s="13"/>
    </row>
    <row r="2895" spans="1:6" ht="15.75" customHeight="1" x14ac:dyDescent="0.15">
      <c r="A2895" s="12" t="s">
        <v>6438</v>
      </c>
      <c r="B2895" s="13"/>
      <c r="C2895" t="e">
        <f t="shared" si="0"/>
        <v>#N/A</v>
      </c>
      <c r="D2895" t="b">
        <f t="shared" si="1"/>
        <v>0</v>
      </c>
      <c r="E2895">
        <f t="shared" si="2"/>
        <v>0</v>
      </c>
      <c r="F2895" s="13"/>
    </row>
    <row r="2896" spans="1:6" ht="15.75" customHeight="1" x14ac:dyDescent="0.15">
      <c r="A2896" s="12" t="s">
        <v>6439</v>
      </c>
      <c r="B2896" s="13"/>
      <c r="C2896" t="e">
        <f t="shared" si="0"/>
        <v>#N/A</v>
      </c>
      <c r="D2896" t="b">
        <f t="shared" si="1"/>
        <v>0</v>
      </c>
      <c r="E2896">
        <f t="shared" si="2"/>
        <v>0</v>
      </c>
      <c r="F2896" s="13"/>
    </row>
    <row r="2897" spans="1:6" ht="15.75" customHeight="1" x14ac:dyDescent="0.15">
      <c r="A2897" s="12" t="s">
        <v>6440</v>
      </c>
      <c r="B2897" s="13"/>
      <c r="C2897" t="e">
        <f t="shared" si="0"/>
        <v>#N/A</v>
      </c>
      <c r="D2897" t="b">
        <f t="shared" si="1"/>
        <v>0</v>
      </c>
      <c r="E2897">
        <f t="shared" si="2"/>
        <v>0</v>
      </c>
      <c r="F2897" s="13"/>
    </row>
    <row r="2898" spans="1:6" ht="15.75" customHeight="1" x14ac:dyDescent="0.15">
      <c r="A2898" s="12" t="s">
        <v>6441</v>
      </c>
      <c r="B2898" s="13"/>
      <c r="C2898" t="e">
        <f t="shared" si="0"/>
        <v>#N/A</v>
      </c>
      <c r="D2898" t="b">
        <f t="shared" si="1"/>
        <v>0</v>
      </c>
      <c r="E2898">
        <f t="shared" si="2"/>
        <v>0</v>
      </c>
      <c r="F2898" s="13"/>
    </row>
    <row r="2899" spans="1:6" ht="15.75" customHeight="1" x14ac:dyDescent="0.15">
      <c r="A2899" s="12" t="s">
        <v>3585</v>
      </c>
      <c r="B2899" s="13"/>
      <c r="C2899">
        <f t="shared" si="0"/>
        <v>5</v>
      </c>
      <c r="D2899" t="b">
        <f t="shared" si="1"/>
        <v>1</v>
      </c>
      <c r="E2899">
        <f t="shared" si="2"/>
        <v>1</v>
      </c>
      <c r="F2899" s="13"/>
    </row>
    <row r="2900" spans="1:6" ht="15.75" customHeight="1" x14ac:dyDescent="0.15">
      <c r="A2900" s="12" t="s">
        <v>6442</v>
      </c>
      <c r="B2900" s="13"/>
      <c r="C2900" t="e">
        <f t="shared" si="0"/>
        <v>#N/A</v>
      </c>
      <c r="D2900" t="b">
        <f t="shared" si="1"/>
        <v>0</v>
      </c>
      <c r="E2900">
        <f t="shared" si="2"/>
        <v>0</v>
      </c>
      <c r="F2900" s="13"/>
    </row>
    <row r="2901" spans="1:6" ht="15.75" customHeight="1" x14ac:dyDescent="0.15">
      <c r="A2901" s="12" t="s">
        <v>6443</v>
      </c>
      <c r="B2901" s="13"/>
      <c r="C2901" t="e">
        <f t="shared" si="0"/>
        <v>#N/A</v>
      </c>
      <c r="D2901" t="b">
        <f t="shared" si="1"/>
        <v>0</v>
      </c>
      <c r="E2901">
        <f t="shared" si="2"/>
        <v>0</v>
      </c>
      <c r="F2901" s="13"/>
    </row>
    <row r="2902" spans="1:6" ht="15.75" customHeight="1" x14ac:dyDescent="0.15">
      <c r="A2902" s="12" t="s">
        <v>6444</v>
      </c>
      <c r="B2902" s="13"/>
      <c r="C2902" t="e">
        <f t="shared" si="0"/>
        <v>#N/A</v>
      </c>
      <c r="D2902" t="b">
        <f t="shared" si="1"/>
        <v>0</v>
      </c>
      <c r="E2902">
        <f t="shared" si="2"/>
        <v>0</v>
      </c>
      <c r="F2902" s="13"/>
    </row>
    <row r="2903" spans="1:6" ht="15.75" customHeight="1" x14ac:dyDescent="0.15">
      <c r="A2903" s="12" t="s">
        <v>6445</v>
      </c>
      <c r="B2903" s="13"/>
      <c r="C2903" t="e">
        <f t="shared" si="0"/>
        <v>#N/A</v>
      </c>
      <c r="D2903" t="b">
        <f t="shared" si="1"/>
        <v>0</v>
      </c>
      <c r="E2903">
        <f t="shared" si="2"/>
        <v>0</v>
      </c>
      <c r="F2903" s="13"/>
    </row>
    <row r="2904" spans="1:6" ht="15.75" customHeight="1" x14ac:dyDescent="0.15">
      <c r="A2904" s="12" t="s">
        <v>6446</v>
      </c>
      <c r="B2904" s="13"/>
      <c r="C2904" t="e">
        <f t="shared" si="0"/>
        <v>#N/A</v>
      </c>
      <c r="D2904" t="b">
        <f t="shared" si="1"/>
        <v>0</v>
      </c>
      <c r="E2904">
        <f t="shared" si="2"/>
        <v>0</v>
      </c>
      <c r="F2904" s="13"/>
    </row>
    <row r="2905" spans="1:6" ht="15.75" customHeight="1" x14ac:dyDescent="0.15">
      <c r="A2905" s="12" t="s">
        <v>6447</v>
      </c>
      <c r="B2905" s="13"/>
      <c r="C2905" t="e">
        <f t="shared" si="0"/>
        <v>#N/A</v>
      </c>
      <c r="D2905" t="b">
        <f t="shared" si="1"/>
        <v>0</v>
      </c>
      <c r="E2905">
        <f t="shared" si="2"/>
        <v>0</v>
      </c>
      <c r="F2905" s="13"/>
    </row>
    <row r="2906" spans="1:6" ht="15.75" customHeight="1" x14ac:dyDescent="0.15">
      <c r="A2906" s="12" t="s">
        <v>6448</v>
      </c>
      <c r="B2906" s="13"/>
      <c r="C2906" t="e">
        <f t="shared" si="0"/>
        <v>#N/A</v>
      </c>
      <c r="D2906" t="b">
        <f t="shared" si="1"/>
        <v>0</v>
      </c>
      <c r="E2906">
        <f t="shared" si="2"/>
        <v>0</v>
      </c>
      <c r="F2906" s="13"/>
    </row>
    <row r="2907" spans="1:6" ht="15.75" customHeight="1" x14ac:dyDescent="0.15">
      <c r="A2907" s="12" t="s">
        <v>6449</v>
      </c>
      <c r="B2907" s="13"/>
      <c r="C2907" t="e">
        <f t="shared" si="0"/>
        <v>#N/A</v>
      </c>
      <c r="D2907" t="b">
        <f t="shared" si="1"/>
        <v>0</v>
      </c>
      <c r="E2907">
        <f t="shared" si="2"/>
        <v>0</v>
      </c>
      <c r="F2907" s="13"/>
    </row>
    <row r="2908" spans="1:6" ht="15.75" customHeight="1" x14ac:dyDescent="0.15">
      <c r="A2908" s="12" t="s">
        <v>6450</v>
      </c>
      <c r="B2908" s="13"/>
      <c r="C2908" t="e">
        <f t="shared" si="0"/>
        <v>#N/A</v>
      </c>
      <c r="D2908" t="b">
        <f t="shared" si="1"/>
        <v>0</v>
      </c>
      <c r="E2908">
        <f t="shared" si="2"/>
        <v>0</v>
      </c>
      <c r="F2908" s="13"/>
    </row>
    <row r="2909" spans="1:6" ht="15.75" customHeight="1" x14ac:dyDescent="0.15">
      <c r="A2909" s="12" t="s">
        <v>6451</v>
      </c>
      <c r="B2909" s="13"/>
      <c r="C2909" t="e">
        <f t="shared" si="0"/>
        <v>#N/A</v>
      </c>
      <c r="D2909" t="b">
        <f t="shared" si="1"/>
        <v>0</v>
      </c>
      <c r="E2909">
        <f t="shared" si="2"/>
        <v>0</v>
      </c>
      <c r="F2909" s="13"/>
    </row>
    <row r="2910" spans="1:6" ht="15.75" customHeight="1" x14ac:dyDescent="0.15">
      <c r="A2910" s="12" t="s">
        <v>6452</v>
      </c>
      <c r="B2910" s="13"/>
      <c r="C2910" t="e">
        <f t="shared" si="0"/>
        <v>#N/A</v>
      </c>
      <c r="D2910" t="b">
        <f t="shared" si="1"/>
        <v>0</v>
      </c>
      <c r="E2910">
        <f t="shared" si="2"/>
        <v>0</v>
      </c>
      <c r="F2910" s="13"/>
    </row>
    <row r="2911" spans="1:6" ht="15.75" customHeight="1" x14ac:dyDescent="0.15">
      <c r="A2911" s="12" t="s">
        <v>6453</v>
      </c>
      <c r="B2911" s="13"/>
      <c r="C2911" t="e">
        <f t="shared" si="0"/>
        <v>#N/A</v>
      </c>
      <c r="D2911" t="b">
        <f t="shared" si="1"/>
        <v>0</v>
      </c>
      <c r="E2911">
        <f t="shared" si="2"/>
        <v>0</v>
      </c>
      <c r="F2911" s="13"/>
    </row>
    <row r="2912" spans="1:6" ht="15.75" customHeight="1" x14ac:dyDescent="0.15">
      <c r="A2912" s="12" t="s">
        <v>6454</v>
      </c>
      <c r="B2912" s="13"/>
      <c r="C2912" t="e">
        <f t="shared" si="0"/>
        <v>#N/A</v>
      </c>
      <c r="D2912" t="b">
        <f t="shared" si="1"/>
        <v>0</v>
      </c>
      <c r="E2912">
        <f t="shared" si="2"/>
        <v>0</v>
      </c>
      <c r="F2912" s="13"/>
    </row>
    <row r="2913" spans="1:6" ht="15.75" customHeight="1" x14ac:dyDescent="0.15">
      <c r="A2913" s="12" t="s">
        <v>6455</v>
      </c>
      <c r="B2913" s="13"/>
      <c r="C2913" t="e">
        <f t="shared" si="0"/>
        <v>#N/A</v>
      </c>
      <c r="D2913" t="b">
        <f t="shared" si="1"/>
        <v>0</v>
      </c>
      <c r="E2913">
        <f t="shared" si="2"/>
        <v>0</v>
      </c>
      <c r="F2913" s="13"/>
    </row>
    <row r="2914" spans="1:6" ht="15.75" customHeight="1" x14ac:dyDescent="0.15">
      <c r="A2914" s="12" t="s">
        <v>6456</v>
      </c>
      <c r="B2914" s="13"/>
      <c r="C2914" t="e">
        <f t="shared" si="0"/>
        <v>#N/A</v>
      </c>
      <c r="D2914" t="b">
        <f t="shared" si="1"/>
        <v>0</v>
      </c>
      <c r="E2914">
        <f t="shared" si="2"/>
        <v>0</v>
      </c>
      <c r="F2914" s="13"/>
    </row>
    <row r="2915" spans="1:6" ht="15.75" customHeight="1" x14ac:dyDescent="0.15">
      <c r="A2915" s="12" t="s">
        <v>6457</v>
      </c>
      <c r="B2915" s="13"/>
      <c r="C2915" t="e">
        <f t="shared" si="0"/>
        <v>#N/A</v>
      </c>
      <c r="D2915" t="b">
        <f t="shared" si="1"/>
        <v>0</v>
      </c>
      <c r="E2915">
        <f t="shared" si="2"/>
        <v>0</v>
      </c>
      <c r="F2915" s="13"/>
    </row>
    <row r="2916" spans="1:6" ht="15.75" customHeight="1" x14ac:dyDescent="0.15">
      <c r="A2916" s="12" t="s">
        <v>6458</v>
      </c>
      <c r="B2916" s="13"/>
      <c r="C2916" t="e">
        <f t="shared" si="0"/>
        <v>#N/A</v>
      </c>
      <c r="D2916" t="b">
        <f t="shared" si="1"/>
        <v>0</v>
      </c>
      <c r="E2916">
        <f t="shared" si="2"/>
        <v>0</v>
      </c>
      <c r="F2916" s="13"/>
    </row>
    <row r="2917" spans="1:6" ht="15.75" customHeight="1" x14ac:dyDescent="0.15">
      <c r="A2917" s="12" t="s">
        <v>6459</v>
      </c>
      <c r="B2917" s="13"/>
      <c r="C2917" t="e">
        <f t="shared" si="0"/>
        <v>#N/A</v>
      </c>
      <c r="D2917" t="b">
        <f t="shared" si="1"/>
        <v>0</v>
      </c>
      <c r="E2917">
        <f t="shared" si="2"/>
        <v>0</v>
      </c>
      <c r="F2917" s="13"/>
    </row>
    <row r="2918" spans="1:6" ht="15.75" customHeight="1" x14ac:dyDescent="0.15">
      <c r="A2918" s="12" t="s">
        <v>6460</v>
      </c>
      <c r="B2918" s="13"/>
      <c r="C2918" t="e">
        <f t="shared" si="0"/>
        <v>#N/A</v>
      </c>
      <c r="D2918" t="b">
        <f t="shared" si="1"/>
        <v>0</v>
      </c>
      <c r="E2918">
        <f t="shared" si="2"/>
        <v>0</v>
      </c>
      <c r="F2918" s="13"/>
    </row>
    <row r="2919" spans="1:6" ht="15.75" customHeight="1" x14ac:dyDescent="0.15">
      <c r="A2919" s="12" t="s">
        <v>6461</v>
      </c>
      <c r="B2919" s="13"/>
      <c r="C2919" t="e">
        <f t="shared" si="0"/>
        <v>#N/A</v>
      </c>
      <c r="D2919" t="b">
        <f t="shared" si="1"/>
        <v>0</v>
      </c>
      <c r="E2919">
        <f t="shared" si="2"/>
        <v>0</v>
      </c>
      <c r="F2919" s="13"/>
    </row>
    <row r="2920" spans="1:6" ht="15.75" customHeight="1" x14ac:dyDescent="0.15">
      <c r="A2920" s="12" t="s">
        <v>6462</v>
      </c>
      <c r="B2920" s="13"/>
      <c r="C2920" t="e">
        <f t="shared" si="0"/>
        <v>#N/A</v>
      </c>
      <c r="D2920" t="b">
        <f t="shared" si="1"/>
        <v>0</v>
      </c>
      <c r="E2920">
        <f t="shared" si="2"/>
        <v>0</v>
      </c>
      <c r="F2920" s="13"/>
    </row>
    <row r="2921" spans="1:6" ht="15.75" customHeight="1" x14ac:dyDescent="0.15">
      <c r="A2921" s="12" t="s">
        <v>6463</v>
      </c>
      <c r="B2921" s="13"/>
      <c r="C2921" t="e">
        <f t="shared" si="0"/>
        <v>#N/A</v>
      </c>
      <c r="D2921" t="b">
        <f t="shared" si="1"/>
        <v>0</v>
      </c>
      <c r="E2921">
        <f t="shared" si="2"/>
        <v>0</v>
      </c>
      <c r="F2921" s="13"/>
    </row>
    <row r="2922" spans="1:6" ht="15.75" customHeight="1" x14ac:dyDescent="0.15">
      <c r="A2922" s="12" t="s">
        <v>6464</v>
      </c>
      <c r="B2922" s="13"/>
      <c r="C2922" t="e">
        <f t="shared" si="0"/>
        <v>#N/A</v>
      </c>
      <c r="D2922" t="b">
        <f t="shared" si="1"/>
        <v>0</v>
      </c>
      <c r="E2922">
        <f t="shared" si="2"/>
        <v>0</v>
      </c>
      <c r="F2922" s="13"/>
    </row>
    <row r="2923" spans="1:6" ht="15.75" customHeight="1" x14ac:dyDescent="0.15">
      <c r="A2923" s="12" t="s">
        <v>6465</v>
      </c>
      <c r="B2923" s="13"/>
      <c r="C2923" t="e">
        <f t="shared" si="0"/>
        <v>#N/A</v>
      </c>
      <c r="D2923" t="b">
        <f t="shared" si="1"/>
        <v>0</v>
      </c>
      <c r="E2923">
        <f t="shared" si="2"/>
        <v>0</v>
      </c>
      <c r="F2923" s="13"/>
    </row>
    <row r="2924" spans="1:6" ht="15.75" customHeight="1" x14ac:dyDescent="0.15">
      <c r="A2924" s="12" t="s">
        <v>6466</v>
      </c>
      <c r="B2924" s="13"/>
      <c r="C2924" t="e">
        <f t="shared" si="0"/>
        <v>#N/A</v>
      </c>
      <c r="D2924" t="b">
        <f t="shared" si="1"/>
        <v>0</v>
      </c>
      <c r="E2924">
        <f t="shared" si="2"/>
        <v>0</v>
      </c>
      <c r="F2924" s="13"/>
    </row>
    <row r="2925" spans="1:6" ht="15.75" customHeight="1" x14ac:dyDescent="0.15">
      <c r="A2925" s="12" t="s">
        <v>6467</v>
      </c>
      <c r="B2925" s="13"/>
      <c r="C2925" t="e">
        <f t="shared" si="0"/>
        <v>#N/A</v>
      </c>
      <c r="D2925" t="b">
        <f t="shared" si="1"/>
        <v>0</v>
      </c>
      <c r="E2925">
        <f t="shared" si="2"/>
        <v>0</v>
      </c>
      <c r="F2925" s="13"/>
    </row>
    <row r="2926" spans="1:6" ht="15.75" customHeight="1" x14ac:dyDescent="0.15">
      <c r="A2926" s="12" t="s">
        <v>6468</v>
      </c>
      <c r="B2926" s="13"/>
      <c r="C2926" t="e">
        <f t="shared" si="0"/>
        <v>#N/A</v>
      </c>
      <c r="D2926" t="b">
        <f t="shared" si="1"/>
        <v>0</v>
      </c>
      <c r="E2926">
        <f t="shared" si="2"/>
        <v>0</v>
      </c>
      <c r="F2926" s="13"/>
    </row>
    <row r="2927" spans="1:6" ht="15.75" customHeight="1" x14ac:dyDescent="0.15">
      <c r="A2927" s="12" t="s">
        <v>6469</v>
      </c>
      <c r="B2927" s="13"/>
      <c r="C2927" t="e">
        <f t="shared" si="0"/>
        <v>#N/A</v>
      </c>
      <c r="D2927" t="b">
        <f t="shared" si="1"/>
        <v>0</v>
      </c>
      <c r="E2927">
        <f t="shared" si="2"/>
        <v>0</v>
      </c>
      <c r="F2927" s="13"/>
    </row>
    <row r="2928" spans="1:6" ht="15.75" customHeight="1" x14ac:dyDescent="0.15">
      <c r="A2928" s="12" t="s">
        <v>6470</v>
      </c>
      <c r="B2928" s="13"/>
      <c r="C2928" t="e">
        <f t="shared" si="0"/>
        <v>#N/A</v>
      </c>
      <c r="D2928" t="b">
        <f t="shared" si="1"/>
        <v>0</v>
      </c>
      <c r="E2928">
        <f t="shared" si="2"/>
        <v>0</v>
      </c>
      <c r="F2928" s="13"/>
    </row>
    <row r="2929" spans="1:6" ht="15.75" customHeight="1" x14ac:dyDescent="0.15">
      <c r="A2929" s="12" t="s">
        <v>6471</v>
      </c>
      <c r="B2929" s="13"/>
      <c r="C2929" t="e">
        <f t="shared" si="0"/>
        <v>#N/A</v>
      </c>
      <c r="D2929" t="b">
        <f t="shared" si="1"/>
        <v>0</v>
      </c>
      <c r="E2929">
        <f t="shared" si="2"/>
        <v>0</v>
      </c>
      <c r="F2929" s="13"/>
    </row>
    <row r="2930" spans="1:6" ht="15.75" customHeight="1" x14ac:dyDescent="0.15">
      <c r="A2930" s="12" t="s">
        <v>6472</v>
      </c>
      <c r="B2930" s="13"/>
      <c r="C2930" t="e">
        <f t="shared" si="0"/>
        <v>#N/A</v>
      </c>
      <c r="D2930" t="b">
        <f t="shared" si="1"/>
        <v>0</v>
      </c>
      <c r="E2930">
        <f t="shared" si="2"/>
        <v>0</v>
      </c>
      <c r="F2930" s="13"/>
    </row>
    <row r="2931" spans="1:6" ht="15.75" customHeight="1" x14ac:dyDescent="0.15">
      <c r="A2931" s="12" t="s">
        <v>6473</v>
      </c>
      <c r="B2931" s="13"/>
      <c r="C2931" t="e">
        <f t="shared" si="0"/>
        <v>#N/A</v>
      </c>
      <c r="D2931" t="b">
        <f t="shared" si="1"/>
        <v>0</v>
      </c>
      <c r="E2931">
        <f t="shared" si="2"/>
        <v>0</v>
      </c>
      <c r="F2931" s="13"/>
    </row>
    <row r="2932" spans="1:6" ht="15.75" customHeight="1" x14ac:dyDescent="0.15">
      <c r="A2932" s="12" t="s">
        <v>6474</v>
      </c>
      <c r="B2932" s="13"/>
      <c r="C2932" t="e">
        <f t="shared" si="0"/>
        <v>#N/A</v>
      </c>
      <c r="D2932" t="b">
        <f t="shared" si="1"/>
        <v>0</v>
      </c>
      <c r="E2932">
        <f t="shared" si="2"/>
        <v>0</v>
      </c>
      <c r="F2932" s="13"/>
    </row>
    <row r="2933" spans="1:6" ht="15.75" customHeight="1" x14ac:dyDescent="0.15">
      <c r="A2933" s="12" t="s">
        <v>6475</v>
      </c>
      <c r="B2933" s="13"/>
      <c r="C2933" t="e">
        <f t="shared" si="0"/>
        <v>#N/A</v>
      </c>
      <c r="D2933" t="b">
        <f t="shared" si="1"/>
        <v>0</v>
      </c>
      <c r="E2933">
        <f t="shared" si="2"/>
        <v>0</v>
      </c>
      <c r="F2933" s="13"/>
    </row>
    <row r="2934" spans="1:6" ht="15.75" customHeight="1" x14ac:dyDescent="0.15">
      <c r="A2934" s="12" t="s">
        <v>6476</v>
      </c>
      <c r="B2934" s="13"/>
      <c r="C2934" t="e">
        <f t="shared" si="0"/>
        <v>#N/A</v>
      </c>
      <c r="D2934" t="b">
        <f t="shared" si="1"/>
        <v>0</v>
      </c>
      <c r="E2934">
        <f t="shared" si="2"/>
        <v>0</v>
      </c>
      <c r="F2934" s="13"/>
    </row>
    <row r="2935" spans="1:6" ht="15.75" customHeight="1" x14ac:dyDescent="0.15">
      <c r="A2935" s="12" t="s">
        <v>6477</v>
      </c>
      <c r="B2935" s="13"/>
      <c r="C2935" t="e">
        <f t="shared" si="0"/>
        <v>#N/A</v>
      </c>
      <c r="D2935" t="b">
        <f t="shared" si="1"/>
        <v>0</v>
      </c>
      <c r="E2935">
        <f t="shared" si="2"/>
        <v>0</v>
      </c>
      <c r="F2935" s="13"/>
    </row>
    <row r="2936" spans="1:6" ht="15.75" customHeight="1" x14ac:dyDescent="0.15">
      <c r="A2936" s="12" t="s">
        <v>6478</v>
      </c>
      <c r="B2936" s="13"/>
      <c r="C2936" t="e">
        <f t="shared" si="0"/>
        <v>#N/A</v>
      </c>
      <c r="D2936" t="b">
        <f t="shared" si="1"/>
        <v>0</v>
      </c>
      <c r="E2936">
        <f t="shared" si="2"/>
        <v>0</v>
      </c>
      <c r="F2936" s="13"/>
    </row>
    <row r="2937" spans="1:6" ht="15.75" customHeight="1" x14ac:dyDescent="0.15">
      <c r="A2937" s="12" t="s">
        <v>6479</v>
      </c>
      <c r="B2937" s="13"/>
      <c r="C2937" t="e">
        <f t="shared" si="0"/>
        <v>#N/A</v>
      </c>
      <c r="D2937" t="b">
        <f t="shared" si="1"/>
        <v>0</v>
      </c>
      <c r="E2937">
        <f t="shared" si="2"/>
        <v>0</v>
      </c>
      <c r="F2937" s="13"/>
    </row>
    <row r="2938" spans="1:6" ht="15.75" customHeight="1" x14ac:dyDescent="0.15">
      <c r="A2938" s="12" t="s">
        <v>6480</v>
      </c>
      <c r="B2938" s="13"/>
      <c r="C2938" t="e">
        <f t="shared" si="0"/>
        <v>#N/A</v>
      </c>
      <c r="D2938" t="b">
        <f t="shared" si="1"/>
        <v>0</v>
      </c>
      <c r="E2938">
        <f t="shared" si="2"/>
        <v>0</v>
      </c>
      <c r="F2938" s="13"/>
    </row>
    <row r="2939" spans="1:6" ht="15.75" customHeight="1" x14ac:dyDescent="0.15">
      <c r="A2939" s="12" t="s">
        <v>6481</v>
      </c>
      <c r="B2939" s="13"/>
      <c r="C2939" t="e">
        <f t="shared" si="0"/>
        <v>#N/A</v>
      </c>
      <c r="D2939" t="b">
        <f t="shared" si="1"/>
        <v>0</v>
      </c>
      <c r="E2939">
        <f t="shared" si="2"/>
        <v>0</v>
      </c>
      <c r="F2939" s="13"/>
    </row>
    <row r="2940" spans="1:6" ht="15.75" customHeight="1" x14ac:dyDescent="0.15">
      <c r="A2940" s="12" t="s">
        <v>6482</v>
      </c>
      <c r="B2940" s="13"/>
      <c r="C2940" t="e">
        <f t="shared" si="0"/>
        <v>#N/A</v>
      </c>
      <c r="D2940" t="b">
        <f t="shared" si="1"/>
        <v>0</v>
      </c>
      <c r="E2940">
        <f t="shared" si="2"/>
        <v>0</v>
      </c>
      <c r="F2940" s="13"/>
    </row>
    <row r="2941" spans="1:6" ht="15.75" customHeight="1" x14ac:dyDescent="0.15">
      <c r="A2941" s="12" t="s">
        <v>6483</v>
      </c>
      <c r="B2941" s="13"/>
      <c r="C2941" t="e">
        <f t="shared" si="0"/>
        <v>#N/A</v>
      </c>
      <c r="D2941" t="b">
        <f t="shared" si="1"/>
        <v>0</v>
      </c>
      <c r="E2941">
        <f t="shared" si="2"/>
        <v>0</v>
      </c>
      <c r="F2941" s="13"/>
    </row>
    <row r="2942" spans="1:6" ht="15.75" customHeight="1" x14ac:dyDescent="0.15">
      <c r="A2942" s="12" t="s">
        <v>6484</v>
      </c>
      <c r="B2942" s="13"/>
      <c r="C2942" t="e">
        <f t="shared" si="0"/>
        <v>#N/A</v>
      </c>
      <c r="D2942" t="b">
        <f t="shared" si="1"/>
        <v>0</v>
      </c>
      <c r="E2942">
        <f t="shared" si="2"/>
        <v>0</v>
      </c>
      <c r="F2942" s="13"/>
    </row>
    <row r="2943" spans="1:6" ht="15.75" customHeight="1" x14ac:dyDescent="0.15">
      <c r="A2943" s="12" t="s">
        <v>6485</v>
      </c>
      <c r="B2943" s="13"/>
      <c r="C2943" t="e">
        <f t="shared" si="0"/>
        <v>#N/A</v>
      </c>
      <c r="D2943" t="b">
        <f t="shared" si="1"/>
        <v>0</v>
      </c>
      <c r="E2943">
        <f t="shared" si="2"/>
        <v>0</v>
      </c>
      <c r="F2943" s="13"/>
    </row>
    <row r="2944" spans="1:6" ht="15.75" customHeight="1" x14ac:dyDescent="0.15">
      <c r="A2944" s="12" t="s">
        <v>6486</v>
      </c>
      <c r="B2944" s="13"/>
      <c r="C2944" t="e">
        <f t="shared" si="0"/>
        <v>#N/A</v>
      </c>
      <c r="D2944" t="b">
        <f t="shared" si="1"/>
        <v>0</v>
      </c>
      <c r="E2944">
        <f t="shared" si="2"/>
        <v>0</v>
      </c>
      <c r="F2944" s="13"/>
    </row>
    <row r="2945" spans="1:6" ht="15.75" customHeight="1" x14ac:dyDescent="0.15">
      <c r="A2945" s="12" t="s">
        <v>6487</v>
      </c>
      <c r="B2945" s="13"/>
      <c r="C2945" t="e">
        <f t="shared" si="0"/>
        <v>#N/A</v>
      </c>
      <c r="D2945" t="b">
        <f t="shared" si="1"/>
        <v>0</v>
      </c>
      <c r="E2945">
        <f t="shared" si="2"/>
        <v>0</v>
      </c>
      <c r="F2945" s="13"/>
    </row>
    <row r="2946" spans="1:6" ht="15.75" customHeight="1" x14ac:dyDescent="0.15">
      <c r="A2946" s="12" t="s">
        <v>6488</v>
      </c>
      <c r="B2946" s="13"/>
      <c r="C2946" t="e">
        <f t="shared" si="0"/>
        <v>#N/A</v>
      </c>
      <c r="D2946" t="b">
        <f t="shared" si="1"/>
        <v>0</v>
      </c>
      <c r="E2946">
        <f t="shared" si="2"/>
        <v>0</v>
      </c>
      <c r="F2946" s="13"/>
    </row>
    <row r="2947" spans="1:6" ht="15.75" customHeight="1" x14ac:dyDescent="0.15">
      <c r="A2947" s="12" t="s">
        <v>6489</v>
      </c>
      <c r="B2947" s="13"/>
      <c r="C2947" t="e">
        <f t="shared" si="0"/>
        <v>#N/A</v>
      </c>
      <c r="D2947" t="b">
        <f t="shared" si="1"/>
        <v>0</v>
      </c>
      <c r="E2947">
        <f t="shared" si="2"/>
        <v>0</v>
      </c>
      <c r="F2947" s="13"/>
    </row>
    <row r="2948" spans="1:6" ht="15.75" customHeight="1" x14ac:dyDescent="0.15">
      <c r="A2948" s="12" t="s">
        <v>6490</v>
      </c>
      <c r="B2948" s="13"/>
      <c r="C2948" t="e">
        <f t="shared" si="0"/>
        <v>#N/A</v>
      </c>
      <c r="D2948" t="b">
        <f t="shared" si="1"/>
        <v>0</v>
      </c>
      <c r="E2948">
        <f t="shared" si="2"/>
        <v>0</v>
      </c>
      <c r="F2948" s="13"/>
    </row>
    <row r="2949" spans="1:6" ht="15.75" customHeight="1" x14ac:dyDescent="0.15">
      <c r="A2949" s="12" t="s">
        <v>6491</v>
      </c>
      <c r="B2949" s="13"/>
      <c r="C2949" t="e">
        <f t="shared" si="0"/>
        <v>#N/A</v>
      </c>
      <c r="D2949" t="b">
        <f t="shared" si="1"/>
        <v>0</v>
      </c>
      <c r="E2949">
        <f t="shared" si="2"/>
        <v>0</v>
      </c>
      <c r="F2949" s="13"/>
    </row>
    <row r="2950" spans="1:6" ht="15.75" customHeight="1" x14ac:dyDescent="0.15">
      <c r="A2950" s="12" t="s">
        <v>6492</v>
      </c>
      <c r="B2950" s="13"/>
      <c r="C2950" t="e">
        <f t="shared" si="0"/>
        <v>#N/A</v>
      </c>
      <c r="D2950" t="b">
        <f t="shared" si="1"/>
        <v>0</v>
      </c>
      <c r="E2950">
        <f t="shared" si="2"/>
        <v>0</v>
      </c>
      <c r="F2950" s="13"/>
    </row>
    <row r="2951" spans="1:6" ht="15.75" customHeight="1" x14ac:dyDescent="0.15">
      <c r="A2951" s="12" t="s">
        <v>6493</v>
      </c>
      <c r="B2951" s="13"/>
      <c r="C2951" t="e">
        <f t="shared" si="0"/>
        <v>#N/A</v>
      </c>
      <c r="D2951" t="b">
        <f t="shared" si="1"/>
        <v>0</v>
      </c>
      <c r="E2951">
        <f t="shared" si="2"/>
        <v>0</v>
      </c>
      <c r="F2951" s="13"/>
    </row>
    <row r="2952" spans="1:6" ht="15.75" customHeight="1" x14ac:dyDescent="0.15">
      <c r="A2952" s="12" t="s">
        <v>6494</v>
      </c>
      <c r="B2952" s="13"/>
      <c r="C2952" t="e">
        <f t="shared" si="0"/>
        <v>#N/A</v>
      </c>
      <c r="D2952" t="b">
        <f t="shared" si="1"/>
        <v>0</v>
      </c>
      <c r="E2952">
        <f t="shared" si="2"/>
        <v>0</v>
      </c>
      <c r="F2952" s="13"/>
    </row>
    <row r="2953" spans="1:6" ht="15.75" customHeight="1" x14ac:dyDescent="0.15">
      <c r="A2953" s="12" t="s">
        <v>6495</v>
      </c>
      <c r="B2953" s="13"/>
      <c r="C2953" t="e">
        <f t="shared" si="0"/>
        <v>#N/A</v>
      </c>
      <c r="D2953" t="b">
        <f t="shared" si="1"/>
        <v>0</v>
      </c>
      <c r="E2953">
        <f t="shared" si="2"/>
        <v>0</v>
      </c>
      <c r="F2953" s="13"/>
    </row>
    <row r="2954" spans="1:6" ht="15.75" customHeight="1" x14ac:dyDescent="0.15">
      <c r="A2954" s="12" t="s">
        <v>6496</v>
      </c>
      <c r="B2954" s="13"/>
      <c r="C2954" t="e">
        <f t="shared" si="0"/>
        <v>#N/A</v>
      </c>
      <c r="D2954" t="b">
        <f t="shared" si="1"/>
        <v>0</v>
      </c>
      <c r="E2954">
        <f t="shared" si="2"/>
        <v>0</v>
      </c>
      <c r="F2954" s="13"/>
    </row>
    <row r="2955" spans="1:6" ht="15.75" customHeight="1" x14ac:dyDescent="0.15">
      <c r="A2955" s="12" t="s">
        <v>6497</v>
      </c>
      <c r="B2955" s="13"/>
      <c r="C2955" t="e">
        <f t="shared" si="0"/>
        <v>#N/A</v>
      </c>
      <c r="D2955" t="b">
        <f t="shared" si="1"/>
        <v>0</v>
      </c>
      <c r="E2955">
        <f t="shared" si="2"/>
        <v>0</v>
      </c>
      <c r="F2955" s="13"/>
    </row>
    <row r="2956" spans="1:6" ht="15.75" customHeight="1" x14ac:dyDescent="0.15">
      <c r="A2956" s="12" t="s">
        <v>6498</v>
      </c>
      <c r="B2956" s="13"/>
      <c r="C2956" t="e">
        <f t="shared" si="0"/>
        <v>#N/A</v>
      </c>
      <c r="D2956" t="b">
        <f t="shared" si="1"/>
        <v>0</v>
      </c>
      <c r="E2956">
        <f t="shared" si="2"/>
        <v>0</v>
      </c>
      <c r="F2956" s="13"/>
    </row>
    <row r="2957" spans="1:6" ht="15.75" customHeight="1" x14ac:dyDescent="0.15">
      <c r="A2957" s="12" t="s">
        <v>6499</v>
      </c>
      <c r="B2957" s="13"/>
      <c r="C2957" t="e">
        <f t="shared" si="0"/>
        <v>#N/A</v>
      </c>
      <c r="D2957" t="b">
        <f t="shared" si="1"/>
        <v>0</v>
      </c>
      <c r="E2957">
        <f t="shared" si="2"/>
        <v>0</v>
      </c>
      <c r="F2957" s="13"/>
    </row>
    <row r="2958" spans="1:6" ht="15.75" customHeight="1" x14ac:dyDescent="0.15">
      <c r="A2958" s="12" t="s">
        <v>6500</v>
      </c>
      <c r="B2958" s="13"/>
      <c r="C2958" t="e">
        <f t="shared" si="0"/>
        <v>#N/A</v>
      </c>
      <c r="D2958" t="b">
        <f t="shared" si="1"/>
        <v>0</v>
      </c>
      <c r="E2958">
        <f t="shared" si="2"/>
        <v>0</v>
      </c>
      <c r="F2958" s="13"/>
    </row>
    <row r="2959" spans="1:6" ht="15.75" customHeight="1" x14ac:dyDescent="0.15">
      <c r="A2959" s="12" t="s">
        <v>6501</v>
      </c>
      <c r="B2959" s="13"/>
      <c r="C2959" t="e">
        <f t="shared" si="0"/>
        <v>#N/A</v>
      </c>
      <c r="D2959" t="b">
        <f t="shared" si="1"/>
        <v>0</v>
      </c>
      <c r="E2959">
        <f t="shared" si="2"/>
        <v>0</v>
      </c>
      <c r="F2959" s="13"/>
    </row>
    <row r="2960" spans="1:6" ht="15.75" customHeight="1" x14ac:dyDescent="0.15">
      <c r="A2960" s="12" t="s">
        <v>6502</v>
      </c>
      <c r="B2960" s="13"/>
      <c r="C2960" t="e">
        <f t="shared" si="0"/>
        <v>#N/A</v>
      </c>
      <c r="D2960" t="b">
        <f t="shared" si="1"/>
        <v>0</v>
      </c>
      <c r="E2960">
        <f t="shared" si="2"/>
        <v>0</v>
      </c>
      <c r="F2960" s="13"/>
    </row>
    <row r="2961" spans="1:6" ht="15.75" customHeight="1" x14ac:dyDescent="0.15">
      <c r="A2961" s="12" t="s">
        <v>6503</v>
      </c>
      <c r="B2961" s="13"/>
      <c r="C2961" t="e">
        <f t="shared" si="0"/>
        <v>#N/A</v>
      </c>
      <c r="D2961" t="b">
        <f t="shared" si="1"/>
        <v>0</v>
      </c>
      <c r="E2961">
        <f t="shared" si="2"/>
        <v>0</v>
      </c>
      <c r="F2961" s="13"/>
    </row>
    <row r="2962" spans="1:6" ht="15.75" customHeight="1" x14ac:dyDescent="0.15">
      <c r="A2962" s="12" t="s">
        <v>6504</v>
      </c>
      <c r="B2962" s="13"/>
      <c r="C2962" t="e">
        <f t="shared" si="0"/>
        <v>#N/A</v>
      </c>
      <c r="D2962" t="b">
        <f t="shared" si="1"/>
        <v>0</v>
      </c>
      <c r="E2962">
        <f t="shared" si="2"/>
        <v>0</v>
      </c>
      <c r="F2962" s="13"/>
    </row>
    <row r="2963" spans="1:6" ht="15.75" customHeight="1" x14ac:dyDescent="0.15">
      <c r="A2963" s="12" t="s">
        <v>6505</v>
      </c>
      <c r="B2963" s="13"/>
      <c r="C2963" t="e">
        <f t="shared" si="0"/>
        <v>#N/A</v>
      </c>
      <c r="D2963" t="b">
        <f t="shared" si="1"/>
        <v>0</v>
      </c>
      <c r="E2963">
        <f t="shared" si="2"/>
        <v>0</v>
      </c>
      <c r="F2963" s="13"/>
    </row>
    <row r="2964" spans="1:6" ht="15.75" customHeight="1" x14ac:dyDescent="0.15">
      <c r="A2964" s="12" t="s">
        <v>6506</v>
      </c>
      <c r="B2964" s="13"/>
      <c r="C2964" t="e">
        <f t="shared" si="0"/>
        <v>#N/A</v>
      </c>
      <c r="D2964" t="b">
        <f t="shared" si="1"/>
        <v>0</v>
      </c>
      <c r="E2964">
        <f t="shared" si="2"/>
        <v>0</v>
      </c>
      <c r="F2964" s="13"/>
    </row>
    <row r="2965" spans="1:6" ht="15.75" customHeight="1" x14ac:dyDescent="0.15">
      <c r="A2965" s="12" t="s">
        <v>6507</v>
      </c>
      <c r="B2965" s="13"/>
      <c r="C2965" t="e">
        <f t="shared" si="0"/>
        <v>#N/A</v>
      </c>
      <c r="D2965" t="b">
        <f t="shared" si="1"/>
        <v>0</v>
      </c>
      <c r="E2965">
        <f t="shared" si="2"/>
        <v>0</v>
      </c>
      <c r="F2965" s="13"/>
    </row>
    <row r="2966" spans="1:6" ht="15.75" customHeight="1" x14ac:dyDescent="0.15">
      <c r="A2966" s="12" t="s">
        <v>6508</v>
      </c>
      <c r="B2966" s="13"/>
      <c r="C2966" t="e">
        <f t="shared" si="0"/>
        <v>#N/A</v>
      </c>
      <c r="D2966" t="b">
        <f t="shared" si="1"/>
        <v>0</v>
      </c>
      <c r="E2966">
        <f t="shared" si="2"/>
        <v>0</v>
      </c>
      <c r="F2966" s="13"/>
    </row>
    <row r="2967" spans="1:6" ht="15.75" customHeight="1" x14ac:dyDescent="0.15">
      <c r="A2967" s="12" t="s">
        <v>6509</v>
      </c>
      <c r="B2967" s="13"/>
      <c r="C2967" t="e">
        <f t="shared" si="0"/>
        <v>#N/A</v>
      </c>
      <c r="D2967" t="b">
        <f t="shared" si="1"/>
        <v>0</v>
      </c>
      <c r="E2967">
        <f t="shared" si="2"/>
        <v>0</v>
      </c>
      <c r="F2967" s="13"/>
    </row>
    <row r="2968" spans="1:6" ht="15.75" customHeight="1" x14ac:dyDescent="0.15">
      <c r="A2968" s="12" t="s">
        <v>6510</v>
      </c>
      <c r="B2968" s="13"/>
      <c r="C2968" t="e">
        <f t="shared" si="0"/>
        <v>#N/A</v>
      </c>
      <c r="D2968" t="b">
        <f t="shared" si="1"/>
        <v>0</v>
      </c>
      <c r="E2968">
        <f t="shared" si="2"/>
        <v>0</v>
      </c>
      <c r="F2968" s="13"/>
    </row>
    <row r="2969" spans="1:6" ht="15.75" customHeight="1" x14ac:dyDescent="0.15">
      <c r="A2969" s="12" t="s">
        <v>6511</v>
      </c>
      <c r="B2969" s="13"/>
      <c r="C2969" t="e">
        <f t="shared" si="0"/>
        <v>#N/A</v>
      </c>
      <c r="D2969" t="b">
        <f t="shared" si="1"/>
        <v>0</v>
      </c>
      <c r="E2969">
        <f t="shared" si="2"/>
        <v>0</v>
      </c>
      <c r="F2969" s="13"/>
    </row>
    <row r="2970" spans="1:6" ht="15.75" customHeight="1" x14ac:dyDescent="0.15">
      <c r="A2970" s="12" t="s">
        <v>6512</v>
      </c>
      <c r="B2970" s="13"/>
      <c r="C2970" t="e">
        <f t="shared" si="0"/>
        <v>#N/A</v>
      </c>
      <c r="D2970" t="b">
        <f t="shared" si="1"/>
        <v>0</v>
      </c>
      <c r="E2970">
        <f t="shared" si="2"/>
        <v>0</v>
      </c>
      <c r="F2970" s="13"/>
    </row>
    <row r="2971" spans="1:6" ht="15.75" customHeight="1" x14ac:dyDescent="0.15">
      <c r="A2971" s="12" t="s">
        <v>6513</v>
      </c>
      <c r="B2971" s="13"/>
      <c r="C2971" t="e">
        <f t="shared" si="0"/>
        <v>#N/A</v>
      </c>
      <c r="D2971" t="b">
        <f t="shared" si="1"/>
        <v>0</v>
      </c>
      <c r="E2971">
        <f t="shared" si="2"/>
        <v>0</v>
      </c>
      <c r="F2971" s="13"/>
    </row>
    <row r="2972" spans="1:6" ht="15.75" customHeight="1" x14ac:dyDescent="0.15">
      <c r="A2972" s="12" t="s">
        <v>6514</v>
      </c>
      <c r="B2972" s="13"/>
      <c r="C2972" t="e">
        <f t="shared" si="0"/>
        <v>#N/A</v>
      </c>
      <c r="D2972" t="b">
        <f t="shared" si="1"/>
        <v>0</v>
      </c>
      <c r="E2972">
        <f t="shared" si="2"/>
        <v>0</v>
      </c>
      <c r="F2972" s="13"/>
    </row>
    <row r="2973" spans="1:6" ht="15.75" customHeight="1" x14ac:dyDescent="0.15">
      <c r="A2973" s="12" t="s">
        <v>6515</v>
      </c>
      <c r="B2973" s="13"/>
      <c r="C2973" t="e">
        <f t="shared" si="0"/>
        <v>#N/A</v>
      </c>
      <c r="D2973" t="b">
        <f t="shared" si="1"/>
        <v>0</v>
      </c>
      <c r="E2973">
        <f t="shared" si="2"/>
        <v>0</v>
      </c>
      <c r="F2973" s="13"/>
    </row>
    <row r="2974" spans="1:6" ht="15.75" customHeight="1" x14ac:dyDescent="0.15">
      <c r="A2974" s="12" t="s">
        <v>6516</v>
      </c>
      <c r="B2974" s="13"/>
      <c r="C2974" t="e">
        <f t="shared" si="0"/>
        <v>#N/A</v>
      </c>
      <c r="D2974" t="b">
        <f t="shared" si="1"/>
        <v>0</v>
      </c>
      <c r="E2974">
        <f t="shared" si="2"/>
        <v>0</v>
      </c>
      <c r="F2974" s="13"/>
    </row>
    <row r="2975" spans="1:6" ht="15.75" customHeight="1" x14ac:dyDescent="0.15">
      <c r="A2975" s="12" t="s">
        <v>6517</v>
      </c>
      <c r="B2975" s="13"/>
      <c r="C2975" t="e">
        <f t="shared" si="0"/>
        <v>#N/A</v>
      </c>
      <c r="D2975" t="b">
        <f t="shared" si="1"/>
        <v>0</v>
      </c>
      <c r="E2975">
        <f t="shared" si="2"/>
        <v>0</v>
      </c>
      <c r="F2975" s="13"/>
    </row>
    <row r="2976" spans="1:6" ht="15.75" customHeight="1" x14ac:dyDescent="0.15">
      <c r="A2976" s="12" t="s">
        <v>6518</v>
      </c>
      <c r="B2976" s="13"/>
      <c r="C2976" t="e">
        <f t="shared" si="0"/>
        <v>#N/A</v>
      </c>
      <c r="D2976" t="b">
        <f t="shared" si="1"/>
        <v>0</v>
      </c>
      <c r="E2976">
        <f t="shared" si="2"/>
        <v>0</v>
      </c>
      <c r="F2976" s="13"/>
    </row>
    <row r="2977" spans="1:6" ht="15.75" customHeight="1" x14ac:dyDescent="0.15">
      <c r="A2977" s="12" t="s">
        <v>6519</v>
      </c>
      <c r="B2977" s="13"/>
      <c r="C2977" t="e">
        <f t="shared" si="0"/>
        <v>#N/A</v>
      </c>
      <c r="D2977" t="b">
        <f t="shared" si="1"/>
        <v>0</v>
      </c>
      <c r="E2977">
        <f t="shared" si="2"/>
        <v>0</v>
      </c>
      <c r="F2977" s="13"/>
    </row>
    <row r="2978" spans="1:6" ht="15.75" customHeight="1" x14ac:dyDescent="0.15">
      <c r="A2978" s="12" t="s">
        <v>6520</v>
      </c>
      <c r="B2978" s="13"/>
      <c r="C2978" t="e">
        <f t="shared" si="0"/>
        <v>#N/A</v>
      </c>
      <c r="D2978" t="b">
        <f t="shared" si="1"/>
        <v>0</v>
      </c>
      <c r="E2978">
        <f t="shared" si="2"/>
        <v>0</v>
      </c>
      <c r="F2978" s="13"/>
    </row>
    <row r="2979" spans="1:6" ht="15.75" customHeight="1" x14ac:dyDescent="0.15">
      <c r="A2979" s="12" t="s">
        <v>6521</v>
      </c>
      <c r="B2979" s="13"/>
      <c r="C2979" t="e">
        <f t="shared" si="0"/>
        <v>#N/A</v>
      </c>
      <c r="D2979" t="b">
        <f t="shared" si="1"/>
        <v>0</v>
      </c>
      <c r="E2979">
        <f t="shared" si="2"/>
        <v>0</v>
      </c>
      <c r="F2979" s="13"/>
    </row>
    <row r="2980" spans="1:6" ht="15.75" customHeight="1" x14ac:dyDescent="0.15">
      <c r="A2980" s="12" t="s">
        <v>6522</v>
      </c>
      <c r="B2980" s="13"/>
      <c r="C2980" t="e">
        <f t="shared" si="0"/>
        <v>#N/A</v>
      </c>
      <c r="D2980" t="b">
        <f t="shared" si="1"/>
        <v>0</v>
      </c>
      <c r="E2980">
        <f t="shared" si="2"/>
        <v>0</v>
      </c>
      <c r="F2980" s="13"/>
    </row>
    <row r="2981" spans="1:6" ht="15.75" customHeight="1" x14ac:dyDescent="0.15">
      <c r="A2981" s="12" t="s">
        <v>6523</v>
      </c>
      <c r="B2981" s="13"/>
      <c r="C2981" t="e">
        <f t="shared" si="0"/>
        <v>#N/A</v>
      </c>
      <c r="D2981" t="b">
        <f t="shared" si="1"/>
        <v>0</v>
      </c>
      <c r="E2981">
        <f t="shared" si="2"/>
        <v>0</v>
      </c>
      <c r="F2981" s="13"/>
    </row>
    <row r="2982" spans="1:6" ht="15.75" customHeight="1" x14ac:dyDescent="0.15">
      <c r="A2982" s="12" t="s">
        <v>6524</v>
      </c>
      <c r="B2982" s="13"/>
      <c r="C2982" t="e">
        <f t="shared" si="0"/>
        <v>#N/A</v>
      </c>
      <c r="D2982" t="b">
        <f t="shared" si="1"/>
        <v>0</v>
      </c>
      <c r="E2982">
        <f t="shared" si="2"/>
        <v>0</v>
      </c>
      <c r="F2982" s="13"/>
    </row>
    <row r="2983" spans="1:6" ht="15.75" customHeight="1" x14ac:dyDescent="0.15">
      <c r="A2983" s="12" t="s">
        <v>6525</v>
      </c>
      <c r="B2983" s="13"/>
      <c r="C2983" t="e">
        <f t="shared" si="0"/>
        <v>#N/A</v>
      </c>
      <c r="D2983" t="b">
        <f t="shared" si="1"/>
        <v>0</v>
      </c>
      <c r="E2983">
        <f t="shared" si="2"/>
        <v>0</v>
      </c>
      <c r="F2983" s="13"/>
    </row>
    <row r="2984" spans="1:6" ht="15.75" customHeight="1" x14ac:dyDescent="0.15">
      <c r="A2984" s="12" t="s">
        <v>6526</v>
      </c>
      <c r="B2984" s="13"/>
      <c r="C2984" t="e">
        <f t="shared" si="0"/>
        <v>#N/A</v>
      </c>
      <c r="D2984" t="b">
        <f t="shared" si="1"/>
        <v>0</v>
      </c>
      <c r="E2984">
        <f t="shared" si="2"/>
        <v>0</v>
      </c>
      <c r="F2984" s="13"/>
    </row>
    <row r="2985" spans="1:6" ht="15.75" customHeight="1" x14ac:dyDescent="0.15">
      <c r="A2985" s="12" t="s">
        <v>6527</v>
      </c>
      <c r="B2985" s="13"/>
      <c r="C2985" t="e">
        <f t="shared" si="0"/>
        <v>#N/A</v>
      </c>
      <c r="D2985" t="b">
        <f t="shared" si="1"/>
        <v>0</v>
      </c>
      <c r="E2985">
        <f t="shared" si="2"/>
        <v>0</v>
      </c>
      <c r="F2985" s="13"/>
    </row>
    <row r="2986" spans="1:6" ht="15.75" customHeight="1" x14ac:dyDescent="0.15">
      <c r="A2986" s="12" t="s">
        <v>6528</v>
      </c>
      <c r="B2986" s="13"/>
      <c r="C2986" t="e">
        <f t="shared" si="0"/>
        <v>#N/A</v>
      </c>
      <c r="D2986" t="b">
        <f t="shared" si="1"/>
        <v>0</v>
      </c>
      <c r="E2986">
        <f t="shared" si="2"/>
        <v>0</v>
      </c>
      <c r="F2986" s="13"/>
    </row>
    <row r="2987" spans="1:6" ht="15.75" customHeight="1" x14ac:dyDescent="0.15">
      <c r="A2987" s="12" t="s">
        <v>6529</v>
      </c>
      <c r="B2987" s="13"/>
      <c r="C2987" t="e">
        <f t="shared" si="0"/>
        <v>#N/A</v>
      </c>
      <c r="D2987" t="b">
        <f t="shared" si="1"/>
        <v>0</v>
      </c>
      <c r="E2987">
        <f t="shared" si="2"/>
        <v>0</v>
      </c>
      <c r="F2987" s="13"/>
    </row>
    <row r="2988" spans="1:6" ht="15.75" customHeight="1" x14ac:dyDescent="0.15">
      <c r="A2988" s="12" t="s">
        <v>6530</v>
      </c>
      <c r="B2988" s="13"/>
      <c r="C2988" t="e">
        <f t="shared" si="0"/>
        <v>#N/A</v>
      </c>
      <c r="D2988" t="b">
        <f t="shared" si="1"/>
        <v>0</v>
      </c>
      <c r="E2988">
        <f t="shared" si="2"/>
        <v>0</v>
      </c>
      <c r="F2988" s="13"/>
    </row>
    <row r="2989" spans="1:6" ht="15.75" customHeight="1" x14ac:dyDescent="0.15">
      <c r="A2989" s="12" t="s">
        <v>6531</v>
      </c>
      <c r="B2989" s="13"/>
      <c r="C2989" t="e">
        <f t="shared" si="0"/>
        <v>#N/A</v>
      </c>
      <c r="D2989" t="b">
        <f t="shared" si="1"/>
        <v>0</v>
      </c>
      <c r="E2989">
        <f t="shared" si="2"/>
        <v>0</v>
      </c>
      <c r="F2989" s="13"/>
    </row>
    <row r="2990" spans="1:6" ht="15.75" customHeight="1" x14ac:dyDescent="0.15">
      <c r="A2990" s="12" t="s">
        <v>6532</v>
      </c>
      <c r="B2990" s="13"/>
      <c r="C2990" t="e">
        <f t="shared" si="0"/>
        <v>#N/A</v>
      </c>
      <c r="D2990" t="b">
        <f t="shared" si="1"/>
        <v>0</v>
      </c>
      <c r="E2990">
        <f t="shared" si="2"/>
        <v>0</v>
      </c>
      <c r="F2990" s="13"/>
    </row>
    <row r="2991" spans="1:6" ht="15.75" customHeight="1" x14ac:dyDescent="0.15">
      <c r="A2991" s="12" t="s">
        <v>6533</v>
      </c>
      <c r="B2991" s="13"/>
      <c r="C2991" t="e">
        <f t="shared" si="0"/>
        <v>#N/A</v>
      </c>
      <c r="D2991" t="b">
        <f t="shared" si="1"/>
        <v>0</v>
      </c>
      <c r="E2991">
        <f t="shared" si="2"/>
        <v>0</v>
      </c>
      <c r="F2991" s="13"/>
    </row>
    <row r="2992" spans="1:6" ht="15.75" customHeight="1" x14ac:dyDescent="0.15">
      <c r="A2992" s="12" t="s">
        <v>6534</v>
      </c>
      <c r="B2992" s="13"/>
      <c r="C2992" t="e">
        <f t="shared" si="0"/>
        <v>#N/A</v>
      </c>
      <c r="D2992" t="b">
        <f t="shared" si="1"/>
        <v>0</v>
      </c>
      <c r="E2992">
        <f t="shared" si="2"/>
        <v>0</v>
      </c>
      <c r="F2992" s="13"/>
    </row>
    <row r="2993" spans="1:6" ht="15.75" customHeight="1" x14ac:dyDescent="0.15">
      <c r="A2993" s="12" t="s">
        <v>6535</v>
      </c>
      <c r="B2993" s="13"/>
      <c r="C2993" t="e">
        <f t="shared" si="0"/>
        <v>#N/A</v>
      </c>
      <c r="D2993" t="b">
        <f t="shared" si="1"/>
        <v>0</v>
      </c>
      <c r="E2993">
        <f t="shared" si="2"/>
        <v>0</v>
      </c>
      <c r="F2993" s="13"/>
    </row>
    <row r="2994" spans="1:6" ht="15.75" customHeight="1" x14ac:dyDescent="0.15">
      <c r="A2994" s="12" t="s">
        <v>6536</v>
      </c>
      <c r="B2994" s="13"/>
      <c r="C2994" t="e">
        <f t="shared" si="0"/>
        <v>#N/A</v>
      </c>
      <c r="D2994" t="b">
        <f t="shared" si="1"/>
        <v>0</v>
      </c>
      <c r="E2994">
        <f t="shared" si="2"/>
        <v>0</v>
      </c>
      <c r="F2994" s="13"/>
    </row>
    <row r="2995" spans="1:6" ht="15.75" customHeight="1" x14ac:dyDescent="0.15">
      <c r="A2995" s="12" t="s">
        <v>6537</v>
      </c>
      <c r="B2995" s="13"/>
      <c r="C2995" t="e">
        <f t="shared" si="0"/>
        <v>#N/A</v>
      </c>
      <c r="D2995" t="b">
        <f t="shared" si="1"/>
        <v>0</v>
      </c>
      <c r="E2995">
        <f t="shared" si="2"/>
        <v>0</v>
      </c>
      <c r="F2995" s="13"/>
    </row>
    <row r="2996" spans="1:6" ht="15.75" customHeight="1" x14ac:dyDescent="0.15">
      <c r="A2996" s="12" t="s">
        <v>6538</v>
      </c>
      <c r="B2996" s="13"/>
      <c r="C2996" t="e">
        <f t="shared" si="0"/>
        <v>#N/A</v>
      </c>
      <c r="D2996" t="b">
        <f t="shared" si="1"/>
        <v>0</v>
      </c>
      <c r="E2996">
        <f t="shared" si="2"/>
        <v>0</v>
      </c>
      <c r="F2996" s="13"/>
    </row>
    <row r="2997" spans="1:6" ht="15.75" customHeight="1" x14ac:dyDescent="0.15">
      <c r="A2997" s="12" t="s">
        <v>6539</v>
      </c>
      <c r="B2997" s="13"/>
      <c r="C2997" t="e">
        <f t="shared" si="0"/>
        <v>#N/A</v>
      </c>
      <c r="D2997" t="b">
        <f t="shared" si="1"/>
        <v>0</v>
      </c>
      <c r="E2997">
        <f t="shared" si="2"/>
        <v>0</v>
      </c>
      <c r="F2997" s="13"/>
    </row>
    <row r="2998" spans="1:6" ht="15.75" customHeight="1" x14ac:dyDescent="0.15">
      <c r="A2998" s="12" t="s">
        <v>6540</v>
      </c>
      <c r="B2998" s="13"/>
      <c r="C2998" t="e">
        <f t="shared" si="0"/>
        <v>#N/A</v>
      </c>
      <c r="D2998" t="b">
        <f t="shared" si="1"/>
        <v>0</v>
      </c>
      <c r="E2998">
        <f t="shared" si="2"/>
        <v>0</v>
      </c>
      <c r="F2998" s="13"/>
    </row>
    <row r="2999" spans="1:6" ht="15.75" customHeight="1" x14ac:dyDescent="0.15">
      <c r="A2999" s="12" t="s">
        <v>6541</v>
      </c>
      <c r="B2999" s="13"/>
      <c r="C2999" t="e">
        <f t="shared" si="0"/>
        <v>#N/A</v>
      </c>
      <c r="D2999" t="b">
        <f t="shared" si="1"/>
        <v>0</v>
      </c>
      <c r="E2999">
        <f t="shared" si="2"/>
        <v>0</v>
      </c>
      <c r="F2999" s="13"/>
    </row>
    <row r="3000" spans="1:6" ht="15.75" customHeight="1" x14ac:dyDescent="0.15">
      <c r="A3000" s="12" t="s">
        <v>6542</v>
      </c>
      <c r="B3000" s="13"/>
      <c r="C3000" t="e">
        <f t="shared" si="0"/>
        <v>#N/A</v>
      </c>
      <c r="D3000" t="b">
        <f t="shared" si="1"/>
        <v>0</v>
      </c>
      <c r="E3000">
        <f t="shared" si="2"/>
        <v>0</v>
      </c>
      <c r="F3000" s="13"/>
    </row>
    <row r="3001" spans="1:6" ht="15.75" customHeight="1" x14ac:dyDescent="0.15">
      <c r="A3001" s="12" t="s">
        <v>6543</v>
      </c>
      <c r="B3001" s="13"/>
      <c r="C3001" t="e">
        <f t="shared" si="0"/>
        <v>#N/A</v>
      </c>
      <c r="D3001" t="b">
        <f t="shared" si="1"/>
        <v>0</v>
      </c>
      <c r="E3001">
        <f t="shared" si="2"/>
        <v>0</v>
      </c>
      <c r="F3001" s="13"/>
    </row>
    <row r="3002" spans="1:6" ht="15.75" customHeight="1" x14ac:dyDescent="0.15">
      <c r="A3002" s="12" t="s">
        <v>6544</v>
      </c>
      <c r="B3002" s="13"/>
      <c r="C3002" t="e">
        <f t="shared" si="0"/>
        <v>#N/A</v>
      </c>
      <c r="D3002" t="b">
        <f t="shared" si="1"/>
        <v>0</v>
      </c>
      <c r="E3002">
        <f t="shared" si="2"/>
        <v>0</v>
      </c>
      <c r="F3002" s="13"/>
    </row>
    <row r="3003" spans="1:6" ht="15.75" customHeight="1" x14ac:dyDescent="0.15">
      <c r="A3003" s="12" t="s">
        <v>6545</v>
      </c>
      <c r="B3003" s="13"/>
      <c r="C3003" t="e">
        <f t="shared" si="0"/>
        <v>#N/A</v>
      </c>
      <c r="D3003" t="b">
        <f t="shared" si="1"/>
        <v>0</v>
      </c>
      <c r="E3003">
        <f t="shared" si="2"/>
        <v>0</v>
      </c>
      <c r="F3003" s="13"/>
    </row>
    <row r="3004" spans="1:6" ht="15.75" customHeight="1" x14ac:dyDescent="0.15">
      <c r="A3004" s="12" t="s">
        <v>6546</v>
      </c>
      <c r="B3004" s="13"/>
      <c r="C3004" t="e">
        <f t="shared" si="0"/>
        <v>#N/A</v>
      </c>
      <c r="D3004" t="b">
        <f t="shared" si="1"/>
        <v>0</v>
      </c>
      <c r="E3004">
        <f t="shared" si="2"/>
        <v>0</v>
      </c>
      <c r="F3004" s="13"/>
    </row>
    <row r="3005" spans="1:6" ht="15.75" customHeight="1" x14ac:dyDescent="0.15">
      <c r="A3005" s="12" t="s">
        <v>6547</v>
      </c>
      <c r="B3005" s="13"/>
      <c r="C3005" t="e">
        <f t="shared" si="0"/>
        <v>#N/A</v>
      </c>
      <c r="D3005" t="b">
        <f t="shared" si="1"/>
        <v>0</v>
      </c>
      <c r="E3005">
        <f t="shared" si="2"/>
        <v>0</v>
      </c>
      <c r="F3005" s="13"/>
    </row>
    <row r="3006" spans="1:6" ht="15.75" customHeight="1" x14ac:dyDescent="0.15">
      <c r="A3006" s="12" t="s">
        <v>6548</v>
      </c>
      <c r="B3006" s="13"/>
      <c r="C3006" t="e">
        <f t="shared" si="0"/>
        <v>#N/A</v>
      </c>
      <c r="D3006" t="b">
        <f t="shared" si="1"/>
        <v>0</v>
      </c>
      <c r="E3006">
        <f t="shared" si="2"/>
        <v>0</v>
      </c>
      <c r="F3006" s="13"/>
    </row>
    <row r="3007" spans="1:6" ht="15.75" customHeight="1" x14ac:dyDescent="0.15">
      <c r="A3007" s="12" t="s">
        <v>6549</v>
      </c>
      <c r="B3007" s="13"/>
      <c r="C3007" t="e">
        <f t="shared" si="0"/>
        <v>#N/A</v>
      </c>
      <c r="D3007" t="b">
        <f t="shared" si="1"/>
        <v>0</v>
      </c>
      <c r="E3007">
        <f t="shared" si="2"/>
        <v>0</v>
      </c>
      <c r="F3007" s="13"/>
    </row>
    <row r="3008" spans="1:6" ht="15.75" customHeight="1" x14ac:dyDescent="0.15">
      <c r="A3008" s="12" t="s">
        <v>6550</v>
      </c>
      <c r="B3008" s="13"/>
      <c r="C3008" t="e">
        <f t="shared" si="0"/>
        <v>#N/A</v>
      </c>
      <c r="D3008" t="b">
        <f t="shared" si="1"/>
        <v>0</v>
      </c>
      <c r="E3008">
        <f t="shared" si="2"/>
        <v>0</v>
      </c>
      <c r="F3008" s="13"/>
    </row>
    <row r="3009" spans="1:6" ht="15.75" customHeight="1" x14ac:dyDescent="0.15">
      <c r="A3009" s="12" t="s">
        <v>6551</v>
      </c>
      <c r="B3009" s="13"/>
      <c r="C3009" t="e">
        <f t="shared" si="0"/>
        <v>#N/A</v>
      </c>
      <c r="D3009" t="b">
        <f t="shared" si="1"/>
        <v>0</v>
      </c>
      <c r="E3009">
        <f t="shared" si="2"/>
        <v>0</v>
      </c>
      <c r="F3009" s="13"/>
    </row>
    <row r="3010" spans="1:6" ht="15.75" customHeight="1" x14ac:dyDescent="0.15">
      <c r="A3010" s="12" t="s">
        <v>6552</v>
      </c>
      <c r="B3010" s="13"/>
      <c r="C3010" t="e">
        <f t="shared" si="0"/>
        <v>#N/A</v>
      </c>
      <c r="D3010" t="b">
        <f t="shared" si="1"/>
        <v>0</v>
      </c>
      <c r="E3010">
        <f t="shared" si="2"/>
        <v>0</v>
      </c>
      <c r="F3010" s="13"/>
    </row>
    <row r="3011" spans="1:6" ht="15.75" customHeight="1" x14ac:dyDescent="0.15">
      <c r="A3011" s="12" t="s">
        <v>6553</v>
      </c>
      <c r="B3011" s="13"/>
      <c r="C3011" t="e">
        <f t="shared" si="0"/>
        <v>#N/A</v>
      </c>
      <c r="D3011" t="b">
        <f t="shared" si="1"/>
        <v>0</v>
      </c>
      <c r="E3011">
        <f t="shared" si="2"/>
        <v>0</v>
      </c>
      <c r="F3011" s="13"/>
    </row>
    <row r="3012" spans="1:6" ht="15.75" customHeight="1" x14ac:dyDescent="0.15">
      <c r="A3012" s="12" t="s">
        <v>6554</v>
      </c>
      <c r="B3012" s="13"/>
      <c r="C3012" t="e">
        <f t="shared" si="0"/>
        <v>#N/A</v>
      </c>
      <c r="D3012" t="b">
        <f t="shared" si="1"/>
        <v>0</v>
      </c>
      <c r="E3012">
        <f t="shared" si="2"/>
        <v>0</v>
      </c>
      <c r="F3012" s="13"/>
    </row>
    <row r="3013" spans="1:6" ht="15.75" customHeight="1" x14ac:dyDescent="0.15">
      <c r="A3013" s="12" t="s">
        <v>6555</v>
      </c>
      <c r="B3013" s="13"/>
      <c r="C3013" t="e">
        <f t="shared" si="0"/>
        <v>#N/A</v>
      </c>
      <c r="D3013" t="b">
        <f t="shared" si="1"/>
        <v>0</v>
      </c>
      <c r="E3013">
        <f t="shared" si="2"/>
        <v>0</v>
      </c>
      <c r="F3013" s="13"/>
    </row>
    <row r="3014" spans="1:6" ht="15.75" customHeight="1" x14ac:dyDescent="0.15">
      <c r="A3014" s="12" t="s">
        <v>6556</v>
      </c>
      <c r="B3014" s="13"/>
      <c r="C3014" t="e">
        <f t="shared" si="0"/>
        <v>#N/A</v>
      </c>
      <c r="D3014" t="b">
        <f t="shared" si="1"/>
        <v>0</v>
      </c>
      <c r="E3014">
        <f t="shared" si="2"/>
        <v>0</v>
      </c>
      <c r="F3014" s="13"/>
    </row>
    <row r="3015" spans="1:6" ht="15.75" customHeight="1" x14ac:dyDescent="0.15">
      <c r="A3015" s="12" t="s">
        <v>6557</v>
      </c>
      <c r="B3015" s="13"/>
      <c r="C3015" t="e">
        <f t="shared" si="0"/>
        <v>#N/A</v>
      </c>
      <c r="D3015" t="b">
        <f t="shared" si="1"/>
        <v>0</v>
      </c>
      <c r="E3015">
        <f t="shared" si="2"/>
        <v>0</v>
      </c>
      <c r="F3015" s="13"/>
    </row>
    <row r="3016" spans="1:6" ht="15.75" customHeight="1" x14ac:dyDescent="0.15">
      <c r="A3016" s="12" t="s">
        <v>6558</v>
      </c>
      <c r="B3016" s="13"/>
      <c r="C3016" t="e">
        <f t="shared" si="0"/>
        <v>#N/A</v>
      </c>
      <c r="D3016" t="b">
        <f t="shared" si="1"/>
        <v>0</v>
      </c>
      <c r="E3016">
        <f t="shared" si="2"/>
        <v>0</v>
      </c>
      <c r="F3016" s="13"/>
    </row>
    <row r="3017" spans="1:6" ht="15.75" customHeight="1" x14ac:dyDescent="0.15">
      <c r="A3017" s="12" t="s">
        <v>6559</v>
      </c>
      <c r="B3017" s="13"/>
      <c r="C3017" t="e">
        <f t="shared" si="0"/>
        <v>#N/A</v>
      </c>
      <c r="D3017" t="b">
        <f t="shared" si="1"/>
        <v>0</v>
      </c>
      <c r="E3017">
        <f t="shared" si="2"/>
        <v>0</v>
      </c>
      <c r="F3017" s="13"/>
    </row>
    <row r="3018" spans="1:6" ht="15.75" customHeight="1" x14ac:dyDescent="0.15">
      <c r="A3018" s="12" t="s">
        <v>6560</v>
      </c>
      <c r="B3018" s="13"/>
      <c r="C3018" t="e">
        <f t="shared" si="0"/>
        <v>#N/A</v>
      </c>
      <c r="D3018" t="b">
        <f t="shared" si="1"/>
        <v>0</v>
      </c>
      <c r="E3018">
        <f t="shared" si="2"/>
        <v>0</v>
      </c>
      <c r="F3018" s="13"/>
    </row>
    <row r="3019" spans="1:6" ht="15.75" customHeight="1" x14ac:dyDescent="0.15">
      <c r="A3019" s="12" t="s">
        <v>6561</v>
      </c>
      <c r="B3019" s="13"/>
      <c r="C3019" t="e">
        <f t="shared" si="0"/>
        <v>#N/A</v>
      </c>
      <c r="D3019" t="b">
        <f t="shared" si="1"/>
        <v>0</v>
      </c>
      <c r="E3019">
        <f t="shared" si="2"/>
        <v>0</v>
      </c>
      <c r="F3019" s="13"/>
    </row>
    <row r="3020" spans="1:6" ht="15.75" customHeight="1" x14ac:dyDescent="0.15">
      <c r="A3020" s="12" t="s">
        <v>6561</v>
      </c>
      <c r="B3020" s="13"/>
      <c r="C3020" t="e">
        <f t="shared" si="0"/>
        <v>#N/A</v>
      </c>
      <c r="D3020" t="b">
        <f t="shared" si="1"/>
        <v>0</v>
      </c>
      <c r="E3020">
        <f t="shared" si="2"/>
        <v>0</v>
      </c>
      <c r="F3020" s="13"/>
    </row>
    <row r="3021" spans="1:6" ht="15.75" customHeight="1" x14ac:dyDescent="0.15">
      <c r="A3021" s="12" t="s">
        <v>6562</v>
      </c>
      <c r="B3021" s="13"/>
      <c r="C3021" t="e">
        <f t="shared" si="0"/>
        <v>#N/A</v>
      </c>
      <c r="D3021" t="b">
        <f t="shared" si="1"/>
        <v>0</v>
      </c>
      <c r="E3021">
        <f t="shared" si="2"/>
        <v>0</v>
      </c>
      <c r="F3021" s="13"/>
    </row>
    <row r="3022" spans="1:6" ht="15.75" customHeight="1" x14ac:dyDescent="0.15">
      <c r="A3022" s="12" t="s">
        <v>6563</v>
      </c>
      <c r="B3022" s="13"/>
      <c r="C3022" t="e">
        <f t="shared" si="0"/>
        <v>#N/A</v>
      </c>
      <c r="D3022" t="b">
        <f t="shared" si="1"/>
        <v>0</v>
      </c>
      <c r="E3022">
        <f t="shared" si="2"/>
        <v>0</v>
      </c>
      <c r="F3022" s="13"/>
    </row>
    <row r="3023" spans="1:6" ht="15.75" customHeight="1" x14ac:dyDescent="0.15">
      <c r="A3023" s="12" t="s">
        <v>6564</v>
      </c>
      <c r="B3023" s="13"/>
      <c r="C3023" t="e">
        <f t="shared" si="0"/>
        <v>#N/A</v>
      </c>
      <c r="D3023" t="b">
        <f t="shared" si="1"/>
        <v>0</v>
      </c>
      <c r="E3023">
        <f t="shared" si="2"/>
        <v>0</v>
      </c>
      <c r="F3023" s="13"/>
    </row>
    <row r="3024" spans="1:6" ht="15.75" customHeight="1" x14ac:dyDescent="0.15">
      <c r="A3024" s="12" t="s">
        <v>6565</v>
      </c>
      <c r="B3024" s="13"/>
      <c r="C3024" t="e">
        <f t="shared" si="0"/>
        <v>#N/A</v>
      </c>
      <c r="D3024" t="b">
        <f t="shared" si="1"/>
        <v>0</v>
      </c>
      <c r="E3024">
        <f t="shared" si="2"/>
        <v>0</v>
      </c>
      <c r="F3024" s="13"/>
    </row>
    <row r="3025" spans="1:6" ht="15.75" customHeight="1" x14ac:dyDescent="0.15">
      <c r="A3025" s="12" t="s">
        <v>6566</v>
      </c>
      <c r="B3025" s="13"/>
      <c r="C3025" t="e">
        <f t="shared" si="0"/>
        <v>#N/A</v>
      </c>
      <c r="D3025" t="b">
        <f t="shared" si="1"/>
        <v>0</v>
      </c>
      <c r="E3025">
        <f t="shared" si="2"/>
        <v>0</v>
      </c>
      <c r="F3025" s="13"/>
    </row>
    <row r="3026" spans="1:6" ht="15.75" customHeight="1" x14ac:dyDescent="0.15">
      <c r="A3026" s="12" t="s">
        <v>6567</v>
      </c>
      <c r="B3026" s="13"/>
      <c r="C3026" t="e">
        <f t="shared" si="0"/>
        <v>#N/A</v>
      </c>
      <c r="D3026" t="b">
        <f t="shared" si="1"/>
        <v>0</v>
      </c>
      <c r="E3026">
        <f t="shared" si="2"/>
        <v>0</v>
      </c>
      <c r="F3026" s="13"/>
    </row>
    <row r="3027" spans="1:6" ht="15.75" customHeight="1" x14ac:dyDescent="0.15">
      <c r="A3027" s="12" t="s">
        <v>6568</v>
      </c>
      <c r="B3027" s="13"/>
      <c r="C3027" t="e">
        <f t="shared" si="0"/>
        <v>#N/A</v>
      </c>
      <c r="D3027" t="b">
        <f t="shared" si="1"/>
        <v>0</v>
      </c>
      <c r="E3027">
        <f t="shared" si="2"/>
        <v>0</v>
      </c>
      <c r="F3027" s="13"/>
    </row>
    <row r="3028" spans="1:6" ht="15.75" customHeight="1" x14ac:dyDescent="0.15">
      <c r="A3028" s="12" t="s">
        <v>6568</v>
      </c>
      <c r="B3028" s="13"/>
      <c r="C3028" t="e">
        <f t="shared" si="0"/>
        <v>#N/A</v>
      </c>
      <c r="D3028" t="b">
        <f t="shared" si="1"/>
        <v>0</v>
      </c>
      <c r="E3028">
        <f t="shared" si="2"/>
        <v>0</v>
      </c>
      <c r="F3028" s="13"/>
    </row>
    <row r="3029" spans="1:6" ht="15.75" customHeight="1" x14ac:dyDescent="0.15">
      <c r="A3029" s="14" t="s">
        <v>6569</v>
      </c>
      <c r="B3029" s="13"/>
      <c r="C3029" t="e">
        <f t="shared" si="0"/>
        <v>#N/A</v>
      </c>
      <c r="D3029" t="b">
        <f t="shared" si="1"/>
        <v>0</v>
      </c>
      <c r="E3029">
        <f t="shared" si="2"/>
        <v>0</v>
      </c>
      <c r="F3029" s="13"/>
    </row>
    <row r="3030" spans="1:6" ht="15.75" customHeight="1" x14ac:dyDescent="0.15">
      <c r="A3030" s="12" t="s">
        <v>6570</v>
      </c>
      <c r="B3030" s="13"/>
      <c r="C3030" t="e">
        <f t="shared" si="0"/>
        <v>#N/A</v>
      </c>
      <c r="D3030" t="b">
        <f t="shared" si="1"/>
        <v>0</v>
      </c>
      <c r="E3030">
        <f t="shared" si="2"/>
        <v>0</v>
      </c>
      <c r="F3030" s="13"/>
    </row>
    <row r="3031" spans="1:6" ht="15.75" customHeight="1" x14ac:dyDescent="0.15">
      <c r="A3031" s="12" t="s">
        <v>6571</v>
      </c>
      <c r="B3031" s="13"/>
      <c r="C3031" t="e">
        <f t="shared" si="0"/>
        <v>#N/A</v>
      </c>
      <c r="D3031" t="b">
        <f t="shared" si="1"/>
        <v>0</v>
      </c>
      <c r="E3031">
        <f t="shared" si="2"/>
        <v>0</v>
      </c>
      <c r="F3031" s="13"/>
    </row>
    <row r="3032" spans="1:6" ht="15.75" customHeight="1" x14ac:dyDescent="0.15">
      <c r="A3032" s="12" t="s">
        <v>6572</v>
      </c>
      <c r="B3032" s="13"/>
      <c r="C3032" t="e">
        <f t="shared" si="0"/>
        <v>#N/A</v>
      </c>
      <c r="D3032" t="b">
        <f t="shared" si="1"/>
        <v>0</v>
      </c>
      <c r="E3032">
        <f t="shared" si="2"/>
        <v>0</v>
      </c>
      <c r="F3032" s="13"/>
    </row>
    <row r="3033" spans="1:6" ht="15.75" customHeight="1" x14ac:dyDescent="0.15">
      <c r="A3033" s="12" t="s">
        <v>6573</v>
      </c>
      <c r="B3033" s="13"/>
      <c r="C3033" t="e">
        <f t="shared" si="0"/>
        <v>#N/A</v>
      </c>
      <c r="D3033" t="b">
        <f t="shared" si="1"/>
        <v>0</v>
      </c>
      <c r="E3033">
        <f t="shared" si="2"/>
        <v>0</v>
      </c>
      <c r="F3033" s="13"/>
    </row>
    <row r="3034" spans="1:6" ht="15.75" customHeight="1" x14ac:dyDescent="0.15">
      <c r="A3034" s="12" t="s">
        <v>6574</v>
      </c>
      <c r="B3034" s="13"/>
      <c r="C3034" t="e">
        <f t="shared" si="0"/>
        <v>#N/A</v>
      </c>
      <c r="D3034" t="b">
        <f t="shared" si="1"/>
        <v>0</v>
      </c>
      <c r="E3034">
        <f t="shared" si="2"/>
        <v>0</v>
      </c>
      <c r="F3034" s="13"/>
    </row>
    <row r="3035" spans="1:6" ht="15.75" customHeight="1" x14ac:dyDescent="0.15">
      <c r="A3035" s="12" t="s">
        <v>6575</v>
      </c>
      <c r="B3035" s="13"/>
      <c r="C3035" t="e">
        <f t="shared" si="0"/>
        <v>#N/A</v>
      </c>
      <c r="D3035" t="b">
        <f t="shared" si="1"/>
        <v>0</v>
      </c>
      <c r="E3035">
        <f t="shared" si="2"/>
        <v>0</v>
      </c>
      <c r="F3035" s="13"/>
    </row>
    <row r="3036" spans="1:6" ht="15.75" customHeight="1" x14ac:dyDescent="0.15">
      <c r="A3036" s="12" t="s">
        <v>6576</v>
      </c>
      <c r="B3036" s="13"/>
      <c r="C3036" t="e">
        <f t="shared" si="0"/>
        <v>#N/A</v>
      </c>
      <c r="D3036" t="b">
        <f t="shared" si="1"/>
        <v>0</v>
      </c>
      <c r="E3036">
        <f t="shared" si="2"/>
        <v>0</v>
      </c>
      <c r="F3036" s="13"/>
    </row>
    <row r="3037" spans="1:6" ht="15.75" customHeight="1" x14ac:dyDescent="0.15">
      <c r="A3037" s="12" t="s">
        <v>6577</v>
      </c>
      <c r="B3037" s="13"/>
      <c r="C3037" t="e">
        <f t="shared" si="0"/>
        <v>#N/A</v>
      </c>
      <c r="D3037" t="b">
        <f t="shared" si="1"/>
        <v>0</v>
      </c>
      <c r="E3037">
        <f t="shared" si="2"/>
        <v>0</v>
      </c>
      <c r="F3037" s="13"/>
    </row>
    <row r="3038" spans="1:6" ht="15.75" customHeight="1" x14ac:dyDescent="0.15">
      <c r="A3038" s="12" t="s">
        <v>6578</v>
      </c>
      <c r="B3038" s="13"/>
      <c r="C3038" t="e">
        <f t="shared" si="0"/>
        <v>#N/A</v>
      </c>
      <c r="D3038" t="b">
        <f t="shared" si="1"/>
        <v>0</v>
      </c>
      <c r="E3038">
        <f t="shared" si="2"/>
        <v>0</v>
      </c>
      <c r="F3038" s="13"/>
    </row>
    <row r="3039" spans="1:6" ht="15.75" customHeight="1" x14ac:dyDescent="0.15">
      <c r="A3039" s="12" t="s">
        <v>6579</v>
      </c>
      <c r="B3039" s="13"/>
      <c r="C3039" t="e">
        <f t="shared" si="0"/>
        <v>#N/A</v>
      </c>
      <c r="D3039" t="b">
        <f t="shared" si="1"/>
        <v>0</v>
      </c>
      <c r="E3039">
        <f t="shared" si="2"/>
        <v>0</v>
      </c>
      <c r="F3039" s="13"/>
    </row>
    <row r="3040" spans="1:6" ht="15.75" customHeight="1" x14ac:dyDescent="0.15">
      <c r="A3040" s="12" t="s">
        <v>6580</v>
      </c>
      <c r="B3040" s="13"/>
      <c r="C3040" t="e">
        <f t="shared" si="0"/>
        <v>#N/A</v>
      </c>
      <c r="D3040" t="b">
        <f t="shared" si="1"/>
        <v>0</v>
      </c>
      <c r="E3040">
        <f t="shared" si="2"/>
        <v>0</v>
      </c>
      <c r="F3040" s="13"/>
    </row>
    <row r="3041" spans="1:6" ht="15.75" customHeight="1" x14ac:dyDescent="0.15">
      <c r="A3041" s="12" t="s">
        <v>6581</v>
      </c>
      <c r="B3041" s="13"/>
      <c r="C3041" t="e">
        <f t="shared" si="0"/>
        <v>#N/A</v>
      </c>
      <c r="D3041" t="b">
        <f t="shared" si="1"/>
        <v>0</v>
      </c>
      <c r="E3041">
        <f t="shared" si="2"/>
        <v>0</v>
      </c>
      <c r="F3041" s="13"/>
    </row>
    <row r="3042" spans="1:6" ht="15.75" customHeight="1" x14ac:dyDescent="0.15">
      <c r="A3042" s="12" t="s">
        <v>6582</v>
      </c>
      <c r="B3042" s="13"/>
      <c r="C3042" t="e">
        <f t="shared" si="0"/>
        <v>#N/A</v>
      </c>
      <c r="D3042" t="b">
        <f t="shared" si="1"/>
        <v>0</v>
      </c>
      <c r="E3042">
        <f t="shared" si="2"/>
        <v>0</v>
      </c>
      <c r="F3042" s="13"/>
    </row>
    <row r="3043" spans="1:6" ht="15.75" customHeight="1" x14ac:dyDescent="0.15">
      <c r="A3043" s="12" t="s">
        <v>6583</v>
      </c>
      <c r="B3043" s="13"/>
      <c r="C3043" t="e">
        <f t="shared" si="0"/>
        <v>#N/A</v>
      </c>
      <c r="D3043" t="b">
        <f t="shared" si="1"/>
        <v>0</v>
      </c>
      <c r="E3043">
        <f t="shared" si="2"/>
        <v>0</v>
      </c>
      <c r="F3043" s="13"/>
    </row>
    <row r="3044" spans="1:6" ht="15.75" customHeight="1" x14ac:dyDescent="0.15">
      <c r="A3044" s="12" t="s">
        <v>6584</v>
      </c>
      <c r="B3044" s="13"/>
      <c r="C3044" t="e">
        <f t="shared" si="0"/>
        <v>#N/A</v>
      </c>
      <c r="D3044" t="b">
        <f t="shared" si="1"/>
        <v>0</v>
      </c>
      <c r="E3044">
        <f t="shared" si="2"/>
        <v>0</v>
      </c>
      <c r="F3044" s="13"/>
    </row>
    <row r="3045" spans="1:6" ht="15.75" customHeight="1" x14ac:dyDescent="0.15">
      <c r="A3045" s="12" t="s">
        <v>6585</v>
      </c>
      <c r="B3045" s="13"/>
      <c r="C3045" t="e">
        <f t="shared" si="0"/>
        <v>#N/A</v>
      </c>
      <c r="D3045" t="b">
        <f t="shared" si="1"/>
        <v>0</v>
      </c>
      <c r="E3045">
        <f t="shared" si="2"/>
        <v>0</v>
      </c>
      <c r="F3045" s="13"/>
    </row>
    <row r="3046" spans="1:6" ht="15.75" customHeight="1" x14ac:dyDescent="0.15">
      <c r="A3046" s="12" t="s">
        <v>6586</v>
      </c>
      <c r="B3046" s="13"/>
      <c r="C3046" t="e">
        <f t="shared" si="0"/>
        <v>#N/A</v>
      </c>
      <c r="D3046" t="b">
        <f t="shared" si="1"/>
        <v>0</v>
      </c>
      <c r="E3046">
        <f t="shared" si="2"/>
        <v>0</v>
      </c>
      <c r="F3046" s="13"/>
    </row>
    <row r="3047" spans="1:6" ht="15.75" customHeight="1" x14ac:dyDescent="0.15">
      <c r="A3047" s="12" t="s">
        <v>6587</v>
      </c>
      <c r="B3047" s="13"/>
      <c r="C3047" t="e">
        <f t="shared" si="0"/>
        <v>#N/A</v>
      </c>
      <c r="D3047" t="b">
        <f t="shared" si="1"/>
        <v>0</v>
      </c>
      <c r="E3047">
        <f t="shared" si="2"/>
        <v>0</v>
      </c>
      <c r="F3047" s="13"/>
    </row>
    <row r="3048" spans="1:6" ht="15.75" customHeight="1" x14ac:dyDescent="0.15">
      <c r="A3048" s="12" t="s">
        <v>6588</v>
      </c>
      <c r="B3048" s="13"/>
      <c r="C3048" t="e">
        <f t="shared" si="0"/>
        <v>#N/A</v>
      </c>
      <c r="D3048" t="b">
        <f t="shared" si="1"/>
        <v>0</v>
      </c>
      <c r="E3048">
        <f t="shared" si="2"/>
        <v>0</v>
      </c>
      <c r="F3048" s="13"/>
    </row>
    <row r="3049" spans="1:6" ht="15.75" customHeight="1" x14ac:dyDescent="0.15">
      <c r="A3049" s="12" t="s">
        <v>6589</v>
      </c>
      <c r="B3049" s="13"/>
      <c r="C3049" t="e">
        <f t="shared" si="0"/>
        <v>#N/A</v>
      </c>
      <c r="D3049" t="b">
        <f t="shared" si="1"/>
        <v>0</v>
      </c>
      <c r="E3049">
        <f t="shared" si="2"/>
        <v>0</v>
      </c>
      <c r="F3049" s="13"/>
    </row>
    <row r="3050" spans="1:6" ht="15.75" customHeight="1" x14ac:dyDescent="0.15">
      <c r="A3050" s="12" t="s">
        <v>6590</v>
      </c>
      <c r="B3050" s="13"/>
      <c r="C3050" t="e">
        <f t="shared" si="0"/>
        <v>#N/A</v>
      </c>
      <c r="D3050" t="b">
        <f t="shared" si="1"/>
        <v>0</v>
      </c>
      <c r="E3050">
        <f t="shared" si="2"/>
        <v>0</v>
      </c>
      <c r="F3050" s="13"/>
    </row>
    <row r="3051" spans="1:6" ht="15.75" customHeight="1" x14ac:dyDescent="0.15">
      <c r="A3051" s="12" t="s">
        <v>6591</v>
      </c>
      <c r="B3051" s="13"/>
      <c r="C3051" t="e">
        <f t="shared" si="0"/>
        <v>#N/A</v>
      </c>
      <c r="D3051" t="b">
        <f t="shared" si="1"/>
        <v>0</v>
      </c>
      <c r="E3051">
        <f t="shared" si="2"/>
        <v>0</v>
      </c>
      <c r="F3051" s="13"/>
    </row>
    <row r="3052" spans="1:6" ht="15.75" customHeight="1" x14ac:dyDescent="0.15">
      <c r="A3052" s="12" t="s">
        <v>6592</v>
      </c>
      <c r="B3052" s="13"/>
      <c r="C3052" t="e">
        <f t="shared" si="0"/>
        <v>#N/A</v>
      </c>
      <c r="D3052" t="b">
        <f t="shared" si="1"/>
        <v>0</v>
      </c>
      <c r="E3052">
        <f t="shared" si="2"/>
        <v>0</v>
      </c>
      <c r="F3052" s="13"/>
    </row>
    <row r="3053" spans="1:6" ht="15.75" customHeight="1" x14ac:dyDescent="0.15">
      <c r="A3053" s="12" t="s">
        <v>6593</v>
      </c>
      <c r="B3053" s="13"/>
      <c r="C3053" t="e">
        <f t="shared" si="0"/>
        <v>#N/A</v>
      </c>
      <c r="D3053" t="b">
        <f t="shared" si="1"/>
        <v>0</v>
      </c>
      <c r="E3053">
        <f t="shared" si="2"/>
        <v>0</v>
      </c>
      <c r="F3053" s="13"/>
    </row>
    <row r="3054" spans="1:6" ht="15.75" customHeight="1" x14ac:dyDescent="0.15">
      <c r="A3054" s="12" t="s">
        <v>6594</v>
      </c>
      <c r="B3054" s="13"/>
      <c r="C3054" t="e">
        <f t="shared" si="0"/>
        <v>#N/A</v>
      </c>
      <c r="D3054" t="b">
        <f t="shared" si="1"/>
        <v>0</v>
      </c>
      <c r="E3054">
        <f t="shared" si="2"/>
        <v>0</v>
      </c>
      <c r="F3054" s="13"/>
    </row>
    <row r="3055" spans="1:6" ht="15.75" customHeight="1" x14ac:dyDescent="0.15">
      <c r="A3055" s="12" t="s">
        <v>6595</v>
      </c>
      <c r="B3055" s="13"/>
      <c r="C3055" t="e">
        <f t="shared" si="0"/>
        <v>#N/A</v>
      </c>
      <c r="D3055" t="b">
        <f t="shared" si="1"/>
        <v>0</v>
      </c>
      <c r="E3055">
        <f t="shared" si="2"/>
        <v>0</v>
      </c>
      <c r="F3055" s="13"/>
    </row>
    <row r="3056" spans="1:6" ht="15.75" customHeight="1" x14ac:dyDescent="0.15">
      <c r="A3056" s="12" t="s">
        <v>6596</v>
      </c>
      <c r="B3056" s="13"/>
      <c r="C3056" t="e">
        <f t="shared" si="0"/>
        <v>#N/A</v>
      </c>
      <c r="D3056" t="b">
        <f t="shared" si="1"/>
        <v>0</v>
      </c>
      <c r="E3056">
        <f t="shared" si="2"/>
        <v>0</v>
      </c>
      <c r="F3056" s="13"/>
    </row>
    <row r="3057" spans="1:6" ht="15.75" customHeight="1" x14ac:dyDescent="0.15">
      <c r="A3057" s="12" t="s">
        <v>6597</v>
      </c>
      <c r="B3057" s="13"/>
      <c r="C3057" t="e">
        <f t="shared" si="0"/>
        <v>#N/A</v>
      </c>
      <c r="D3057" t="b">
        <f t="shared" si="1"/>
        <v>0</v>
      </c>
      <c r="E3057">
        <f t="shared" si="2"/>
        <v>0</v>
      </c>
      <c r="F3057" s="13"/>
    </row>
    <row r="3058" spans="1:6" ht="15.75" customHeight="1" x14ac:dyDescent="0.15">
      <c r="A3058" s="12" t="s">
        <v>6598</v>
      </c>
      <c r="B3058" s="13"/>
      <c r="C3058" t="e">
        <f t="shared" si="0"/>
        <v>#N/A</v>
      </c>
      <c r="D3058" t="b">
        <f t="shared" si="1"/>
        <v>0</v>
      </c>
      <c r="E3058">
        <f t="shared" si="2"/>
        <v>0</v>
      </c>
      <c r="F3058" s="13"/>
    </row>
    <row r="3059" spans="1:6" ht="15.75" customHeight="1" x14ac:dyDescent="0.15">
      <c r="A3059" s="12" t="s">
        <v>6599</v>
      </c>
      <c r="B3059" s="13"/>
      <c r="C3059" t="e">
        <f t="shared" si="0"/>
        <v>#N/A</v>
      </c>
      <c r="D3059" t="b">
        <f t="shared" si="1"/>
        <v>0</v>
      </c>
      <c r="E3059">
        <f t="shared" si="2"/>
        <v>0</v>
      </c>
      <c r="F3059" s="13"/>
    </row>
    <row r="3060" spans="1:6" ht="15.75" customHeight="1" x14ac:dyDescent="0.15">
      <c r="A3060" s="12" t="s">
        <v>6600</v>
      </c>
      <c r="B3060" s="13"/>
      <c r="C3060" t="e">
        <f t="shared" si="0"/>
        <v>#N/A</v>
      </c>
      <c r="D3060" t="b">
        <f t="shared" si="1"/>
        <v>0</v>
      </c>
      <c r="E3060">
        <f t="shared" si="2"/>
        <v>0</v>
      </c>
      <c r="F3060" s="13"/>
    </row>
    <row r="3061" spans="1:6" ht="15.75" customHeight="1" x14ac:dyDescent="0.15">
      <c r="A3061" s="12" t="s">
        <v>6601</v>
      </c>
      <c r="B3061" s="13"/>
      <c r="C3061" t="e">
        <f t="shared" si="0"/>
        <v>#N/A</v>
      </c>
      <c r="D3061" t="b">
        <f t="shared" si="1"/>
        <v>0</v>
      </c>
      <c r="E3061">
        <f t="shared" si="2"/>
        <v>0</v>
      </c>
      <c r="F3061" s="13"/>
    </row>
    <row r="3062" spans="1:6" ht="15.75" customHeight="1" x14ac:dyDescent="0.15">
      <c r="A3062" s="12" t="s">
        <v>6602</v>
      </c>
      <c r="B3062" s="13"/>
      <c r="C3062" t="e">
        <f t="shared" si="0"/>
        <v>#N/A</v>
      </c>
      <c r="D3062" t="b">
        <f t="shared" si="1"/>
        <v>0</v>
      </c>
      <c r="E3062">
        <f t="shared" si="2"/>
        <v>0</v>
      </c>
      <c r="F3062" s="13"/>
    </row>
    <row r="3063" spans="1:6" ht="15.75" customHeight="1" x14ac:dyDescent="0.15">
      <c r="A3063" s="12" t="s">
        <v>6603</v>
      </c>
      <c r="B3063" s="13"/>
      <c r="C3063" t="e">
        <f t="shared" si="0"/>
        <v>#N/A</v>
      </c>
      <c r="D3063" t="b">
        <f t="shared" si="1"/>
        <v>0</v>
      </c>
      <c r="E3063">
        <f t="shared" si="2"/>
        <v>0</v>
      </c>
      <c r="F3063" s="13"/>
    </row>
    <row r="3064" spans="1:6" ht="15.75" customHeight="1" x14ac:dyDescent="0.15">
      <c r="A3064" s="12" t="s">
        <v>6604</v>
      </c>
      <c r="B3064" s="13"/>
      <c r="C3064" t="e">
        <f t="shared" si="0"/>
        <v>#N/A</v>
      </c>
      <c r="D3064" t="b">
        <f t="shared" si="1"/>
        <v>0</v>
      </c>
      <c r="E3064">
        <f t="shared" si="2"/>
        <v>0</v>
      </c>
      <c r="F3064" s="13"/>
    </row>
    <row r="3065" spans="1:6" ht="15.75" customHeight="1" x14ac:dyDescent="0.15">
      <c r="A3065" s="12" t="s">
        <v>6605</v>
      </c>
      <c r="B3065" s="13"/>
      <c r="C3065" t="e">
        <f t="shared" si="0"/>
        <v>#N/A</v>
      </c>
      <c r="D3065" t="b">
        <f t="shared" si="1"/>
        <v>0</v>
      </c>
      <c r="E3065">
        <f t="shared" si="2"/>
        <v>0</v>
      </c>
      <c r="F3065" s="13"/>
    </row>
    <row r="3066" spans="1:6" ht="15.75" customHeight="1" x14ac:dyDescent="0.15">
      <c r="A3066" s="12" t="s">
        <v>6606</v>
      </c>
      <c r="B3066" s="13"/>
      <c r="C3066" t="e">
        <f t="shared" si="0"/>
        <v>#N/A</v>
      </c>
      <c r="D3066" t="b">
        <f t="shared" si="1"/>
        <v>0</v>
      </c>
      <c r="E3066">
        <f t="shared" si="2"/>
        <v>0</v>
      </c>
      <c r="F3066" s="13"/>
    </row>
    <row r="3067" spans="1:6" ht="15.75" customHeight="1" x14ac:dyDescent="0.15">
      <c r="A3067" s="12" t="s">
        <v>6607</v>
      </c>
      <c r="B3067" s="13"/>
      <c r="C3067" t="e">
        <f t="shared" si="0"/>
        <v>#N/A</v>
      </c>
      <c r="D3067" t="b">
        <f t="shared" si="1"/>
        <v>0</v>
      </c>
      <c r="E3067">
        <f t="shared" si="2"/>
        <v>0</v>
      </c>
      <c r="F3067" s="13"/>
    </row>
    <row r="3068" spans="1:6" ht="15.75" customHeight="1" x14ac:dyDescent="0.15">
      <c r="A3068" s="12" t="s">
        <v>6608</v>
      </c>
      <c r="B3068" s="13"/>
      <c r="C3068" t="e">
        <f t="shared" si="0"/>
        <v>#N/A</v>
      </c>
      <c r="D3068" t="b">
        <f t="shared" si="1"/>
        <v>0</v>
      </c>
      <c r="E3068">
        <f t="shared" si="2"/>
        <v>0</v>
      </c>
      <c r="F3068" s="13"/>
    </row>
    <row r="3069" spans="1:6" ht="15.75" customHeight="1" x14ac:dyDescent="0.15">
      <c r="A3069" s="12" t="s">
        <v>6609</v>
      </c>
      <c r="B3069" s="13"/>
      <c r="C3069" t="e">
        <f t="shared" si="0"/>
        <v>#N/A</v>
      </c>
      <c r="D3069" t="b">
        <f t="shared" si="1"/>
        <v>0</v>
      </c>
      <c r="E3069">
        <f t="shared" si="2"/>
        <v>0</v>
      </c>
      <c r="F3069" s="13"/>
    </row>
    <row r="3070" spans="1:6" ht="15.75" customHeight="1" x14ac:dyDescent="0.15">
      <c r="A3070" s="12" t="s">
        <v>6610</v>
      </c>
      <c r="B3070" s="13"/>
      <c r="C3070" t="e">
        <f t="shared" si="0"/>
        <v>#N/A</v>
      </c>
      <c r="D3070" t="b">
        <f t="shared" si="1"/>
        <v>0</v>
      </c>
      <c r="E3070">
        <f t="shared" si="2"/>
        <v>0</v>
      </c>
      <c r="F3070" s="13"/>
    </row>
    <row r="3071" spans="1:6" ht="15.75" customHeight="1" x14ac:dyDescent="0.15">
      <c r="A3071" s="12" t="s">
        <v>6611</v>
      </c>
      <c r="B3071" s="13"/>
      <c r="C3071" t="e">
        <f t="shared" si="0"/>
        <v>#N/A</v>
      </c>
      <c r="D3071" t="b">
        <f t="shared" si="1"/>
        <v>0</v>
      </c>
      <c r="E3071">
        <f t="shared" si="2"/>
        <v>0</v>
      </c>
      <c r="F3071" s="13"/>
    </row>
    <row r="3072" spans="1:6" ht="15.75" customHeight="1" x14ac:dyDescent="0.15">
      <c r="A3072" s="12" t="s">
        <v>6612</v>
      </c>
      <c r="B3072" s="13"/>
      <c r="C3072" t="e">
        <f t="shared" si="0"/>
        <v>#N/A</v>
      </c>
      <c r="D3072" t="b">
        <f t="shared" si="1"/>
        <v>0</v>
      </c>
      <c r="E3072">
        <f t="shared" si="2"/>
        <v>0</v>
      </c>
      <c r="F3072" s="13"/>
    </row>
    <row r="3073" spans="1:6" ht="15.75" customHeight="1" x14ac:dyDescent="0.15">
      <c r="A3073" s="12" t="s">
        <v>6613</v>
      </c>
      <c r="B3073" s="13"/>
      <c r="C3073" t="e">
        <f t="shared" si="0"/>
        <v>#N/A</v>
      </c>
      <c r="D3073" t="b">
        <f t="shared" si="1"/>
        <v>0</v>
      </c>
      <c r="E3073">
        <f t="shared" si="2"/>
        <v>0</v>
      </c>
      <c r="F3073" s="13"/>
    </row>
    <row r="3074" spans="1:6" ht="15.75" customHeight="1" x14ac:dyDescent="0.15">
      <c r="A3074" s="12" t="s">
        <v>6614</v>
      </c>
      <c r="B3074" s="13"/>
      <c r="C3074" t="e">
        <f t="shared" si="0"/>
        <v>#N/A</v>
      </c>
      <c r="D3074" t="b">
        <f t="shared" si="1"/>
        <v>0</v>
      </c>
      <c r="E3074">
        <f t="shared" si="2"/>
        <v>0</v>
      </c>
      <c r="F3074" s="13"/>
    </row>
    <row r="3075" spans="1:6" ht="15.75" customHeight="1" x14ac:dyDescent="0.15">
      <c r="A3075" s="12" t="s">
        <v>6615</v>
      </c>
      <c r="B3075" s="13"/>
      <c r="C3075" t="e">
        <f t="shared" si="0"/>
        <v>#N/A</v>
      </c>
      <c r="D3075" t="b">
        <f t="shared" si="1"/>
        <v>0</v>
      </c>
      <c r="E3075">
        <f t="shared" si="2"/>
        <v>0</v>
      </c>
      <c r="F3075" s="13"/>
    </row>
    <row r="3076" spans="1:6" ht="15.75" customHeight="1" x14ac:dyDescent="0.15">
      <c r="A3076" s="12" t="s">
        <v>6616</v>
      </c>
      <c r="B3076" s="13"/>
      <c r="C3076" t="e">
        <f t="shared" si="0"/>
        <v>#N/A</v>
      </c>
      <c r="D3076" t="b">
        <f t="shared" si="1"/>
        <v>0</v>
      </c>
      <c r="E3076">
        <f t="shared" si="2"/>
        <v>0</v>
      </c>
      <c r="F3076" s="13"/>
    </row>
    <row r="3077" spans="1:6" ht="15.75" customHeight="1" x14ac:dyDescent="0.15">
      <c r="A3077" s="12" t="s">
        <v>6617</v>
      </c>
      <c r="B3077" s="13"/>
      <c r="C3077" t="e">
        <f t="shared" si="0"/>
        <v>#N/A</v>
      </c>
      <c r="D3077" t="b">
        <f t="shared" si="1"/>
        <v>0</v>
      </c>
      <c r="E3077">
        <f t="shared" si="2"/>
        <v>0</v>
      </c>
      <c r="F3077" s="13"/>
    </row>
    <row r="3078" spans="1:6" ht="15.75" customHeight="1" x14ac:dyDescent="0.15">
      <c r="A3078" s="12" t="s">
        <v>6618</v>
      </c>
      <c r="B3078" s="13"/>
      <c r="C3078" t="e">
        <f t="shared" si="0"/>
        <v>#N/A</v>
      </c>
      <c r="D3078" t="b">
        <f t="shared" si="1"/>
        <v>0</v>
      </c>
      <c r="E3078">
        <f t="shared" si="2"/>
        <v>0</v>
      </c>
      <c r="F3078" s="13"/>
    </row>
    <row r="3079" spans="1:6" ht="15.75" customHeight="1" x14ac:dyDescent="0.15">
      <c r="A3079" s="12" t="s">
        <v>6619</v>
      </c>
      <c r="B3079" s="13"/>
      <c r="C3079" t="e">
        <f t="shared" si="0"/>
        <v>#N/A</v>
      </c>
      <c r="D3079" t="b">
        <f t="shared" si="1"/>
        <v>0</v>
      </c>
      <c r="E3079">
        <f t="shared" si="2"/>
        <v>0</v>
      </c>
      <c r="F3079" s="13"/>
    </row>
    <row r="3080" spans="1:6" ht="15.75" customHeight="1" x14ac:dyDescent="0.15">
      <c r="A3080" s="12" t="s">
        <v>6620</v>
      </c>
      <c r="B3080" s="13"/>
      <c r="C3080" t="e">
        <f t="shared" si="0"/>
        <v>#N/A</v>
      </c>
      <c r="D3080" t="b">
        <f t="shared" si="1"/>
        <v>0</v>
      </c>
      <c r="E3080">
        <f t="shared" si="2"/>
        <v>0</v>
      </c>
      <c r="F3080" s="13"/>
    </row>
    <row r="3081" spans="1:6" ht="15.75" customHeight="1" x14ac:dyDescent="0.15">
      <c r="A3081" s="12" t="s">
        <v>6621</v>
      </c>
      <c r="B3081" s="13"/>
      <c r="C3081" t="e">
        <f t="shared" si="0"/>
        <v>#N/A</v>
      </c>
      <c r="D3081" t="b">
        <f t="shared" si="1"/>
        <v>0</v>
      </c>
      <c r="E3081">
        <f t="shared" si="2"/>
        <v>0</v>
      </c>
      <c r="F3081" s="13"/>
    </row>
    <row r="3082" spans="1:6" ht="15.75" customHeight="1" x14ac:dyDescent="0.15">
      <c r="A3082" s="12" t="s">
        <v>6622</v>
      </c>
      <c r="B3082" s="13"/>
      <c r="C3082" t="e">
        <f t="shared" si="0"/>
        <v>#N/A</v>
      </c>
      <c r="D3082" t="b">
        <f t="shared" si="1"/>
        <v>0</v>
      </c>
      <c r="E3082">
        <f t="shared" si="2"/>
        <v>0</v>
      </c>
      <c r="F3082" s="13"/>
    </row>
    <row r="3083" spans="1:6" ht="15.75" customHeight="1" x14ac:dyDescent="0.15">
      <c r="A3083" s="12" t="s">
        <v>6623</v>
      </c>
      <c r="B3083" s="13"/>
      <c r="C3083" t="e">
        <f t="shared" si="0"/>
        <v>#N/A</v>
      </c>
      <c r="D3083" t="b">
        <f t="shared" si="1"/>
        <v>0</v>
      </c>
      <c r="E3083">
        <f t="shared" si="2"/>
        <v>0</v>
      </c>
      <c r="F3083" s="13"/>
    </row>
    <row r="3084" spans="1:6" ht="15.75" customHeight="1" x14ac:dyDescent="0.15">
      <c r="A3084" s="12" t="s">
        <v>6624</v>
      </c>
      <c r="B3084" s="13"/>
      <c r="C3084" t="e">
        <f t="shared" si="0"/>
        <v>#N/A</v>
      </c>
      <c r="D3084" t="b">
        <f t="shared" si="1"/>
        <v>0</v>
      </c>
      <c r="E3084">
        <f t="shared" si="2"/>
        <v>0</v>
      </c>
      <c r="F3084" s="13"/>
    </row>
    <row r="3085" spans="1:6" ht="15.75" customHeight="1" x14ac:dyDescent="0.15">
      <c r="A3085" s="12" t="s">
        <v>6625</v>
      </c>
      <c r="B3085" s="13"/>
      <c r="C3085" t="e">
        <f t="shared" si="0"/>
        <v>#N/A</v>
      </c>
      <c r="D3085" t="b">
        <f t="shared" si="1"/>
        <v>0</v>
      </c>
      <c r="E3085">
        <f t="shared" si="2"/>
        <v>0</v>
      </c>
      <c r="F3085" s="13"/>
    </row>
    <row r="3086" spans="1:6" ht="15.75" customHeight="1" x14ac:dyDescent="0.15">
      <c r="A3086" s="12" t="s">
        <v>6626</v>
      </c>
      <c r="B3086" s="13"/>
      <c r="C3086" t="e">
        <f t="shared" si="0"/>
        <v>#N/A</v>
      </c>
      <c r="D3086" t="b">
        <f t="shared" si="1"/>
        <v>0</v>
      </c>
      <c r="E3086">
        <f t="shared" si="2"/>
        <v>0</v>
      </c>
      <c r="F3086" s="13"/>
    </row>
    <row r="3087" spans="1:6" ht="15.75" customHeight="1" x14ac:dyDescent="0.15">
      <c r="A3087" s="12" t="s">
        <v>6627</v>
      </c>
      <c r="B3087" s="13"/>
      <c r="C3087" t="e">
        <f t="shared" si="0"/>
        <v>#N/A</v>
      </c>
      <c r="D3087" t="b">
        <f t="shared" si="1"/>
        <v>0</v>
      </c>
      <c r="E3087">
        <f t="shared" si="2"/>
        <v>0</v>
      </c>
      <c r="F3087" s="13"/>
    </row>
    <row r="3088" spans="1:6" ht="15.75" customHeight="1" x14ac:dyDescent="0.15">
      <c r="A3088" s="12" t="s">
        <v>6628</v>
      </c>
      <c r="B3088" s="13"/>
      <c r="C3088" t="e">
        <f t="shared" si="0"/>
        <v>#N/A</v>
      </c>
      <c r="D3088" t="b">
        <f t="shared" si="1"/>
        <v>0</v>
      </c>
      <c r="E3088">
        <f t="shared" si="2"/>
        <v>0</v>
      </c>
      <c r="F3088" s="13"/>
    </row>
    <row r="3089" spans="1:6" ht="15.75" customHeight="1" x14ac:dyDescent="0.15">
      <c r="A3089" s="12" t="s">
        <v>6629</v>
      </c>
      <c r="B3089" s="13"/>
      <c r="C3089" t="e">
        <f t="shared" si="0"/>
        <v>#N/A</v>
      </c>
      <c r="D3089" t="b">
        <f t="shared" si="1"/>
        <v>0</v>
      </c>
      <c r="E3089">
        <f t="shared" si="2"/>
        <v>0</v>
      </c>
      <c r="F3089" s="13"/>
    </row>
    <row r="3090" spans="1:6" ht="15.75" customHeight="1" x14ac:dyDescent="0.15">
      <c r="A3090" s="12" t="s">
        <v>6630</v>
      </c>
      <c r="B3090" s="13"/>
      <c r="C3090" t="e">
        <f t="shared" si="0"/>
        <v>#N/A</v>
      </c>
      <c r="D3090" t="b">
        <f t="shared" si="1"/>
        <v>0</v>
      </c>
      <c r="E3090">
        <f t="shared" si="2"/>
        <v>0</v>
      </c>
      <c r="F3090" s="13"/>
    </row>
    <row r="3091" spans="1:6" ht="15.75" customHeight="1" x14ac:dyDescent="0.15">
      <c r="A3091" s="12" t="s">
        <v>6631</v>
      </c>
      <c r="B3091" s="13"/>
      <c r="C3091" t="e">
        <f t="shared" si="0"/>
        <v>#N/A</v>
      </c>
      <c r="D3091" t="b">
        <f t="shared" si="1"/>
        <v>0</v>
      </c>
      <c r="E3091">
        <f t="shared" si="2"/>
        <v>0</v>
      </c>
      <c r="F3091" s="13"/>
    </row>
    <row r="3092" spans="1:6" ht="15.75" customHeight="1" x14ac:dyDescent="0.15">
      <c r="A3092" s="12" t="s">
        <v>6632</v>
      </c>
      <c r="B3092" s="13"/>
      <c r="C3092" t="e">
        <f t="shared" si="0"/>
        <v>#N/A</v>
      </c>
      <c r="D3092" t="b">
        <f t="shared" si="1"/>
        <v>0</v>
      </c>
      <c r="E3092">
        <f t="shared" si="2"/>
        <v>0</v>
      </c>
      <c r="F3092" s="13"/>
    </row>
    <row r="3093" spans="1:6" ht="15.75" customHeight="1" x14ac:dyDescent="0.15">
      <c r="A3093" s="12" t="s">
        <v>6633</v>
      </c>
      <c r="B3093" s="13"/>
      <c r="C3093" t="e">
        <f t="shared" si="0"/>
        <v>#N/A</v>
      </c>
      <c r="D3093" t="b">
        <f t="shared" si="1"/>
        <v>0</v>
      </c>
      <c r="E3093">
        <f t="shared" si="2"/>
        <v>0</v>
      </c>
      <c r="F3093" s="13"/>
    </row>
    <row r="3094" spans="1:6" ht="15.75" customHeight="1" x14ac:dyDescent="0.15">
      <c r="A3094" s="12" t="s">
        <v>6634</v>
      </c>
      <c r="B3094" s="13"/>
      <c r="C3094" t="e">
        <f t="shared" si="0"/>
        <v>#N/A</v>
      </c>
      <c r="D3094" t="b">
        <f t="shared" si="1"/>
        <v>0</v>
      </c>
      <c r="E3094">
        <f t="shared" si="2"/>
        <v>0</v>
      </c>
      <c r="F3094" s="13"/>
    </row>
    <row r="3095" spans="1:6" ht="15.75" customHeight="1" x14ac:dyDescent="0.15">
      <c r="A3095" s="12" t="s">
        <v>6635</v>
      </c>
      <c r="B3095" s="13"/>
      <c r="C3095" t="e">
        <f t="shared" si="0"/>
        <v>#N/A</v>
      </c>
      <c r="D3095" t="b">
        <f t="shared" si="1"/>
        <v>0</v>
      </c>
      <c r="E3095">
        <f t="shared" si="2"/>
        <v>0</v>
      </c>
      <c r="F3095" s="13"/>
    </row>
    <row r="3096" spans="1:6" ht="15.75" customHeight="1" x14ac:dyDescent="0.15">
      <c r="A3096" s="12" t="s">
        <v>6636</v>
      </c>
      <c r="B3096" s="13"/>
      <c r="C3096" t="e">
        <f t="shared" si="0"/>
        <v>#N/A</v>
      </c>
      <c r="D3096" t="b">
        <f t="shared" si="1"/>
        <v>0</v>
      </c>
      <c r="E3096">
        <f t="shared" si="2"/>
        <v>0</v>
      </c>
      <c r="F3096" s="13"/>
    </row>
    <row r="3097" spans="1:6" ht="15.75" customHeight="1" x14ac:dyDescent="0.15">
      <c r="A3097" s="12" t="s">
        <v>6637</v>
      </c>
      <c r="B3097" s="13"/>
      <c r="C3097" t="e">
        <f t="shared" si="0"/>
        <v>#N/A</v>
      </c>
      <c r="D3097" t="b">
        <f t="shared" si="1"/>
        <v>0</v>
      </c>
      <c r="E3097">
        <f t="shared" si="2"/>
        <v>0</v>
      </c>
      <c r="F3097" s="13"/>
    </row>
    <row r="3098" spans="1:6" ht="15.75" customHeight="1" x14ac:dyDescent="0.15">
      <c r="A3098" s="12" t="s">
        <v>6638</v>
      </c>
      <c r="B3098" s="13"/>
      <c r="C3098" t="e">
        <f t="shared" si="0"/>
        <v>#N/A</v>
      </c>
      <c r="D3098" t="b">
        <f t="shared" si="1"/>
        <v>0</v>
      </c>
      <c r="E3098">
        <f t="shared" si="2"/>
        <v>0</v>
      </c>
      <c r="F3098" s="13"/>
    </row>
    <row r="3099" spans="1:6" ht="15.75" customHeight="1" x14ac:dyDescent="0.15">
      <c r="A3099" s="12" t="s">
        <v>6639</v>
      </c>
      <c r="B3099" s="13"/>
      <c r="C3099" t="e">
        <f t="shared" si="0"/>
        <v>#N/A</v>
      </c>
      <c r="D3099" t="b">
        <f t="shared" si="1"/>
        <v>0</v>
      </c>
      <c r="E3099">
        <f t="shared" si="2"/>
        <v>0</v>
      </c>
      <c r="F3099" s="13"/>
    </row>
    <row r="3100" spans="1:6" ht="15.75" customHeight="1" x14ac:dyDescent="0.15">
      <c r="A3100" s="12" t="s">
        <v>6640</v>
      </c>
      <c r="B3100" s="13"/>
      <c r="C3100" t="e">
        <f t="shared" si="0"/>
        <v>#N/A</v>
      </c>
      <c r="D3100" t="b">
        <f t="shared" si="1"/>
        <v>0</v>
      </c>
      <c r="E3100">
        <f t="shared" si="2"/>
        <v>0</v>
      </c>
      <c r="F3100" s="13"/>
    </row>
    <row r="3101" spans="1:6" ht="15.75" customHeight="1" x14ac:dyDescent="0.15">
      <c r="A3101" s="12" t="s">
        <v>6641</v>
      </c>
      <c r="B3101" s="13"/>
      <c r="C3101" t="e">
        <f t="shared" si="0"/>
        <v>#N/A</v>
      </c>
      <c r="D3101" t="b">
        <f t="shared" si="1"/>
        <v>0</v>
      </c>
      <c r="E3101">
        <f t="shared" si="2"/>
        <v>0</v>
      </c>
      <c r="F3101" s="13"/>
    </row>
    <row r="3102" spans="1:6" ht="15.75" customHeight="1" x14ac:dyDescent="0.15">
      <c r="A3102" s="12" t="s">
        <v>6642</v>
      </c>
      <c r="B3102" s="13"/>
      <c r="C3102" t="e">
        <f t="shared" si="0"/>
        <v>#N/A</v>
      </c>
      <c r="D3102" t="b">
        <f t="shared" si="1"/>
        <v>0</v>
      </c>
      <c r="E3102">
        <f t="shared" si="2"/>
        <v>0</v>
      </c>
      <c r="F3102" s="13"/>
    </row>
    <row r="3103" spans="1:6" ht="15.75" customHeight="1" x14ac:dyDescent="0.15">
      <c r="A3103" s="12" t="s">
        <v>6643</v>
      </c>
      <c r="B3103" s="13"/>
      <c r="C3103" t="e">
        <f t="shared" si="0"/>
        <v>#N/A</v>
      </c>
      <c r="D3103" t="b">
        <f t="shared" si="1"/>
        <v>0</v>
      </c>
      <c r="E3103">
        <f t="shared" si="2"/>
        <v>0</v>
      </c>
      <c r="F3103" s="13"/>
    </row>
    <row r="3104" spans="1:6" ht="15.75" customHeight="1" x14ac:dyDescent="0.15">
      <c r="A3104" s="12" t="s">
        <v>6644</v>
      </c>
      <c r="B3104" s="13"/>
      <c r="C3104" t="e">
        <f t="shared" si="0"/>
        <v>#N/A</v>
      </c>
      <c r="D3104" t="b">
        <f t="shared" si="1"/>
        <v>0</v>
      </c>
      <c r="E3104">
        <f t="shared" si="2"/>
        <v>0</v>
      </c>
      <c r="F3104" s="13"/>
    </row>
    <row r="3105" spans="1:6" ht="15.75" customHeight="1" x14ac:dyDescent="0.15">
      <c r="A3105" s="12" t="s">
        <v>6645</v>
      </c>
      <c r="B3105" s="13"/>
      <c r="C3105" t="e">
        <f t="shared" si="0"/>
        <v>#N/A</v>
      </c>
      <c r="D3105" t="b">
        <f t="shared" si="1"/>
        <v>0</v>
      </c>
      <c r="E3105">
        <f t="shared" si="2"/>
        <v>0</v>
      </c>
      <c r="F3105" s="13"/>
    </row>
    <row r="3106" spans="1:6" ht="15.75" customHeight="1" x14ac:dyDescent="0.15">
      <c r="A3106" s="12" t="s">
        <v>6646</v>
      </c>
      <c r="B3106" s="13"/>
      <c r="C3106" t="e">
        <f t="shared" si="0"/>
        <v>#N/A</v>
      </c>
      <c r="D3106" t="b">
        <f t="shared" si="1"/>
        <v>0</v>
      </c>
      <c r="E3106">
        <f t="shared" si="2"/>
        <v>0</v>
      </c>
      <c r="F3106" s="13"/>
    </row>
    <row r="3107" spans="1:6" ht="15.75" customHeight="1" x14ac:dyDescent="0.15">
      <c r="A3107" s="12" t="s">
        <v>6647</v>
      </c>
      <c r="B3107" s="13"/>
      <c r="C3107" t="e">
        <f t="shared" si="0"/>
        <v>#N/A</v>
      </c>
      <c r="D3107" t="b">
        <f t="shared" si="1"/>
        <v>0</v>
      </c>
      <c r="E3107">
        <f t="shared" si="2"/>
        <v>0</v>
      </c>
      <c r="F3107" s="13"/>
    </row>
    <row r="3108" spans="1:6" ht="15.75" customHeight="1" x14ac:dyDescent="0.15">
      <c r="A3108" s="12" t="s">
        <v>6648</v>
      </c>
      <c r="B3108" s="13"/>
      <c r="C3108" t="e">
        <f t="shared" si="0"/>
        <v>#N/A</v>
      </c>
      <c r="D3108" t="b">
        <f t="shared" si="1"/>
        <v>0</v>
      </c>
      <c r="E3108">
        <f t="shared" si="2"/>
        <v>0</v>
      </c>
      <c r="F3108" s="13"/>
    </row>
    <row r="3109" spans="1:6" ht="15.75" customHeight="1" x14ac:dyDescent="0.15">
      <c r="A3109" s="12" t="s">
        <v>6649</v>
      </c>
      <c r="B3109" s="13"/>
      <c r="C3109" t="e">
        <f t="shared" si="0"/>
        <v>#N/A</v>
      </c>
      <c r="D3109" t="b">
        <f t="shared" si="1"/>
        <v>0</v>
      </c>
      <c r="E3109">
        <f t="shared" si="2"/>
        <v>0</v>
      </c>
      <c r="F3109" s="13"/>
    </row>
    <row r="3110" spans="1:6" ht="15.75" customHeight="1" x14ac:dyDescent="0.15">
      <c r="A3110" s="12" t="s">
        <v>6650</v>
      </c>
      <c r="B3110" s="13"/>
      <c r="C3110" t="e">
        <f t="shared" si="0"/>
        <v>#N/A</v>
      </c>
      <c r="D3110" t="b">
        <f t="shared" si="1"/>
        <v>0</v>
      </c>
      <c r="E3110">
        <f t="shared" si="2"/>
        <v>0</v>
      </c>
      <c r="F3110" s="13"/>
    </row>
    <row r="3111" spans="1:6" ht="15.75" customHeight="1" x14ac:dyDescent="0.15">
      <c r="A3111" s="12" t="s">
        <v>6651</v>
      </c>
      <c r="B3111" s="13"/>
      <c r="C3111" t="e">
        <f t="shared" si="0"/>
        <v>#N/A</v>
      </c>
      <c r="D3111" t="b">
        <f t="shared" si="1"/>
        <v>0</v>
      </c>
      <c r="E3111">
        <f t="shared" si="2"/>
        <v>0</v>
      </c>
      <c r="F3111" s="13"/>
    </row>
    <row r="3112" spans="1:6" ht="15.75" customHeight="1" x14ac:dyDescent="0.15">
      <c r="A3112" s="12" t="s">
        <v>6652</v>
      </c>
      <c r="B3112" s="13"/>
      <c r="C3112" t="e">
        <f t="shared" si="0"/>
        <v>#N/A</v>
      </c>
      <c r="D3112" t="b">
        <f t="shared" si="1"/>
        <v>0</v>
      </c>
      <c r="E3112">
        <f t="shared" si="2"/>
        <v>0</v>
      </c>
      <c r="F3112" s="13"/>
    </row>
    <row r="3113" spans="1:6" ht="15.75" customHeight="1" x14ac:dyDescent="0.15">
      <c r="A3113" s="12" t="s">
        <v>6653</v>
      </c>
      <c r="B3113" s="13"/>
      <c r="C3113" t="e">
        <f t="shared" si="0"/>
        <v>#N/A</v>
      </c>
      <c r="D3113" t="b">
        <f t="shared" si="1"/>
        <v>0</v>
      </c>
      <c r="E3113">
        <f t="shared" si="2"/>
        <v>0</v>
      </c>
      <c r="F3113" s="13"/>
    </row>
    <row r="3114" spans="1:6" ht="15.75" customHeight="1" x14ac:dyDescent="0.15">
      <c r="A3114" s="12" t="s">
        <v>6654</v>
      </c>
      <c r="B3114" s="13"/>
      <c r="C3114" t="e">
        <f t="shared" si="0"/>
        <v>#N/A</v>
      </c>
      <c r="D3114" t="b">
        <f t="shared" si="1"/>
        <v>0</v>
      </c>
      <c r="E3114">
        <f t="shared" si="2"/>
        <v>0</v>
      </c>
      <c r="F3114" s="13"/>
    </row>
    <row r="3115" spans="1:6" ht="15.75" customHeight="1" x14ac:dyDescent="0.15">
      <c r="A3115" s="12" t="s">
        <v>6654</v>
      </c>
      <c r="B3115" s="13"/>
      <c r="C3115" t="e">
        <f t="shared" si="0"/>
        <v>#N/A</v>
      </c>
      <c r="D3115" t="b">
        <f t="shared" si="1"/>
        <v>0</v>
      </c>
      <c r="E3115">
        <f t="shared" si="2"/>
        <v>0</v>
      </c>
      <c r="F3115" s="13"/>
    </row>
    <row r="3116" spans="1:6" ht="15.75" customHeight="1" x14ac:dyDescent="0.15">
      <c r="A3116" s="12" t="s">
        <v>6655</v>
      </c>
      <c r="B3116" s="13"/>
      <c r="C3116" t="e">
        <f t="shared" si="0"/>
        <v>#N/A</v>
      </c>
      <c r="D3116" t="b">
        <f t="shared" si="1"/>
        <v>0</v>
      </c>
      <c r="E3116">
        <f t="shared" si="2"/>
        <v>0</v>
      </c>
      <c r="F3116" s="13"/>
    </row>
    <row r="3117" spans="1:6" ht="15.75" customHeight="1" x14ac:dyDescent="0.15">
      <c r="A3117" s="12" t="s">
        <v>6656</v>
      </c>
      <c r="B3117" s="13"/>
      <c r="C3117" t="e">
        <f t="shared" si="0"/>
        <v>#N/A</v>
      </c>
      <c r="D3117" t="b">
        <f t="shared" si="1"/>
        <v>0</v>
      </c>
      <c r="E3117">
        <f t="shared" si="2"/>
        <v>0</v>
      </c>
      <c r="F3117" s="13"/>
    </row>
    <row r="3118" spans="1:6" ht="15.75" customHeight="1" x14ac:dyDescent="0.15">
      <c r="A3118" s="12" t="s">
        <v>6657</v>
      </c>
      <c r="B3118" s="13"/>
      <c r="C3118" t="e">
        <f t="shared" si="0"/>
        <v>#N/A</v>
      </c>
      <c r="D3118" t="b">
        <f t="shared" si="1"/>
        <v>0</v>
      </c>
      <c r="E3118">
        <f t="shared" si="2"/>
        <v>0</v>
      </c>
      <c r="F3118" s="13"/>
    </row>
    <row r="3119" spans="1:6" ht="15.75" customHeight="1" x14ac:dyDescent="0.15">
      <c r="A3119" s="12" t="s">
        <v>6658</v>
      </c>
      <c r="B3119" s="13"/>
      <c r="C3119" t="e">
        <f t="shared" si="0"/>
        <v>#N/A</v>
      </c>
      <c r="D3119" t="b">
        <f t="shared" si="1"/>
        <v>0</v>
      </c>
      <c r="E3119">
        <f t="shared" si="2"/>
        <v>0</v>
      </c>
      <c r="F3119" s="13"/>
    </row>
    <row r="3120" spans="1:6" ht="15.75" customHeight="1" x14ac:dyDescent="0.15">
      <c r="A3120" s="12" t="s">
        <v>6659</v>
      </c>
      <c r="B3120" s="13"/>
      <c r="C3120" t="e">
        <f t="shared" si="0"/>
        <v>#N/A</v>
      </c>
      <c r="D3120" t="b">
        <f t="shared" si="1"/>
        <v>0</v>
      </c>
      <c r="E3120">
        <f t="shared" si="2"/>
        <v>0</v>
      </c>
      <c r="F3120" s="13"/>
    </row>
    <row r="3121" spans="1:6" ht="15.75" customHeight="1" x14ac:dyDescent="0.15">
      <c r="A3121" s="12" t="s">
        <v>6660</v>
      </c>
      <c r="B3121" s="13"/>
      <c r="C3121" t="e">
        <f t="shared" si="0"/>
        <v>#N/A</v>
      </c>
      <c r="D3121" t="b">
        <f t="shared" si="1"/>
        <v>0</v>
      </c>
      <c r="E3121">
        <f t="shared" si="2"/>
        <v>0</v>
      </c>
      <c r="F3121" s="13"/>
    </row>
    <row r="3122" spans="1:6" ht="15.75" customHeight="1" x14ac:dyDescent="0.15">
      <c r="A3122" s="12" t="s">
        <v>6661</v>
      </c>
      <c r="B3122" s="13"/>
      <c r="C3122" t="e">
        <f t="shared" si="0"/>
        <v>#N/A</v>
      </c>
      <c r="D3122" t="b">
        <f t="shared" si="1"/>
        <v>0</v>
      </c>
      <c r="E3122">
        <f t="shared" si="2"/>
        <v>0</v>
      </c>
      <c r="F3122" s="13"/>
    </row>
    <row r="3123" spans="1:6" ht="15.75" customHeight="1" x14ac:dyDescent="0.15">
      <c r="A3123" s="12" t="s">
        <v>6662</v>
      </c>
      <c r="B3123" s="13"/>
      <c r="C3123" t="e">
        <f t="shared" si="0"/>
        <v>#N/A</v>
      </c>
      <c r="D3123" t="b">
        <f t="shared" si="1"/>
        <v>0</v>
      </c>
      <c r="E3123">
        <f t="shared" si="2"/>
        <v>0</v>
      </c>
      <c r="F3123" s="13"/>
    </row>
    <row r="3124" spans="1:6" ht="15.75" customHeight="1" x14ac:dyDescent="0.15">
      <c r="A3124" s="12" t="s">
        <v>6663</v>
      </c>
      <c r="B3124" s="13"/>
      <c r="C3124" t="e">
        <f t="shared" si="0"/>
        <v>#N/A</v>
      </c>
      <c r="D3124" t="b">
        <f t="shared" si="1"/>
        <v>0</v>
      </c>
      <c r="E3124">
        <f t="shared" si="2"/>
        <v>0</v>
      </c>
      <c r="F3124" s="13"/>
    </row>
    <row r="3125" spans="1:6" ht="15.75" customHeight="1" x14ac:dyDescent="0.15">
      <c r="A3125" s="12" t="s">
        <v>6664</v>
      </c>
      <c r="B3125" s="13"/>
      <c r="C3125" t="e">
        <f t="shared" si="0"/>
        <v>#N/A</v>
      </c>
      <c r="D3125" t="b">
        <f t="shared" si="1"/>
        <v>0</v>
      </c>
      <c r="E3125">
        <f t="shared" si="2"/>
        <v>0</v>
      </c>
      <c r="F3125" s="13"/>
    </row>
    <row r="3126" spans="1:6" ht="15.75" customHeight="1" x14ac:dyDescent="0.15">
      <c r="A3126" s="12" t="s">
        <v>6665</v>
      </c>
      <c r="B3126" s="13"/>
      <c r="C3126" t="e">
        <f t="shared" si="0"/>
        <v>#N/A</v>
      </c>
      <c r="D3126" t="b">
        <f t="shared" si="1"/>
        <v>0</v>
      </c>
      <c r="E3126">
        <f t="shared" si="2"/>
        <v>0</v>
      </c>
      <c r="F3126" s="13"/>
    </row>
    <row r="3127" spans="1:6" ht="15.75" customHeight="1" x14ac:dyDescent="0.15">
      <c r="A3127" s="12" t="s">
        <v>6666</v>
      </c>
      <c r="B3127" s="13"/>
      <c r="C3127" t="e">
        <f t="shared" si="0"/>
        <v>#N/A</v>
      </c>
      <c r="D3127" t="b">
        <f t="shared" si="1"/>
        <v>0</v>
      </c>
      <c r="E3127">
        <f t="shared" si="2"/>
        <v>0</v>
      </c>
      <c r="F3127" s="13"/>
    </row>
    <row r="3128" spans="1:6" ht="15.75" customHeight="1" x14ac:dyDescent="0.15">
      <c r="A3128" s="12" t="s">
        <v>6667</v>
      </c>
      <c r="B3128" s="13"/>
      <c r="C3128" t="e">
        <f t="shared" si="0"/>
        <v>#N/A</v>
      </c>
      <c r="D3128" t="b">
        <f t="shared" si="1"/>
        <v>0</v>
      </c>
      <c r="E3128">
        <f t="shared" si="2"/>
        <v>0</v>
      </c>
      <c r="F3128" s="13"/>
    </row>
    <row r="3129" spans="1:6" ht="15.75" customHeight="1" x14ac:dyDescent="0.15">
      <c r="A3129" s="12" t="s">
        <v>6668</v>
      </c>
      <c r="B3129" s="13"/>
      <c r="C3129" t="e">
        <f t="shared" si="0"/>
        <v>#N/A</v>
      </c>
      <c r="D3129" t="b">
        <f t="shared" si="1"/>
        <v>0</v>
      </c>
      <c r="E3129">
        <f t="shared" si="2"/>
        <v>0</v>
      </c>
      <c r="F3129" s="13"/>
    </row>
    <row r="3130" spans="1:6" ht="15.75" customHeight="1" x14ac:dyDescent="0.15">
      <c r="A3130" s="12" t="s">
        <v>6669</v>
      </c>
      <c r="B3130" s="13"/>
      <c r="C3130" t="e">
        <f t="shared" si="0"/>
        <v>#N/A</v>
      </c>
      <c r="D3130" t="b">
        <f t="shared" si="1"/>
        <v>0</v>
      </c>
      <c r="E3130">
        <f t="shared" si="2"/>
        <v>0</v>
      </c>
      <c r="F3130" s="13"/>
    </row>
    <row r="3131" spans="1:6" ht="15.75" customHeight="1" x14ac:dyDescent="0.15">
      <c r="A3131" s="12" t="s">
        <v>6670</v>
      </c>
      <c r="B3131" s="13"/>
      <c r="C3131" t="e">
        <f t="shared" si="0"/>
        <v>#N/A</v>
      </c>
      <c r="D3131" t="b">
        <f t="shared" si="1"/>
        <v>0</v>
      </c>
      <c r="E3131">
        <f t="shared" si="2"/>
        <v>0</v>
      </c>
      <c r="F3131" s="13"/>
    </row>
    <row r="3132" spans="1:6" ht="15.75" customHeight="1" x14ac:dyDescent="0.15">
      <c r="A3132" s="12" t="s">
        <v>6671</v>
      </c>
      <c r="B3132" s="13"/>
      <c r="C3132" t="e">
        <f t="shared" si="0"/>
        <v>#N/A</v>
      </c>
      <c r="D3132" t="b">
        <f t="shared" si="1"/>
        <v>0</v>
      </c>
      <c r="E3132">
        <f t="shared" si="2"/>
        <v>0</v>
      </c>
      <c r="F3132" s="13"/>
    </row>
    <row r="3133" spans="1:6" ht="15.75" customHeight="1" x14ac:dyDescent="0.15">
      <c r="A3133" s="12" t="s">
        <v>6671</v>
      </c>
      <c r="B3133" s="13"/>
      <c r="C3133" t="e">
        <f t="shared" si="0"/>
        <v>#N/A</v>
      </c>
      <c r="D3133" t="b">
        <f t="shared" si="1"/>
        <v>0</v>
      </c>
      <c r="E3133">
        <f t="shared" si="2"/>
        <v>0</v>
      </c>
      <c r="F3133" s="13"/>
    </row>
    <row r="3134" spans="1:6" ht="15.75" customHeight="1" x14ac:dyDescent="0.15">
      <c r="A3134" s="12" t="s">
        <v>6672</v>
      </c>
      <c r="B3134" s="13"/>
      <c r="C3134" t="e">
        <f t="shared" si="0"/>
        <v>#N/A</v>
      </c>
      <c r="D3134" t="b">
        <f t="shared" si="1"/>
        <v>0</v>
      </c>
      <c r="E3134">
        <f t="shared" si="2"/>
        <v>0</v>
      </c>
      <c r="F3134" s="13"/>
    </row>
    <row r="3135" spans="1:6" ht="15.75" customHeight="1" x14ac:dyDescent="0.15">
      <c r="A3135" s="12" t="s">
        <v>6673</v>
      </c>
      <c r="B3135" s="13"/>
      <c r="C3135" t="e">
        <f t="shared" si="0"/>
        <v>#N/A</v>
      </c>
      <c r="D3135" t="b">
        <f t="shared" si="1"/>
        <v>0</v>
      </c>
      <c r="E3135">
        <f t="shared" si="2"/>
        <v>0</v>
      </c>
      <c r="F3135" s="13"/>
    </row>
    <row r="3136" spans="1:6" ht="15.75" customHeight="1" x14ac:dyDescent="0.15">
      <c r="A3136" s="12" t="s">
        <v>6674</v>
      </c>
      <c r="B3136" s="13"/>
      <c r="C3136" t="e">
        <f t="shared" si="0"/>
        <v>#N/A</v>
      </c>
      <c r="D3136" t="b">
        <f t="shared" si="1"/>
        <v>0</v>
      </c>
      <c r="E3136">
        <f t="shared" si="2"/>
        <v>0</v>
      </c>
      <c r="F3136" s="13"/>
    </row>
    <row r="3137" spans="1:6" ht="15.75" customHeight="1" x14ac:dyDescent="0.15">
      <c r="A3137" s="12" t="s">
        <v>6675</v>
      </c>
      <c r="B3137" s="13"/>
      <c r="C3137" t="e">
        <f t="shared" si="0"/>
        <v>#N/A</v>
      </c>
      <c r="D3137" t="b">
        <f t="shared" si="1"/>
        <v>0</v>
      </c>
      <c r="E3137">
        <f t="shared" si="2"/>
        <v>0</v>
      </c>
      <c r="F3137" s="13"/>
    </row>
    <row r="3138" spans="1:6" ht="15.75" customHeight="1" x14ac:dyDescent="0.15">
      <c r="A3138" s="12" t="s">
        <v>6676</v>
      </c>
      <c r="B3138" s="13"/>
      <c r="C3138" t="e">
        <f t="shared" si="0"/>
        <v>#N/A</v>
      </c>
      <c r="D3138" t="b">
        <f t="shared" si="1"/>
        <v>0</v>
      </c>
      <c r="E3138">
        <f t="shared" si="2"/>
        <v>0</v>
      </c>
      <c r="F3138" s="13"/>
    </row>
    <row r="3139" spans="1:6" ht="15.75" customHeight="1" x14ac:dyDescent="0.15">
      <c r="A3139" s="12" t="s">
        <v>6677</v>
      </c>
      <c r="B3139" s="13"/>
      <c r="C3139" t="e">
        <f t="shared" si="0"/>
        <v>#N/A</v>
      </c>
      <c r="D3139" t="b">
        <f t="shared" si="1"/>
        <v>0</v>
      </c>
      <c r="E3139">
        <f t="shared" si="2"/>
        <v>0</v>
      </c>
      <c r="F3139" s="13"/>
    </row>
    <row r="3140" spans="1:6" ht="15.75" customHeight="1" x14ac:dyDescent="0.15">
      <c r="A3140" s="12" t="s">
        <v>6678</v>
      </c>
      <c r="B3140" s="13"/>
      <c r="C3140" t="e">
        <f t="shared" si="0"/>
        <v>#N/A</v>
      </c>
      <c r="D3140" t="b">
        <f t="shared" si="1"/>
        <v>0</v>
      </c>
      <c r="E3140">
        <f t="shared" si="2"/>
        <v>0</v>
      </c>
      <c r="F3140" s="13"/>
    </row>
    <row r="3141" spans="1:6" ht="15.75" customHeight="1" x14ac:dyDescent="0.15">
      <c r="A3141" s="12" t="s">
        <v>6679</v>
      </c>
      <c r="B3141" s="13"/>
      <c r="C3141" t="e">
        <f t="shared" si="0"/>
        <v>#N/A</v>
      </c>
      <c r="D3141" t="b">
        <f t="shared" si="1"/>
        <v>0</v>
      </c>
      <c r="E3141">
        <f t="shared" si="2"/>
        <v>0</v>
      </c>
      <c r="F3141" s="13"/>
    </row>
    <row r="3142" spans="1:6" ht="15.75" customHeight="1" x14ac:dyDescent="0.15">
      <c r="A3142" s="12" t="s">
        <v>6680</v>
      </c>
      <c r="B3142" s="13"/>
      <c r="C3142" t="e">
        <f t="shared" si="0"/>
        <v>#N/A</v>
      </c>
      <c r="D3142" t="b">
        <f t="shared" si="1"/>
        <v>0</v>
      </c>
      <c r="E3142">
        <f t="shared" si="2"/>
        <v>0</v>
      </c>
      <c r="F3142" s="13"/>
    </row>
    <row r="3143" spans="1:6" ht="15.75" customHeight="1" x14ac:dyDescent="0.15">
      <c r="A3143" s="12" t="s">
        <v>6681</v>
      </c>
      <c r="B3143" s="13"/>
      <c r="C3143" t="e">
        <f t="shared" si="0"/>
        <v>#N/A</v>
      </c>
      <c r="D3143" t="b">
        <f t="shared" si="1"/>
        <v>0</v>
      </c>
      <c r="E3143">
        <f t="shared" si="2"/>
        <v>0</v>
      </c>
      <c r="F3143" s="13"/>
    </row>
    <row r="3144" spans="1:6" ht="15.75" customHeight="1" x14ac:dyDescent="0.15">
      <c r="A3144" s="12" t="s">
        <v>6682</v>
      </c>
      <c r="B3144" s="13"/>
      <c r="C3144" t="e">
        <f t="shared" si="0"/>
        <v>#N/A</v>
      </c>
      <c r="D3144" t="b">
        <f t="shared" si="1"/>
        <v>0</v>
      </c>
      <c r="E3144">
        <f t="shared" si="2"/>
        <v>0</v>
      </c>
      <c r="F3144" s="13"/>
    </row>
    <row r="3145" spans="1:6" ht="15.75" customHeight="1" x14ac:dyDescent="0.15">
      <c r="A3145" s="12" t="s">
        <v>6683</v>
      </c>
      <c r="B3145" s="13"/>
      <c r="C3145" t="e">
        <f t="shared" si="0"/>
        <v>#N/A</v>
      </c>
      <c r="D3145" t="b">
        <f t="shared" si="1"/>
        <v>0</v>
      </c>
      <c r="E3145">
        <f t="shared" si="2"/>
        <v>0</v>
      </c>
      <c r="F3145" s="13"/>
    </row>
    <row r="3146" spans="1:6" ht="15.75" customHeight="1" x14ac:dyDescent="0.15">
      <c r="A3146" s="12" t="s">
        <v>6684</v>
      </c>
      <c r="B3146" s="13"/>
      <c r="C3146" t="e">
        <f t="shared" si="0"/>
        <v>#N/A</v>
      </c>
      <c r="D3146" t="b">
        <f t="shared" si="1"/>
        <v>0</v>
      </c>
      <c r="E3146">
        <f t="shared" si="2"/>
        <v>0</v>
      </c>
      <c r="F3146" s="13"/>
    </row>
    <row r="3147" spans="1:6" ht="15.75" customHeight="1" x14ac:dyDescent="0.15">
      <c r="A3147" s="12" t="s">
        <v>6685</v>
      </c>
      <c r="B3147" s="13"/>
      <c r="C3147" t="e">
        <f t="shared" si="0"/>
        <v>#N/A</v>
      </c>
      <c r="D3147" t="b">
        <f t="shared" si="1"/>
        <v>0</v>
      </c>
      <c r="E3147">
        <f t="shared" si="2"/>
        <v>0</v>
      </c>
      <c r="F3147" s="13"/>
    </row>
    <row r="3148" spans="1:6" ht="15.75" customHeight="1" x14ac:dyDescent="0.15">
      <c r="A3148" s="12" t="s">
        <v>6686</v>
      </c>
      <c r="B3148" s="13"/>
      <c r="C3148" t="e">
        <f t="shared" si="0"/>
        <v>#N/A</v>
      </c>
      <c r="D3148" t="b">
        <f t="shared" si="1"/>
        <v>0</v>
      </c>
      <c r="E3148">
        <f t="shared" si="2"/>
        <v>0</v>
      </c>
      <c r="F3148" s="13"/>
    </row>
    <row r="3149" spans="1:6" ht="15.75" customHeight="1" x14ac:dyDescent="0.15">
      <c r="A3149" s="12" t="s">
        <v>6687</v>
      </c>
      <c r="B3149" s="13"/>
      <c r="C3149" t="e">
        <f t="shared" si="0"/>
        <v>#N/A</v>
      </c>
      <c r="D3149" t="b">
        <f t="shared" si="1"/>
        <v>0</v>
      </c>
      <c r="E3149">
        <f t="shared" si="2"/>
        <v>0</v>
      </c>
      <c r="F3149" s="13"/>
    </row>
    <row r="3150" spans="1:6" ht="15.75" customHeight="1" x14ac:dyDescent="0.15">
      <c r="A3150" s="12" t="s">
        <v>6688</v>
      </c>
      <c r="B3150" s="13"/>
      <c r="C3150" t="e">
        <f t="shared" si="0"/>
        <v>#N/A</v>
      </c>
      <c r="D3150" t="b">
        <f t="shared" si="1"/>
        <v>0</v>
      </c>
      <c r="E3150">
        <f t="shared" si="2"/>
        <v>0</v>
      </c>
      <c r="F3150" s="13"/>
    </row>
    <row r="3151" spans="1:6" ht="15.75" customHeight="1" x14ac:dyDescent="0.15">
      <c r="A3151" s="12" t="s">
        <v>6689</v>
      </c>
      <c r="B3151" s="13"/>
      <c r="C3151" t="e">
        <f t="shared" si="0"/>
        <v>#N/A</v>
      </c>
      <c r="D3151" t="b">
        <f t="shared" si="1"/>
        <v>0</v>
      </c>
      <c r="E3151">
        <f t="shared" si="2"/>
        <v>0</v>
      </c>
      <c r="F3151" s="13"/>
    </row>
    <row r="3152" spans="1:6" ht="15.75" customHeight="1" x14ac:dyDescent="0.15">
      <c r="A3152" s="12" t="s">
        <v>6690</v>
      </c>
      <c r="B3152" s="13"/>
      <c r="C3152" t="e">
        <f t="shared" si="0"/>
        <v>#N/A</v>
      </c>
      <c r="D3152" t="b">
        <f t="shared" si="1"/>
        <v>0</v>
      </c>
      <c r="E3152">
        <f t="shared" si="2"/>
        <v>0</v>
      </c>
      <c r="F3152" s="13"/>
    </row>
    <row r="3153" spans="1:6" ht="15.75" customHeight="1" x14ac:dyDescent="0.15">
      <c r="A3153" s="14" t="s">
        <v>6691</v>
      </c>
      <c r="B3153" s="13"/>
      <c r="C3153" t="e">
        <f t="shared" si="0"/>
        <v>#N/A</v>
      </c>
      <c r="D3153" t="b">
        <f t="shared" si="1"/>
        <v>0</v>
      </c>
      <c r="E3153">
        <f t="shared" si="2"/>
        <v>0</v>
      </c>
      <c r="F3153" s="13"/>
    </row>
    <row r="3154" spans="1:6" ht="15.75" customHeight="1" x14ac:dyDescent="0.15">
      <c r="A3154" s="12" t="s">
        <v>6692</v>
      </c>
      <c r="B3154" s="13"/>
      <c r="C3154" t="e">
        <f t="shared" si="0"/>
        <v>#N/A</v>
      </c>
      <c r="D3154" t="b">
        <f t="shared" si="1"/>
        <v>0</v>
      </c>
      <c r="E3154">
        <f t="shared" si="2"/>
        <v>0</v>
      </c>
      <c r="F3154" s="13"/>
    </row>
    <row r="3155" spans="1:6" ht="15.75" customHeight="1" x14ac:dyDescent="0.15">
      <c r="A3155" s="12" t="s">
        <v>6693</v>
      </c>
      <c r="B3155" s="13"/>
      <c r="C3155" t="e">
        <f t="shared" si="0"/>
        <v>#N/A</v>
      </c>
      <c r="D3155" t="b">
        <f t="shared" si="1"/>
        <v>0</v>
      </c>
      <c r="E3155">
        <f t="shared" si="2"/>
        <v>0</v>
      </c>
      <c r="F3155" s="13"/>
    </row>
    <row r="3156" spans="1:6" ht="15.75" customHeight="1" x14ac:dyDescent="0.15">
      <c r="A3156" s="12" t="s">
        <v>6694</v>
      </c>
      <c r="B3156" s="13"/>
      <c r="C3156" t="e">
        <f t="shared" si="0"/>
        <v>#N/A</v>
      </c>
      <c r="D3156" t="b">
        <f t="shared" si="1"/>
        <v>0</v>
      </c>
      <c r="E3156">
        <f t="shared" si="2"/>
        <v>0</v>
      </c>
      <c r="F3156" s="13"/>
    </row>
    <row r="3157" spans="1:6" ht="15.75" customHeight="1" x14ac:dyDescent="0.15">
      <c r="A3157" s="12" t="s">
        <v>6695</v>
      </c>
      <c r="B3157" s="13"/>
      <c r="C3157" t="e">
        <f t="shared" si="0"/>
        <v>#N/A</v>
      </c>
      <c r="D3157" t="b">
        <f t="shared" si="1"/>
        <v>0</v>
      </c>
      <c r="E3157">
        <f t="shared" si="2"/>
        <v>0</v>
      </c>
      <c r="F3157" s="13"/>
    </row>
    <row r="3158" spans="1:6" ht="15.75" customHeight="1" x14ac:dyDescent="0.15">
      <c r="A3158" s="12" t="s">
        <v>6696</v>
      </c>
      <c r="B3158" s="13"/>
      <c r="C3158" t="e">
        <f t="shared" si="0"/>
        <v>#N/A</v>
      </c>
      <c r="D3158" t="b">
        <f t="shared" si="1"/>
        <v>0</v>
      </c>
      <c r="E3158">
        <f t="shared" si="2"/>
        <v>0</v>
      </c>
      <c r="F3158" s="13"/>
    </row>
    <row r="3159" spans="1:6" ht="15.75" customHeight="1" x14ac:dyDescent="0.15">
      <c r="A3159" s="12" t="s">
        <v>6697</v>
      </c>
      <c r="B3159" s="13"/>
      <c r="C3159" t="e">
        <f t="shared" si="0"/>
        <v>#N/A</v>
      </c>
      <c r="D3159" t="b">
        <f t="shared" si="1"/>
        <v>0</v>
      </c>
      <c r="E3159">
        <f t="shared" si="2"/>
        <v>0</v>
      </c>
      <c r="F3159" s="13"/>
    </row>
    <row r="3160" spans="1:6" ht="15.75" customHeight="1" x14ac:dyDescent="0.15">
      <c r="A3160" s="12" t="s">
        <v>6698</v>
      </c>
      <c r="B3160" s="13"/>
      <c r="C3160" t="e">
        <f t="shared" si="0"/>
        <v>#N/A</v>
      </c>
      <c r="D3160" t="b">
        <f t="shared" si="1"/>
        <v>0</v>
      </c>
      <c r="E3160">
        <f t="shared" si="2"/>
        <v>0</v>
      </c>
      <c r="F3160" s="13"/>
    </row>
    <row r="3161" spans="1:6" ht="15.75" customHeight="1" x14ac:dyDescent="0.15">
      <c r="A3161" s="12" t="s">
        <v>6699</v>
      </c>
      <c r="B3161" s="13"/>
      <c r="C3161" t="e">
        <f t="shared" si="0"/>
        <v>#N/A</v>
      </c>
      <c r="D3161" t="b">
        <f t="shared" si="1"/>
        <v>0</v>
      </c>
      <c r="E3161">
        <f t="shared" si="2"/>
        <v>0</v>
      </c>
      <c r="F3161" s="13"/>
    </row>
    <row r="3162" spans="1:6" ht="15.75" customHeight="1" x14ac:dyDescent="0.15">
      <c r="A3162" s="12" t="s">
        <v>6700</v>
      </c>
      <c r="B3162" s="13"/>
      <c r="C3162" t="e">
        <f t="shared" si="0"/>
        <v>#N/A</v>
      </c>
      <c r="D3162" t="b">
        <f t="shared" si="1"/>
        <v>0</v>
      </c>
      <c r="E3162">
        <f t="shared" si="2"/>
        <v>0</v>
      </c>
      <c r="F3162" s="13"/>
    </row>
    <row r="3163" spans="1:6" ht="15.75" customHeight="1" x14ac:dyDescent="0.15">
      <c r="A3163" s="12" t="s">
        <v>6701</v>
      </c>
      <c r="B3163" s="13"/>
      <c r="C3163" t="e">
        <f t="shared" si="0"/>
        <v>#N/A</v>
      </c>
      <c r="D3163" t="b">
        <f t="shared" si="1"/>
        <v>0</v>
      </c>
      <c r="E3163">
        <f t="shared" si="2"/>
        <v>0</v>
      </c>
      <c r="F3163" s="13"/>
    </row>
    <row r="3164" spans="1:6" ht="15.75" customHeight="1" x14ac:dyDescent="0.15">
      <c r="A3164" s="12" t="s">
        <v>6702</v>
      </c>
      <c r="B3164" s="13"/>
      <c r="C3164" t="e">
        <f t="shared" si="0"/>
        <v>#N/A</v>
      </c>
      <c r="D3164" t="b">
        <f t="shared" si="1"/>
        <v>0</v>
      </c>
      <c r="E3164">
        <f t="shared" si="2"/>
        <v>0</v>
      </c>
      <c r="F3164" s="13"/>
    </row>
    <row r="3165" spans="1:6" ht="15.75" customHeight="1" x14ac:dyDescent="0.15">
      <c r="A3165" s="12" t="s">
        <v>6703</v>
      </c>
      <c r="B3165" s="13"/>
      <c r="C3165" t="e">
        <f t="shared" si="0"/>
        <v>#N/A</v>
      </c>
      <c r="D3165" t="b">
        <f t="shared" si="1"/>
        <v>0</v>
      </c>
      <c r="E3165">
        <f t="shared" si="2"/>
        <v>0</v>
      </c>
      <c r="F3165" s="13"/>
    </row>
    <row r="3166" spans="1:6" ht="15.75" customHeight="1" x14ac:dyDescent="0.15">
      <c r="A3166" s="12" t="s">
        <v>6704</v>
      </c>
      <c r="B3166" s="13"/>
      <c r="C3166" t="e">
        <f t="shared" si="0"/>
        <v>#N/A</v>
      </c>
      <c r="D3166" t="b">
        <f t="shared" si="1"/>
        <v>0</v>
      </c>
      <c r="E3166">
        <f t="shared" si="2"/>
        <v>0</v>
      </c>
      <c r="F3166" s="13"/>
    </row>
    <row r="3167" spans="1:6" ht="15.75" customHeight="1" x14ac:dyDescent="0.15">
      <c r="A3167" s="12" t="s">
        <v>6705</v>
      </c>
      <c r="B3167" s="13"/>
      <c r="C3167" t="e">
        <f t="shared" si="0"/>
        <v>#N/A</v>
      </c>
      <c r="D3167" t="b">
        <f t="shared" si="1"/>
        <v>0</v>
      </c>
      <c r="E3167">
        <f t="shared" si="2"/>
        <v>0</v>
      </c>
      <c r="F3167" s="13"/>
    </row>
    <row r="3168" spans="1:6" ht="15.75" customHeight="1" x14ac:dyDescent="0.15">
      <c r="A3168" s="12" t="s">
        <v>6706</v>
      </c>
      <c r="B3168" s="13"/>
      <c r="C3168" t="e">
        <f t="shared" si="0"/>
        <v>#N/A</v>
      </c>
      <c r="D3168" t="b">
        <f t="shared" si="1"/>
        <v>0</v>
      </c>
      <c r="E3168">
        <f t="shared" si="2"/>
        <v>0</v>
      </c>
      <c r="F3168" s="13"/>
    </row>
    <row r="3169" spans="1:6" ht="15.75" customHeight="1" x14ac:dyDescent="0.15">
      <c r="A3169" s="12" t="s">
        <v>6707</v>
      </c>
      <c r="B3169" s="13"/>
      <c r="C3169" t="e">
        <f t="shared" si="0"/>
        <v>#N/A</v>
      </c>
      <c r="D3169" t="b">
        <f t="shared" si="1"/>
        <v>0</v>
      </c>
      <c r="E3169">
        <f t="shared" si="2"/>
        <v>0</v>
      </c>
      <c r="F3169" s="13"/>
    </row>
    <row r="3170" spans="1:6" ht="15.75" customHeight="1" x14ac:dyDescent="0.15">
      <c r="A3170" s="12" t="s">
        <v>6708</v>
      </c>
      <c r="B3170" s="13"/>
      <c r="C3170" t="e">
        <f t="shared" si="0"/>
        <v>#N/A</v>
      </c>
      <c r="D3170" t="b">
        <f t="shared" si="1"/>
        <v>0</v>
      </c>
      <c r="E3170">
        <f t="shared" si="2"/>
        <v>0</v>
      </c>
      <c r="F3170" s="13"/>
    </row>
    <row r="3171" spans="1:6" ht="15.75" customHeight="1" x14ac:dyDescent="0.15">
      <c r="A3171" s="12" t="s">
        <v>6709</v>
      </c>
      <c r="B3171" s="13"/>
      <c r="C3171" t="e">
        <f t="shared" si="0"/>
        <v>#N/A</v>
      </c>
      <c r="D3171" t="b">
        <f t="shared" si="1"/>
        <v>0</v>
      </c>
      <c r="E3171">
        <f t="shared" si="2"/>
        <v>0</v>
      </c>
      <c r="F3171" s="13"/>
    </row>
    <row r="3172" spans="1:6" ht="15.75" customHeight="1" x14ac:dyDescent="0.15">
      <c r="A3172" s="12" t="s">
        <v>6710</v>
      </c>
      <c r="B3172" s="13"/>
      <c r="C3172" t="e">
        <f t="shared" si="0"/>
        <v>#N/A</v>
      </c>
      <c r="D3172" t="b">
        <f t="shared" si="1"/>
        <v>0</v>
      </c>
      <c r="E3172">
        <f t="shared" si="2"/>
        <v>0</v>
      </c>
      <c r="F3172" s="13"/>
    </row>
    <row r="3173" spans="1:6" ht="15.75" customHeight="1" x14ac:dyDescent="0.15">
      <c r="A3173" s="12" t="s">
        <v>6711</v>
      </c>
      <c r="B3173" s="13"/>
      <c r="C3173" t="e">
        <f t="shared" si="0"/>
        <v>#N/A</v>
      </c>
      <c r="D3173" t="b">
        <f t="shared" si="1"/>
        <v>0</v>
      </c>
      <c r="E3173">
        <f t="shared" si="2"/>
        <v>0</v>
      </c>
      <c r="F3173" s="13"/>
    </row>
    <row r="3174" spans="1:6" ht="15.75" customHeight="1" x14ac:dyDescent="0.15">
      <c r="A3174" s="12" t="s">
        <v>6712</v>
      </c>
      <c r="B3174" s="13"/>
      <c r="C3174" t="e">
        <f t="shared" si="0"/>
        <v>#N/A</v>
      </c>
      <c r="D3174" t="b">
        <f t="shared" si="1"/>
        <v>0</v>
      </c>
      <c r="E3174">
        <f t="shared" si="2"/>
        <v>0</v>
      </c>
      <c r="F3174" s="13"/>
    </row>
    <row r="3175" spans="1:6" ht="15.75" customHeight="1" x14ac:dyDescent="0.15">
      <c r="A3175" s="12" t="s">
        <v>6713</v>
      </c>
      <c r="B3175" s="13"/>
      <c r="C3175" t="e">
        <f t="shared" si="0"/>
        <v>#N/A</v>
      </c>
      <c r="D3175" t="b">
        <f t="shared" si="1"/>
        <v>0</v>
      </c>
      <c r="E3175">
        <f t="shared" si="2"/>
        <v>0</v>
      </c>
      <c r="F3175" s="13"/>
    </row>
    <row r="3176" spans="1:6" ht="15.75" customHeight="1" x14ac:dyDescent="0.15">
      <c r="A3176" s="12" t="s">
        <v>6714</v>
      </c>
      <c r="B3176" s="13"/>
      <c r="C3176" t="e">
        <f t="shared" si="0"/>
        <v>#N/A</v>
      </c>
      <c r="D3176" t="b">
        <f t="shared" si="1"/>
        <v>0</v>
      </c>
      <c r="E3176">
        <f t="shared" si="2"/>
        <v>0</v>
      </c>
      <c r="F3176" s="13"/>
    </row>
    <row r="3177" spans="1:6" ht="15.75" customHeight="1" x14ac:dyDescent="0.15">
      <c r="A3177" s="12" t="s">
        <v>6715</v>
      </c>
      <c r="B3177" s="13"/>
      <c r="C3177" t="e">
        <f t="shared" si="0"/>
        <v>#N/A</v>
      </c>
      <c r="D3177" t="b">
        <f t="shared" si="1"/>
        <v>0</v>
      </c>
      <c r="E3177">
        <f t="shared" si="2"/>
        <v>0</v>
      </c>
      <c r="F3177" s="13"/>
    </row>
    <row r="3178" spans="1:6" ht="15.75" customHeight="1" x14ac:dyDescent="0.15">
      <c r="A3178" s="12" t="s">
        <v>6716</v>
      </c>
      <c r="B3178" s="13"/>
      <c r="C3178" t="e">
        <f t="shared" si="0"/>
        <v>#N/A</v>
      </c>
      <c r="D3178" t="b">
        <f t="shared" si="1"/>
        <v>0</v>
      </c>
      <c r="E3178">
        <f t="shared" si="2"/>
        <v>0</v>
      </c>
      <c r="F3178" s="13"/>
    </row>
    <row r="3179" spans="1:6" ht="15.75" customHeight="1" x14ac:dyDescent="0.15">
      <c r="A3179" s="12" t="s">
        <v>6717</v>
      </c>
      <c r="B3179" s="13"/>
      <c r="C3179" t="e">
        <f t="shared" si="0"/>
        <v>#N/A</v>
      </c>
      <c r="D3179" t="b">
        <f t="shared" si="1"/>
        <v>0</v>
      </c>
      <c r="E3179">
        <f t="shared" si="2"/>
        <v>0</v>
      </c>
      <c r="F3179" s="13"/>
    </row>
    <row r="3180" spans="1:6" ht="15.75" customHeight="1" x14ac:dyDescent="0.15">
      <c r="A3180" s="12" t="s">
        <v>6718</v>
      </c>
      <c r="B3180" s="13"/>
      <c r="C3180" t="e">
        <f t="shared" si="0"/>
        <v>#N/A</v>
      </c>
      <c r="D3180" t="b">
        <f t="shared" si="1"/>
        <v>0</v>
      </c>
      <c r="E3180">
        <f t="shared" si="2"/>
        <v>0</v>
      </c>
      <c r="F3180" s="13"/>
    </row>
    <row r="3181" spans="1:6" ht="15.75" customHeight="1" x14ac:dyDescent="0.15">
      <c r="A3181" s="12" t="s">
        <v>6719</v>
      </c>
      <c r="B3181" s="13"/>
      <c r="C3181" t="e">
        <f t="shared" si="0"/>
        <v>#N/A</v>
      </c>
      <c r="D3181" t="b">
        <f t="shared" si="1"/>
        <v>0</v>
      </c>
      <c r="E3181">
        <f t="shared" si="2"/>
        <v>0</v>
      </c>
      <c r="F3181" s="13"/>
    </row>
    <row r="3182" spans="1:6" ht="15.75" customHeight="1" x14ac:dyDescent="0.15">
      <c r="A3182" s="12" t="s">
        <v>6720</v>
      </c>
      <c r="B3182" s="13"/>
      <c r="C3182" t="e">
        <f t="shared" si="0"/>
        <v>#N/A</v>
      </c>
      <c r="D3182" t="b">
        <f t="shared" si="1"/>
        <v>0</v>
      </c>
      <c r="E3182">
        <f t="shared" si="2"/>
        <v>0</v>
      </c>
      <c r="F3182" s="13"/>
    </row>
    <row r="3183" spans="1:6" ht="15.75" customHeight="1" x14ac:dyDescent="0.15">
      <c r="A3183" s="12" t="s">
        <v>6721</v>
      </c>
      <c r="B3183" s="13"/>
      <c r="C3183" t="e">
        <f t="shared" si="0"/>
        <v>#N/A</v>
      </c>
      <c r="D3183" t="b">
        <f t="shared" si="1"/>
        <v>0</v>
      </c>
      <c r="E3183">
        <f t="shared" si="2"/>
        <v>0</v>
      </c>
      <c r="F3183" s="13"/>
    </row>
    <row r="3184" spans="1:6" ht="15.75" customHeight="1" x14ac:dyDescent="0.15">
      <c r="A3184" s="12" t="s">
        <v>6722</v>
      </c>
      <c r="B3184" s="13"/>
      <c r="C3184" t="e">
        <f t="shared" si="0"/>
        <v>#N/A</v>
      </c>
      <c r="D3184" t="b">
        <f t="shared" si="1"/>
        <v>0</v>
      </c>
      <c r="E3184">
        <f t="shared" si="2"/>
        <v>0</v>
      </c>
      <c r="F3184" s="13"/>
    </row>
    <row r="3185" spans="1:6" ht="15.75" customHeight="1" x14ac:dyDescent="0.15">
      <c r="A3185" s="12" t="s">
        <v>6723</v>
      </c>
      <c r="B3185" s="13"/>
      <c r="C3185" t="e">
        <f t="shared" si="0"/>
        <v>#N/A</v>
      </c>
      <c r="D3185" t="b">
        <f t="shared" si="1"/>
        <v>0</v>
      </c>
      <c r="E3185">
        <f t="shared" si="2"/>
        <v>0</v>
      </c>
      <c r="F3185" s="13"/>
    </row>
    <row r="3186" spans="1:6" ht="15.75" customHeight="1" x14ac:dyDescent="0.15">
      <c r="A3186" s="12" t="s">
        <v>6724</v>
      </c>
      <c r="B3186" s="13"/>
      <c r="C3186" t="e">
        <f t="shared" si="0"/>
        <v>#N/A</v>
      </c>
      <c r="D3186" t="b">
        <f t="shared" si="1"/>
        <v>0</v>
      </c>
      <c r="E3186">
        <f t="shared" si="2"/>
        <v>0</v>
      </c>
      <c r="F3186" s="13"/>
    </row>
    <row r="3187" spans="1:6" ht="15.75" customHeight="1" x14ac:dyDescent="0.15">
      <c r="A3187" s="12" t="s">
        <v>6725</v>
      </c>
      <c r="B3187" s="13"/>
      <c r="C3187" t="e">
        <f t="shared" si="0"/>
        <v>#N/A</v>
      </c>
      <c r="D3187" t="b">
        <f t="shared" si="1"/>
        <v>0</v>
      </c>
      <c r="E3187">
        <f t="shared" si="2"/>
        <v>0</v>
      </c>
      <c r="F3187" s="13"/>
    </row>
    <row r="3188" spans="1:6" ht="15.75" customHeight="1" x14ac:dyDescent="0.15">
      <c r="A3188" s="12" t="s">
        <v>6726</v>
      </c>
      <c r="B3188" s="13"/>
      <c r="C3188" t="e">
        <f t="shared" si="0"/>
        <v>#N/A</v>
      </c>
      <c r="D3188" t="b">
        <f t="shared" si="1"/>
        <v>0</v>
      </c>
      <c r="E3188">
        <f t="shared" si="2"/>
        <v>0</v>
      </c>
      <c r="F3188" s="13"/>
    </row>
    <row r="3189" spans="1:6" ht="15.75" customHeight="1" x14ac:dyDescent="0.15">
      <c r="A3189" s="12" t="s">
        <v>6727</v>
      </c>
      <c r="B3189" s="13"/>
      <c r="C3189" t="e">
        <f t="shared" si="0"/>
        <v>#N/A</v>
      </c>
      <c r="D3189" t="b">
        <f t="shared" si="1"/>
        <v>0</v>
      </c>
      <c r="E3189">
        <f t="shared" si="2"/>
        <v>0</v>
      </c>
      <c r="F3189" s="13"/>
    </row>
    <row r="3190" spans="1:6" ht="15.75" customHeight="1" x14ac:dyDescent="0.15">
      <c r="A3190" s="12" t="s">
        <v>6728</v>
      </c>
      <c r="B3190" s="13"/>
      <c r="C3190" t="e">
        <f t="shared" si="0"/>
        <v>#N/A</v>
      </c>
      <c r="D3190" t="b">
        <f t="shared" si="1"/>
        <v>0</v>
      </c>
      <c r="E3190">
        <f t="shared" si="2"/>
        <v>0</v>
      </c>
      <c r="F3190" s="13"/>
    </row>
    <row r="3191" spans="1:6" ht="15.75" customHeight="1" x14ac:dyDescent="0.15">
      <c r="A3191" s="12" t="s">
        <v>6729</v>
      </c>
      <c r="B3191" s="13"/>
      <c r="C3191" t="e">
        <f t="shared" si="0"/>
        <v>#N/A</v>
      </c>
      <c r="D3191" t="b">
        <f t="shared" si="1"/>
        <v>0</v>
      </c>
      <c r="E3191">
        <f t="shared" si="2"/>
        <v>0</v>
      </c>
      <c r="F3191" s="13"/>
    </row>
    <row r="3192" spans="1:6" ht="15.75" customHeight="1" x14ac:dyDescent="0.15">
      <c r="A3192" s="12" t="s">
        <v>6730</v>
      </c>
      <c r="B3192" s="13"/>
      <c r="C3192" t="e">
        <f t="shared" si="0"/>
        <v>#N/A</v>
      </c>
      <c r="D3192" t="b">
        <f t="shared" si="1"/>
        <v>0</v>
      </c>
      <c r="E3192">
        <f t="shared" si="2"/>
        <v>0</v>
      </c>
      <c r="F3192" s="13"/>
    </row>
    <row r="3193" spans="1:6" ht="15.75" customHeight="1" x14ac:dyDescent="0.15">
      <c r="A3193" s="12" t="s">
        <v>6731</v>
      </c>
      <c r="B3193" s="13"/>
      <c r="C3193" t="e">
        <f t="shared" si="0"/>
        <v>#N/A</v>
      </c>
      <c r="D3193" t="b">
        <f t="shared" si="1"/>
        <v>0</v>
      </c>
      <c r="E3193">
        <f t="shared" si="2"/>
        <v>0</v>
      </c>
      <c r="F3193" s="13"/>
    </row>
    <row r="3194" spans="1:6" ht="15.75" customHeight="1" x14ac:dyDescent="0.15">
      <c r="A3194" s="12" t="s">
        <v>6732</v>
      </c>
      <c r="B3194" s="13"/>
      <c r="C3194" t="e">
        <f t="shared" si="0"/>
        <v>#N/A</v>
      </c>
      <c r="D3194" t="b">
        <f t="shared" si="1"/>
        <v>0</v>
      </c>
      <c r="E3194">
        <f t="shared" si="2"/>
        <v>0</v>
      </c>
      <c r="F3194" s="13"/>
    </row>
    <row r="3195" spans="1:6" ht="15.75" customHeight="1" x14ac:dyDescent="0.15">
      <c r="A3195" s="14" t="s">
        <v>6733</v>
      </c>
      <c r="B3195" s="13"/>
      <c r="C3195" t="e">
        <f t="shared" si="0"/>
        <v>#N/A</v>
      </c>
      <c r="D3195" t="b">
        <f t="shared" si="1"/>
        <v>0</v>
      </c>
      <c r="E3195">
        <f t="shared" si="2"/>
        <v>0</v>
      </c>
      <c r="F3195" s="13"/>
    </row>
    <row r="3196" spans="1:6" ht="15.75" customHeight="1" x14ac:dyDescent="0.15">
      <c r="A3196" s="12" t="s">
        <v>6734</v>
      </c>
      <c r="B3196" s="13"/>
      <c r="C3196" t="e">
        <f t="shared" si="0"/>
        <v>#N/A</v>
      </c>
      <c r="D3196" t="b">
        <f t="shared" si="1"/>
        <v>0</v>
      </c>
      <c r="E3196">
        <f t="shared" si="2"/>
        <v>0</v>
      </c>
      <c r="F3196" s="13"/>
    </row>
    <row r="3197" spans="1:6" ht="15.75" customHeight="1" x14ac:dyDescent="0.15">
      <c r="A3197" s="12" t="s">
        <v>6735</v>
      </c>
      <c r="B3197" s="13"/>
      <c r="C3197" t="e">
        <f t="shared" si="0"/>
        <v>#N/A</v>
      </c>
      <c r="D3197" t="b">
        <f t="shared" si="1"/>
        <v>0</v>
      </c>
      <c r="E3197">
        <f t="shared" si="2"/>
        <v>0</v>
      </c>
      <c r="F3197" s="13"/>
    </row>
    <row r="3198" spans="1:6" ht="15.75" customHeight="1" x14ac:dyDescent="0.15">
      <c r="A3198" s="12" t="s">
        <v>6736</v>
      </c>
      <c r="B3198" s="13"/>
      <c r="C3198" t="e">
        <f t="shared" si="0"/>
        <v>#N/A</v>
      </c>
      <c r="D3198" t="b">
        <f t="shared" si="1"/>
        <v>0</v>
      </c>
      <c r="E3198">
        <f t="shared" si="2"/>
        <v>0</v>
      </c>
      <c r="F3198" s="13"/>
    </row>
    <row r="3199" spans="1:6" ht="15.75" customHeight="1" x14ac:dyDescent="0.15">
      <c r="A3199" s="12" t="s">
        <v>6737</v>
      </c>
      <c r="B3199" s="13"/>
      <c r="C3199" t="e">
        <f t="shared" si="0"/>
        <v>#N/A</v>
      </c>
      <c r="D3199" t="b">
        <f t="shared" si="1"/>
        <v>0</v>
      </c>
      <c r="E3199">
        <f t="shared" si="2"/>
        <v>0</v>
      </c>
      <c r="F3199" s="13"/>
    </row>
    <row r="3200" spans="1:6" ht="15.75" customHeight="1" x14ac:dyDescent="0.15">
      <c r="A3200" s="12" t="s">
        <v>6738</v>
      </c>
      <c r="B3200" s="13"/>
      <c r="C3200" t="e">
        <f t="shared" si="0"/>
        <v>#N/A</v>
      </c>
      <c r="D3200" t="b">
        <f t="shared" si="1"/>
        <v>0</v>
      </c>
      <c r="E3200">
        <f t="shared" si="2"/>
        <v>0</v>
      </c>
      <c r="F3200" s="13"/>
    </row>
    <row r="3201" spans="1:6" ht="15.75" customHeight="1" x14ac:dyDescent="0.15">
      <c r="A3201" s="12" t="s">
        <v>6739</v>
      </c>
      <c r="B3201" s="13"/>
      <c r="C3201" t="e">
        <f t="shared" si="0"/>
        <v>#N/A</v>
      </c>
      <c r="D3201" t="b">
        <f t="shared" si="1"/>
        <v>0</v>
      </c>
      <c r="E3201">
        <f t="shared" si="2"/>
        <v>0</v>
      </c>
      <c r="F3201" s="13"/>
    </row>
    <row r="3202" spans="1:6" ht="15.75" customHeight="1" x14ac:dyDescent="0.15">
      <c r="A3202" s="12" t="s">
        <v>6740</v>
      </c>
      <c r="B3202" s="13"/>
      <c r="C3202" t="e">
        <f t="shared" si="0"/>
        <v>#N/A</v>
      </c>
      <c r="D3202" t="b">
        <f t="shared" si="1"/>
        <v>0</v>
      </c>
      <c r="E3202">
        <f t="shared" si="2"/>
        <v>0</v>
      </c>
      <c r="F3202" s="13"/>
    </row>
    <row r="3203" spans="1:6" ht="15.75" customHeight="1" x14ac:dyDescent="0.15">
      <c r="A3203" s="12" t="s">
        <v>6741</v>
      </c>
      <c r="B3203" s="13"/>
      <c r="C3203" t="e">
        <f t="shared" si="0"/>
        <v>#N/A</v>
      </c>
      <c r="D3203" t="b">
        <f t="shared" si="1"/>
        <v>0</v>
      </c>
      <c r="E3203">
        <f t="shared" si="2"/>
        <v>0</v>
      </c>
      <c r="F3203" s="13"/>
    </row>
    <row r="3204" spans="1:6" ht="15.75" customHeight="1" x14ac:dyDescent="0.15">
      <c r="A3204" s="12" t="s">
        <v>6742</v>
      </c>
      <c r="B3204" s="13"/>
      <c r="C3204" t="e">
        <f t="shared" si="0"/>
        <v>#N/A</v>
      </c>
      <c r="D3204" t="b">
        <f t="shared" si="1"/>
        <v>0</v>
      </c>
      <c r="E3204">
        <f t="shared" si="2"/>
        <v>0</v>
      </c>
      <c r="F3204" s="13"/>
    </row>
    <row r="3205" spans="1:6" ht="15.75" customHeight="1" x14ac:dyDescent="0.15">
      <c r="A3205" s="12" t="s">
        <v>6743</v>
      </c>
      <c r="B3205" s="13"/>
      <c r="C3205" t="e">
        <f t="shared" si="0"/>
        <v>#N/A</v>
      </c>
      <c r="D3205" t="b">
        <f t="shared" si="1"/>
        <v>0</v>
      </c>
      <c r="E3205">
        <f t="shared" si="2"/>
        <v>0</v>
      </c>
      <c r="F3205" s="13"/>
    </row>
    <row r="3206" spans="1:6" ht="15.75" customHeight="1" x14ac:dyDescent="0.15">
      <c r="A3206" s="12" t="s">
        <v>6744</v>
      </c>
      <c r="B3206" s="13"/>
      <c r="C3206" t="e">
        <f t="shared" si="0"/>
        <v>#N/A</v>
      </c>
      <c r="D3206" t="b">
        <f t="shared" si="1"/>
        <v>0</v>
      </c>
      <c r="E3206">
        <f t="shared" si="2"/>
        <v>0</v>
      </c>
      <c r="F3206" s="13"/>
    </row>
    <row r="3207" spans="1:6" ht="15.75" customHeight="1" x14ac:dyDescent="0.15">
      <c r="A3207" s="12" t="s">
        <v>6745</v>
      </c>
      <c r="B3207" s="13"/>
      <c r="C3207" t="e">
        <f t="shared" si="0"/>
        <v>#N/A</v>
      </c>
      <c r="D3207" t="b">
        <f t="shared" si="1"/>
        <v>0</v>
      </c>
      <c r="E3207">
        <f t="shared" si="2"/>
        <v>0</v>
      </c>
      <c r="F3207" s="13"/>
    </row>
    <row r="3208" spans="1:6" ht="15.75" customHeight="1" x14ac:dyDescent="0.15">
      <c r="A3208" s="12" t="s">
        <v>6746</v>
      </c>
      <c r="B3208" s="13"/>
      <c r="C3208" t="e">
        <f t="shared" si="0"/>
        <v>#N/A</v>
      </c>
      <c r="D3208" t="b">
        <f t="shared" si="1"/>
        <v>0</v>
      </c>
      <c r="E3208">
        <f t="shared" si="2"/>
        <v>0</v>
      </c>
      <c r="F3208" s="13"/>
    </row>
    <row r="3209" spans="1:6" ht="15.75" customHeight="1" x14ac:dyDescent="0.15">
      <c r="A3209" s="12" t="s">
        <v>6747</v>
      </c>
      <c r="B3209" s="13"/>
      <c r="C3209" t="e">
        <f t="shared" si="0"/>
        <v>#N/A</v>
      </c>
      <c r="D3209" t="b">
        <f t="shared" si="1"/>
        <v>0</v>
      </c>
      <c r="E3209">
        <f t="shared" si="2"/>
        <v>0</v>
      </c>
      <c r="F3209" s="13"/>
    </row>
    <row r="3210" spans="1:6" ht="15.75" customHeight="1" x14ac:dyDescent="0.15">
      <c r="A3210" s="12" t="s">
        <v>6748</v>
      </c>
      <c r="B3210" s="13"/>
      <c r="C3210" t="e">
        <f t="shared" si="0"/>
        <v>#N/A</v>
      </c>
      <c r="D3210" t="b">
        <f t="shared" si="1"/>
        <v>0</v>
      </c>
      <c r="E3210">
        <f t="shared" si="2"/>
        <v>0</v>
      </c>
      <c r="F3210" s="13"/>
    </row>
    <row r="3211" spans="1:6" ht="15.75" customHeight="1" x14ac:dyDescent="0.15">
      <c r="A3211" s="12" t="s">
        <v>6749</v>
      </c>
      <c r="B3211" s="13"/>
      <c r="C3211" t="e">
        <f t="shared" si="0"/>
        <v>#N/A</v>
      </c>
      <c r="D3211" t="b">
        <f t="shared" si="1"/>
        <v>0</v>
      </c>
      <c r="E3211">
        <f t="shared" si="2"/>
        <v>0</v>
      </c>
      <c r="F3211" s="13"/>
    </row>
    <row r="3212" spans="1:6" ht="15.75" customHeight="1" x14ac:dyDescent="0.15">
      <c r="A3212" s="12" t="s">
        <v>6750</v>
      </c>
      <c r="B3212" s="13"/>
      <c r="C3212" t="e">
        <f t="shared" si="0"/>
        <v>#N/A</v>
      </c>
      <c r="D3212" t="b">
        <f t="shared" si="1"/>
        <v>0</v>
      </c>
      <c r="E3212">
        <f t="shared" si="2"/>
        <v>0</v>
      </c>
      <c r="F3212" s="13"/>
    </row>
    <row r="3213" spans="1:6" ht="15.75" customHeight="1" x14ac:dyDescent="0.15">
      <c r="A3213" s="12" t="s">
        <v>6751</v>
      </c>
      <c r="B3213" s="13"/>
      <c r="C3213" t="e">
        <f t="shared" si="0"/>
        <v>#N/A</v>
      </c>
      <c r="D3213" t="b">
        <f t="shared" si="1"/>
        <v>0</v>
      </c>
      <c r="E3213">
        <f t="shared" si="2"/>
        <v>0</v>
      </c>
      <c r="F3213" s="13"/>
    </row>
    <row r="3214" spans="1:6" ht="15.75" customHeight="1" x14ac:dyDescent="0.15">
      <c r="A3214" s="12" t="s">
        <v>6752</v>
      </c>
      <c r="B3214" s="13"/>
      <c r="C3214" t="e">
        <f t="shared" si="0"/>
        <v>#N/A</v>
      </c>
      <c r="D3214" t="b">
        <f t="shared" si="1"/>
        <v>0</v>
      </c>
      <c r="E3214">
        <f t="shared" si="2"/>
        <v>0</v>
      </c>
      <c r="F3214" s="13"/>
    </row>
    <row r="3215" spans="1:6" ht="15.75" customHeight="1" x14ac:dyDescent="0.15">
      <c r="A3215" s="12" t="s">
        <v>6753</v>
      </c>
      <c r="B3215" s="13"/>
      <c r="C3215" t="e">
        <f t="shared" si="0"/>
        <v>#N/A</v>
      </c>
      <c r="D3215" t="b">
        <f t="shared" si="1"/>
        <v>0</v>
      </c>
      <c r="E3215">
        <f t="shared" si="2"/>
        <v>0</v>
      </c>
      <c r="F3215" s="13"/>
    </row>
    <row r="3216" spans="1:6" ht="15.75" customHeight="1" x14ac:dyDescent="0.15">
      <c r="A3216" s="12" t="s">
        <v>6754</v>
      </c>
      <c r="B3216" s="13"/>
      <c r="C3216" t="e">
        <f t="shared" si="0"/>
        <v>#N/A</v>
      </c>
      <c r="D3216" t="b">
        <f t="shared" si="1"/>
        <v>0</v>
      </c>
      <c r="E3216">
        <f t="shared" si="2"/>
        <v>0</v>
      </c>
      <c r="F3216" s="13"/>
    </row>
    <row r="3217" spans="1:6" ht="15.75" customHeight="1" x14ac:dyDescent="0.15">
      <c r="A3217" s="12" t="s">
        <v>6755</v>
      </c>
      <c r="B3217" s="13"/>
      <c r="C3217" t="e">
        <f t="shared" si="0"/>
        <v>#N/A</v>
      </c>
      <c r="D3217" t="b">
        <f t="shared" si="1"/>
        <v>0</v>
      </c>
      <c r="E3217">
        <f t="shared" si="2"/>
        <v>0</v>
      </c>
      <c r="F3217" s="13"/>
    </row>
    <row r="3218" spans="1:6" ht="15.75" customHeight="1" x14ac:dyDescent="0.15">
      <c r="A3218" s="12" t="s">
        <v>6756</v>
      </c>
      <c r="B3218" s="13"/>
      <c r="C3218" t="e">
        <f t="shared" si="0"/>
        <v>#N/A</v>
      </c>
      <c r="D3218" t="b">
        <f t="shared" si="1"/>
        <v>0</v>
      </c>
      <c r="E3218">
        <f t="shared" si="2"/>
        <v>0</v>
      </c>
      <c r="F3218" s="13"/>
    </row>
    <row r="3219" spans="1:6" ht="15.75" customHeight="1" x14ac:dyDescent="0.15">
      <c r="A3219" s="12" t="s">
        <v>6757</v>
      </c>
      <c r="B3219" s="13"/>
      <c r="C3219" t="e">
        <f t="shared" si="0"/>
        <v>#N/A</v>
      </c>
      <c r="D3219" t="b">
        <f t="shared" si="1"/>
        <v>0</v>
      </c>
      <c r="E3219">
        <f t="shared" si="2"/>
        <v>0</v>
      </c>
      <c r="F3219" s="13"/>
    </row>
    <row r="3220" spans="1:6" ht="15.75" customHeight="1" x14ac:dyDescent="0.15">
      <c r="A3220" s="12" t="s">
        <v>6758</v>
      </c>
      <c r="B3220" s="13"/>
      <c r="C3220" t="e">
        <f t="shared" si="0"/>
        <v>#N/A</v>
      </c>
      <c r="D3220" t="b">
        <f t="shared" si="1"/>
        <v>0</v>
      </c>
      <c r="E3220">
        <f t="shared" si="2"/>
        <v>0</v>
      </c>
      <c r="F3220" s="13"/>
    </row>
    <row r="3221" spans="1:6" ht="15.75" customHeight="1" x14ac:dyDescent="0.15">
      <c r="A3221" s="12" t="s">
        <v>6759</v>
      </c>
      <c r="B3221" s="13"/>
      <c r="C3221" t="e">
        <f t="shared" si="0"/>
        <v>#N/A</v>
      </c>
      <c r="D3221" t="b">
        <f t="shared" si="1"/>
        <v>0</v>
      </c>
      <c r="E3221">
        <f t="shared" si="2"/>
        <v>0</v>
      </c>
      <c r="F3221" s="13"/>
    </row>
    <row r="3222" spans="1:6" ht="15.75" customHeight="1" x14ac:dyDescent="0.15">
      <c r="A3222" s="12" t="s">
        <v>6760</v>
      </c>
      <c r="B3222" s="13"/>
      <c r="C3222" t="e">
        <f t="shared" si="0"/>
        <v>#N/A</v>
      </c>
      <c r="D3222" t="b">
        <f t="shared" si="1"/>
        <v>0</v>
      </c>
      <c r="E3222">
        <f t="shared" si="2"/>
        <v>0</v>
      </c>
      <c r="F3222" s="13"/>
    </row>
    <row r="3223" spans="1:6" ht="15.75" customHeight="1" x14ac:dyDescent="0.15">
      <c r="A3223" s="12" t="s">
        <v>6761</v>
      </c>
      <c r="B3223" s="13"/>
      <c r="C3223" t="e">
        <f t="shared" si="0"/>
        <v>#N/A</v>
      </c>
      <c r="D3223" t="b">
        <f t="shared" si="1"/>
        <v>0</v>
      </c>
      <c r="E3223">
        <f t="shared" si="2"/>
        <v>0</v>
      </c>
      <c r="F3223" s="13"/>
    </row>
    <row r="3224" spans="1:6" ht="15.75" customHeight="1" x14ac:dyDescent="0.15">
      <c r="A3224" s="12" t="s">
        <v>6762</v>
      </c>
      <c r="B3224" s="13"/>
      <c r="C3224" t="e">
        <f t="shared" si="0"/>
        <v>#N/A</v>
      </c>
      <c r="D3224" t="b">
        <f t="shared" si="1"/>
        <v>0</v>
      </c>
      <c r="E3224">
        <f t="shared" si="2"/>
        <v>0</v>
      </c>
      <c r="F3224" s="13"/>
    </row>
    <row r="3225" spans="1:6" ht="15.75" customHeight="1" x14ac:dyDescent="0.15">
      <c r="A3225" s="12" t="s">
        <v>6763</v>
      </c>
      <c r="B3225" s="13"/>
      <c r="C3225" t="e">
        <f t="shared" si="0"/>
        <v>#N/A</v>
      </c>
      <c r="D3225" t="b">
        <f t="shared" si="1"/>
        <v>0</v>
      </c>
      <c r="E3225">
        <f t="shared" si="2"/>
        <v>0</v>
      </c>
      <c r="F3225" s="13"/>
    </row>
    <row r="3226" spans="1:6" ht="15.75" customHeight="1" x14ac:dyDescent="0.15">
      <c r="A3226" s="12" t="s">
        <v>6764</v>
      </c>
      <c r="B3226" s="13"/>
      <c r="C3226" t="e">
        <f t="shared" si="0"/>
        <v>#N/A</v>
      </c>
      <c r="D3226" t="b">
        <f t="shared" si="1"/>
        <v>0</v>
      </c>
      <c r="E3226">
        <f t="shared" si="2"/>
        <v>0</v>
      </c>
      <c r="F3226" s="13"/>
    </row>
    <row r="3227" spans="1:6" ht="15.75" customHeight="1" x14ac:dyDescent="0.15">
      <c r="A3227" s="12" t="s">
        <v>6765</v>
      </c>
      <c r="B3227" s="13"/>
      <c r="C3227" t="e">
        <f t="shared" si="0"/>
        <v>#N/A</v>
      </c>
      <c r="D3227" t="b">
        <f t="shared" si="1"/>
        <v>0</v>
      </c>
      <c r="E3227">
        <f t="shared" si="2"/>
        <v>0</v>
      </c>
      <c r="F3227" s="13"/>
    </row>
    <row r="3228" spans="1:6" ht="15.75" customHeight="1" x14ac:dyDescent="0.15">
      <c r="A3228" s="12" t="s">
        <v>6766</v>
      </c>
      <c r="B3228" s="13"/>
      <c r="C3228" t="e">
        <f t="shared" si="0"/>
        <v>#N/A</v>
      </c>
      <c r="D3228" t="b">
        <f t="shared" si="1"/>
        <v>0</v>
      </c>
      <c r="E3228">
        <f t="shared" si="2"/>
        <v>0</v>
      </c>
      <c r="F3228" s="13"/>
    </row>
    <row r="3229" spans="1:6" ht="15.75" customHeight="1" x14ac:dyDescent="0.15">
      <c r="A3229" s="12" t="s">
        <v>6767</v>
      </c>
      <c r="B3229" s="13"/>
      <c r="C3229" t="e">
        <f t="shared" si="0"/>
        <v>#N/A</v>
      </c>
      <c r="D3229" t="b">
        <f t="shared" si="1"/>
        <v>0</v>
      </c>
      <c r="E3229">
        <f t="shared" si="2"/>
        <v>0</v>
      </c>
      <c r="F3229" s="13"/>
    </row>
    <row r="3230" spans="1:6" ht="15.75" customHeight="1" x14ac:dyDescent="0.15">
      <c r="A3230" s="12" t="s">
        <v>6768</v>
      </c>
      <c r="B3230" s="13"/>
      <c r="C3230" t="e">
        <f t="shared" si="0"/>
        <v>#N/A</v>
      </c>
      <c r="D3230" t="b">
        <f t="shared" si="1"/>
        <v>0</v>
      </c>
      <c r="E3230">
        <f t="shared" si="2"/>
        <v>0</v>
      </c>
      <c r="F3230" s="13"/>
    </row>
    <row r="3231" spans="1:6" ht="15.75" customHeight="1" x14ac:dyDescent="0.15">
      <c r="A3231" s="12" t="s">
        <v>6769</v>
      </c>
      <c r="B3231" s="13"/>
      <c r="C3231" t="e">
        <f t="shared" si="0"/>
        <v>#N/A</v>
      </c>
      <c r="D3231" t="b">
        <f t="shared" si="1"/>
        <v>0</v>
      </c>
      <c r="E3231">
        <f t="shared" si="2"/>
        <v>0</v>
      </c>
      <c r="F3231" s="13"/>
    </row>
    <row r="3232" spans="1:6" ht="15.75" customHeight="1" x14ac:dyDescent="0.15">
      <c r="A3232" s="12" t="s">
        <v>6770</v>
      </c>
      <c r="B3232" s="13"/>
      <c r="C3232" t="e">
        <f t="shared" si="0"/>
        <v>#N/A</v>
      </c>
      <c r="D3232" t="b">
        <f t="shared" si="1"/>
        <v>0</v>
      </c>
      <c r="E3232">
        <f t="shared" si="2"/>
        <v>0</v>
      </c>
      <c r="F3232" s="13"/>
    </row>
    <row r="3233" spans="1:6" ht="15.75" customHeight="1" x14ac:dyDescent="0.15">
      <c r="A3233" s="12" t="s">
        <v>6771</v>
      </c>
      <c r="B3233" s="13"/>
      <c r="C3233" t="e">
        <f t="shared" si="0"/>
        <v>#N/A</v>
      </c>
      <c r="D3233" t="b">
        <f t="shared" si="1"/>
        <v>0</v>
      </c>
      <c r="E3233">
        <f t="shared" si="2"/>
        <v>0</v>
      </c>
      <c r="F3233" s="13"/>
    </row>
    <row r="3234" spans="1:6" ht="15.75" customHeight="1" x14ac:dyDescent="0.15">
      <c r="A3234" s="12" t="s">
        <v>6772</v>
      </c>
      <c r="B3234" s="13"/>
      <c r="C3234" t="e">
        <f t="shared" si="0"/>
        <v>#N/A</v>
      </c>
      <c r="D3234" t="b">
        <f t="shared" si="1"/>
        <v>0</v>
      </c>
      <c r="E3234">
        <f t="shared" si="2"/>
        <v>0</v>
      </c>
      <c r="F3234" s="13"/>
    </row>
    <row r="3235" spans="1:6" ht="15.75" customHeight="1" x14ac:dyDescent="0.15">
      <c r="A3235" s="12" t="s">
        <v>6773</v>
      </c>
      <c r="B3235" s="13"/>
      <c r="C3235" t="e">
        <f t="shared" si="0"/>
        <v>#N/A</v>
      </c>
      <c r="D3235" t="b">
        <f t="shared" si="1"/>
        <v>0</v>
      </c>
      <c r="E3235">
        <f t="shared" si="2"/>
        <v>0</v>
      </c>
      <c r="F3235" s="13"/>
    </row>
    <row r="3236" spans="1:6" ht="15.75" customHeight="1" x14ac:dyDescent="0.15">
      <c r="A3236" s="12" t="s">
        <v>6774</v>
      </c>
      <c r="B3236" s="13"/>
      <c r="C3236" t="e">
        <f t="shared" si="0"/>
        <v>#N/A</v>
      </c>
      <c r="D3236" t="b">
        <f t="shared" si="1"/>
        <v>0</v>
      </c>
      <c r="E3236">
        <f t="shared" si="2"/>
        <v>0</v>
      </c>
      <c r="F3236" s="13"/>
    </row>
    <row r="3237" spans="1:6" ht="15.75" customHeight="1" x14ac:dyDescent="0.15">
      <c r="A3237" s="12" t="s">
        <v>6775</v>
      </c>
      <c r="B3237" s="13"/>
      <c r="C3237" t="e">
        <f t="shared" si="0"/>
        <v>#N/A</v>
      </c>
      <c r="D3237" t="b">
        <f t="shared" si="1"/>
        <v>0</v>
      </c>
      <c r="E3237">
        <f t="shared" si="2"/>
        <v>0</v>
      </c>
      <c r="F3237" s="13"/>
    </row>
    <row r="3238" spans="1:6" ht="15.75" customHeight="1" x14ac:dyDescent="0.15">
      <c r="A3238" s="12" t="s">
        <v>6776</v>
      </c>
      <c r="B3238" s="13"/>
      <c r="C3238" t="e">
        <f t="shared" si="0"/>
        <v>#N/A</v>
      </c>
      <c r="D3238" t="b">
        <f t="shared" si="1"/>
        <v>0</v>
      </c>
      <c r="E3238">
        <f t="shared" si="2"/>
        <v>0</v>
      </c>
      <c r="F3238" s="13"/>
    </row>
    <row r="3239" spans="1:6" ht="15.75" customHeight="1" x14ac:dyDescent="0.15">
      <c r="A3239" s="12" t="s">
        <v>6777</v>
      </c>
      <c r="B3239" s="13"/>
      <c r="C3239" t="e">
        <f t="shared" si="0"/>
        <v>#N/A</v>
      </c>
      <c r="D3239" t="b">
        <f t="shared" si="1"/>
        <v>0</v>
      </c>
      <c r="E3239">
        <f t="shared" si="2"/>
        <v>0</v>
      </c>
      <c r="F3239" s="13"/>
    </row>
    <row r="3240" spans="1:6" ht="15.75" customHeight="1" x14ac:dyDescent="0.15">
      <c r="A3240" s="12" t="s">
        <v>6778</v>
      </c>
      <c r="B3240" s="13"/>
      <c r="C3240" t="e">
        <f t="shared" si="0"/>
        <v>#N/A</v>
      </c>
      <c r="D3240" t="b">
        <f t="shared" si="1"/>
        <v>0</v>
      </c>
      <c r="E3240">
        <f t="shared" si="2"/>
        <v>0</v>
      </c>
      <c r="F3240" s="13"/>
    </row>
    <row r="3241" spans="1:6" ht="15.75" customHeight="1" x14ac:dyDescent="0.15">
      <c r="A3241" s="12" t="s">
        <v>6779</v>
      </c>
      <c r="B3241" s="13"/>
      <c r="C3241" t="e">
        <f t="shared" si="0"/>
        <v>#N/A</v>
      </c>
      <c r="D3241" t="b">
        <f t="shared" si="1"/>
        <v>0</v>
      </c>
      <c r="E3241">
        <f t="shared" si="2"/>
        <v>0</v>
      </c>
      <c r="F3241" s="13"/>
    </row>
    <row r="3242" spans="1:6" ht="15.75" customHeight="1" x14ac:dyDescent="0.15">
      <c r="A3242" s="12" t="s">
        <v>6780</v>
      </c>
      <c r="B3242" s="13"/>
      <c r="C3242" t="e">
        <f t="shared" si="0"/>
        <v>#N/A</v>
      </c>
      <c r="D3242" t="b">
        <f t="shared" si="1"/>
        <v>0</v>
      </c>
      <c r="E3242">
        <f t="shared" si="2"/>
        <v>0</v>
      </c>
      <c r="F3242" s="13"/>
    </row>
    <row r="3243" spans="1:6" ht="15.75" customHeight="1" x14ac:dyDescent="0.15">
      <c r="A3243" s="12" t="s">
        <v>6781</v>
      </c>
      <c r="B3243" s="13"/>
      <c r="C3243" t="e">
        <f t="shared" si="0"/>
        <v>#N/A</v>
      </c>
      <c r="D3243" t="b">
        <f t="shared" si="1"/>
        <v>0</v>
      </c>
      <c r="E3243">
        <f t="shared" si="2"/>
        <v>0</v>
      </c>
      <c r="F3243" s="13"/>
    </row>
    <row r="3244" spans="1:6" ht="15.75" customHeight="1" x14ac:dyDescent="0.15">
      <c r="A3244" s="12" t="s">
        <v>6782</v>
      </c>
      <c r="B3244" s="13"/>
      <c r="C3244" t="e">
        <f t="shared" si="0"/>
        <v>#N/A</v>
      </c>
      <c r="D3244" t="b">
        <f t="shared" si="1"/>
        <v>0</v>
      </c>
      <c r="E3244">
        <f t="shared" si="2"/>
        <v>0</v>
      </c>
      <c r="F3244" s="13"/>
    </row>
    <row r="3245" spans="1:6" ht="15.75" customHeight="1" x14ac:dyDescent="0.15">
      <c r="A3245" s="12" t="s">
        <v>6783</v>
      </c>
      <c r="B3245" s="13"/>
      <c r="C3245" t="e">
        <f t="shared" si="0"/>
        <v>#N/A</v>
      </c>
      <c r="D3245" t="b">
        <f t="shared" si="1"/>
        <v>0</v>
      </c>
      <c r="E3245">
        <f t="shared" si="2"/>
        <v>0</v>
      </c>
      <c r="F3245" s="13"/>
    </row>
    <row r="3246" spans="1:6" ht="15.75" customHeight="1" x14ac:dyDescent="0.15">
      <c r="A3246" s="12" t="s">
        <v>6784</v>
      </c>
      <c r="B3246" s="13"/>
      <c r="C3246" t="e">
        <f t="shared" si="0"/>
        <v>#N/A</v>
      </c>
      <c r="D3246" t="b">
        <f t="shared" si="1"/>
        <v>0</v>
      </c>
      <c r="E3246">
        <f t="shared" si="2"/>
        <v>0</v>
      </c>
      <c r="F3246" s="13"/>
    </row>
    <row r="3247" spans="1:6" ht="15.75" customHeight="1" x14ac:dyDescent="0.15">
      <c r="A3247" s="12" t="s">
        <v>6785</v>
      </c>
      <c r="B3247" s="13"/>
      <c r="C3247" t="e">
        <f t="shared" si="0"/>
        <v>#N/A</v>
      </c>
      <c r="D3247" t="b">
        <f t="shared" si="1"/>
        <v>0</v>
      </c>
      <c r="E3247">
        <f t="shared" si="2"/>
        <v>0</v>
      </c>
      <c r="F3247" s="13"/>
    </row>
    <row r="3248" spans="1:6" ht="15.75" customHeight="1" x14ac:dyDescent="0.15">
      <c r="A3248" s="12" t="s">
        <v>6786</v>
      </c>
      <c r="B3248" s="13"/>
      <c r="C3248" t="e">
        <f t="shared" si="0"/>
        <v>#N/A</v>
      </c>
      <c r="D3248" t="b">
        <f t="shared" si="1"/>
        <v>0</v>
      </c>
      <c r="E3248">
        <f t="shared" si="2"/>
        <v>0</v>
      </c>
      <c r="F3248" s="13"/>
    </row>
    <row r="3249" spans="1:6" ht="15.75" customHeight="1" x14ac:dyDescent="0.15">
      <c r="A3249" s="12" t="s">
        <v>6787</v>
      </c>
      <c r="B3249" s="13"/>
      <c r="C3249" t="e">
        <f t="shared" si="0"/>
        <v>#N/A</v>
      </c>
      <c r="D3249" t="b">
        <f t="shared" si="1"/>
        <v>0</v>
      </c>
      <c r="E3249">
        <f t="shared" si="2"/>
        <v>0</v>
      </c>
      <c r="F3249" s="13"/>
    </row>
    <row r="3250" spans="1:6" ht="15.75" customHeight="1" x14ac:dyDescent="0.15">
      <c r="A3250" s="12" t="s">
        <v>6788</v>
      </c>
      <c r="B3250" s="13"/>
      <c r="C3250" t="e">
        <f t="shared" si="0"/>
        <v>#N/A</v>
      </c>
      <c r="D3250" t="b">
        <f t="shared" si="1"/>
        <v>0</v>
      </c>
      <c r="E3250">
        <f t="shared" si="2"/>
        <v>0</v>
      </c>
      <c r="F3250" s="13"/>
    </row>
    <row r="3251" spans="1:6" ht="15.75" customHeight="1" x14ac:dyDescent="0.15">
      <c r="A3251" s="12" t="s">
        <v>6789</v>
      </c>
      <c r="B3251" s="13"/>
      <c r="C3251" t="e">
        <f t="shared" si="0"/>
        <v>#N/A</v>
      </c>
      <c r="D3251" t="b">
        <f t="shared" si="1"/>
        <v>0</v>
      </c>
      <c r="E3251">
        <f t="shared" si="2"/>
        <v>0</v>
      </c>
      <c r="F3251" s="13"/>
    </row>
    <row r="3252" spans="1:6" ht="15.75" customHeight="1" x14ac:dyDescent="0.15">
      <c r="A3252" s="12" t="s">
        <v>6790</v>
      </c>
      <c r="B3252" s="13"/>
      <c r="C3252" t="e">
        <f t="shared" si="0"/>
        <v>#N/A</v>
      </c>
      <c r="D3252" t="b">
        <f t="shared" si="1"/>
        <v>0</v>
      </c>
      <c r="E3252">
        <f t="shared" si="2"/>
        <v>0</v>
      </c>
      <c r="F3252" s="13"/>
    </row>
    <row r="3253" spans="1:6" ht="15.75" customHeight="1" x14ac:dyDescent="0.15">
      <c r="A3253" s="12" t="s">
        <v>6791</v>
      </c>
      <c r="B3253" s="13"/>
      <c r="C3253" t="e">
        <f t="shared" si="0"/>
        <v>#N/A</v>
      </c>
      <c r="D3253" t="b">
        <f t="shared" si="1"/>
        <v>0</v>
      </c>
      <c r="E3253">
        <f t="shared" si="2"/>
        <v>0</v>
      </c>
      <c r="F3253" s="13"/>
    </row>
    <row r="3254" spans="1:6" ht="15.75" customHeight="1" x14ac:dyDescent="0.15">
      <c r="A3254" s="12" t="s">
        <v>6792</v>
      </c>
      <c r="B3254" s="13"/>
      <c r="C3254" t="e">
        <f t="shared" si="0"/>
        <v>#N/A</v>
      </c>
      <c r="D3254" t="b">
        <f t="shared" si="1"/>
        <v>0</v>
      </c>
      <c r="E3254">
        <f t="shared" si="2"/>
        <v>0</v>
      </c>
      <c r="F3254" s="13"/>
    </row>
    <row r="3255" spans="1:6" ht="15.75" customHeight="1" x14ac:dyDescent="0.15">
      <c r="A3255" s="12" t="s">
        <v>6792</v>
      </c>
      <c r="B3255" s="13"/>
      <c r="C3255" t="e">
        <f t="shared" si="0"/>
        <v>#N/A</v>
      </c>
      <c r="D3255" t="b">
        <f t="shared" si="1"/>
        <v>0</v>
      </c>
      <c r="E3255">
        <f t="shared" si="2"/>
        <v>0</v>
      </c>
      <c r="F3255" s="13"/>
    </row>
    <row r="3256" spans="1:6" ht="15.75" customHeight="1" x14ac:dyDescent="0.15">
      <c r="A3256" s="12" t="s">
        <v>6793</v>
      </c>
      <c r="B3256" s="13"/>
      <c r="C3256" t="e">
        <f t="shared" si="0"/>
        <v>#N/A</v>
      </c>
      <c r="D3256" t="b">
        <f t="shared" si="1"/>
        <v>0</v>
      </c>
      <c r="E3256">
        <f t="shared" si="2"/>
        <v>0</v>
      </c>
      <c r="F3256" s="13"/>
    </row>
    <row r="3257" spans="1:6" ht="15.75" customHeight="1" x14ac:dyDescent="0.15">
      <c r="A3257" s="12" t="s">
        <v>6794</v>
      </c>
      <c r="B3257" s="13"/>
      <c r="C3257" t="e">
        <f t="shared" si="0"/>
        <v>#N/A</v>
      </c>
      <c r="D3257" t="b">
        <f t="shared" si="1"/>
        <v>0</v>
      </c>
      <c r="E3257">
        <f t="shared" si="2"/>
        <v>0</v>
      </c>
      <c r="F3257" s="13"/>
    </row>
    <row r="3258" spans="1:6" ht="15.75" customHeight="1" x14ac:dyDescent="0.15">
      <c r="A3258" s="12" t="s">
        <v>6795</v>
      </c>
      <c r="B3258" s="13"/>
      <c r="C3258" t="e">
        <f t="shared" si="0"/>
        <v>#N/A</v>
      </c>
      <c r="D3258" t="b">
        <f t="shared" si="1"/>
        <v>0</v>
      </c>
      <c r="E3258">
        <f t="shared" si="2"/>
        <v>0</v>
      </c>
      <c r="F3258" s="13"/>
    </row>
    <row r="3259" spans="1:6" ht="15.75" customHeight="1" x14ac:dyDescent="0.15">
      <c r="A3259" s="12" t="s">
        <v>6796</v>
      </c>
      <c r="B3259" s="13"/>
      <c r="C3259" t="e">
        <f t="shared" si="0"/>
        <v>#N/A</v>
      </c>
      <c r="D3259" t="b">
        <f t="shared" si="1"/>
        <v>0</v>
      </c>
      <c r="E3259">
        <f t="shared" si="2"/>
        <v>0</v>
      </c>
      <c r="F3259" s="13"/>
    </row>
    <row r="3260" spans="1:6" ht="15.75" customHeight="1" x14ac:dyDescent="0.15">
      <c r="A3260" s="12" t="s">
        <v>6797</v>
      </c>
      <c r="B3260" s="13"/>
      <c r="C3260" t="e">
        <f t="shared" si="0"/>
        <v>#N/A</v>
      </c>
      <c r="D3260" t="b">
        <f t="shared" si="1"/>
        <v>0</v>
      </c>
      <c r="E3260">
        <f t="shared" si="2"/>
        <v>0</v>
      </c>
      <c r="F3260" s="13"/>
    </row>
    <row r="3261" spans="1:6" ht="15.75" customHeight="1" x14ac:dyDescent="0.15">
      <c r="A3261" s="12" t="s">
        <v>6798</v>
      </c>
      <c r="B3261" s="13"/>
      <c r="C3261" t="e">
        <f t="shared" si="0"/>
        <v>#N/A</v>
      </c>
      <c r="D3261" t="b">
        <f t="shared" si="1"/>
        <v>0</v>
      </c>
      <c r="E3261">
        <f t="shared" si="2"/>
        <v>0</v>
      </c>
      <c r="F3261" s="13"/>
    </row>
    <row r="3262" spans="1:6" ht="15.75" customHeight="1" x14ac:dyDescent="0.15">
      <c r="A3262" s="12" t="s">
        <v>6799</v>
      </c>
      <c r="B3262" s="13"/>
      <c r="C3262" t="e">
        <f t="shared" si="0"/>
        <v>#N/A</v>
      </c>
      <c r="D3262" t="b">
        <f t="shared" si="1"/>
        <v>0</v>
      </c>
      <c r="E3262">
        <f t="shared" si="2"/>
        <v>0</v>
      </c>
      <c r="F3262" s="13"/>
    </row>
    <row r="3263" spans="1:6" ht="15.75" customHeight="1" x14ac:dyDescent="0.15">
      <c r="A3263" s="12" t="s">
        <v>6800</v>
      </c>
      <c r="B3263" s="13"/>
      <c r="C3263" t="e">
        <f t="shared" si="0"/>
        <v>#N/A</v>
      </c>
      <c r="D3263" t="b">
        <f t="shared" si="1"/>
        <v>0</v>
      </c>
      <c r="E3263">
        <f t="shared" si="2"/>
        <v>0</v>
      </c>
      <c r="F3263" s="13"/>
    </row>
    <row r="3264" spans="1:6" ht="15.75" customHeight="1" x14ac:dyDescent="0.15">
      <c r="A3264" s="12" t="s">
        <v>6801</v>
      </c>
      <c r="B3264" s="13"/>
      <c r="C3264" t="e">
        <f t="shared" si="0"/>
        <v>#N/A</v>
      </c>
      <c r="D3264" t="b">
        <f t="shared" si="1"/>
        <v>0</v>
      </c>
      <c r="E3264">
        <f t="shared" si="2"/>
        <v>0</v>
      </c>
      <c r="F3264" s="13"/>
    </row>
    <row r="3265" spans="1:6" ht="15.75" customHeight="1" x14ac:dyDescent="0.15">
      <c r="A3265" s="12" t="s">
        <v>6802</v>
      </c>
      <c r="B3265" s="13"/>
      <c r="C3265" t="e">
        <f t="shared" si="0"/>
        <v>#N/A</v>
      </c>
      <c r="D3265" t="b">
        <f t="shared" si="1"/>
        <v>0</v>
      </c>
      <c r="E3265">
        <f t="shared" si="2"/>
        <v>0</v>
      </c>
      <c r="F3265" s="13"/>
    </row>
    <row r="3266" spans="1:6" ht="15.75" customHeight="1" x14ac:dyDescent="0.15">
      <c r="A3266" s="12" t="s">
        <v>6803</v>
      </c>
      <c r="B3266" s="13"/>
      <c r="C3266" t="e">
        <f t="shared" si="0"/>
        <v>#N/A</v>
      </c>
      <c r="D3266" t="b">
        <f t="shared" si="1"/>
        <v>0</v>
      </c>
      <c r="E3266">
        <f t="shared" si="2"/>
        <v>0</v>
      </c>
      <c r="F3266" s="13"/>
    </row>
    <row r="3267" spans="1:6" ht="15.75" customHeight="1" x14ac:dyDescent="0.15">
      <c r="A3267" s="12" t="s">
        <v>6804</v>
      </c>
      <c r="B3267" s="13"/>
      <c r="C3267" t="e">
        <f t="shared" si="0"/>
        <v>#N/A</v>
      </c>
      <c r="D3267" t="b">
        <f t="shared" si="1"/>
        <v>0</v>
      </c>
      <c r="E3267">
        <f t="shared" si="2"/>
        <v>0</v>
      </c>
      <c r="F3267" s="13"/>
    </row>
    <row r="3268" spans="1:6" ht="15.75" customHeight="1" x14ac:dyDescent="0.15">
      <c r="A3268" s="12" t="s">
        <v>6805</v>
      </c>
      <c r="B3268" s="13"/>
      <c r="C3268" t="e">
        <f t="shared" si="0"/>
        <v>#N/A</v>
      </c>
      <c r="D3268" t="b">
        <f t="shared" si="1"/>
        <v>0</v>
      </c>
      <c r="E3268">
        <f t="shared" si="2"/>
        <v>0</v>
      </c>
      <c r="F3268" s="13"/>
    </row>
    <row r="3269" spans="1:6" ht="15.75" customHeight="1" x14ac:dyDescent="0.15">
      <c r="A3269" s="12" t="s">
        <v>6806</v>
      </c>
      <c r="B3269" s="13"/>
      <c r="C3269" t="e">
        <f t="shared" si="0"/>
        <v>#N/A</v>
      </c>
      <c r="D3269" t="b">
        <f t="shared" si="1"/>
        <v>0</v>
      </c>
      <c r="E3269">
        <f t="shared" si="2"/>
        <v>0</v>
      </c>
      <c r="F3269" s="13"/>
    </row>
    <row r="3270" spans="1:6" ht="15.75" customHeight="1" x14ac:dyDescent="0.15">
      <c r="A3270" s="12" t="s">
        <v>6807</v>
      </c>
      <c r="B3270" s="13"/>
      <c r="C3270" t="e">
        <f t="shared" si="0"/>
        <v>#N/A</v>
      </c>
      <c r="D3270" t="b">
        <f t="shared" si="1"/>
        <v>0</v>
      </c>
      <c r="E3270">
        <f t="shared" si="2"/>
        <v>0</v>
      </c>
      <c r="F3270" s="13"/>
    </row>
    <row r="3271" spans="1:6" ht="15.75" customHeight="1" x14ac:dyDescent="0.15">
      <c r="A3271" s="12" t="s">
        <v>6808</v>
      </c>
      <c r="B3271" s="13"/>
      <c r="C3271" t="e">
        <f t="shared" si="0"/>
        <v>#N/A</v>
      </c>
      <c r="D3271" t="b">
        <f t="shared" si="1"/>
        <v>0</v>
      </c>
      <c r="E3271">
        <f t="shared" si="2"/>
        <v>0</v>
      </c>
      <c r="F3271" s="13"/>
    </row>
    <row r="3272" spans="1:6" ht="15.75" customHeight="1" x14ac:dyDescent="0.15">
      <c r="A3272" s="12" t="s">
        <v>6809</v>
      </c>
      <c r="B3272" s="13"/>
      <c r="C3272" t="e">
        <f t="shared" si="0"/>
        <v>#N/A</v>
      </c>
      <c r="D3272" t="b">
        <f t="shared" si="1"/>
        <v>0</v>
      </c>
      <c r="E3272">
        <f t="shared" si="2"/>
        <v>0</v>
      </c>
      <c r="F3272" s="13"/>
    </row>
    <row r="3273" spans="1:6" ht="15.75" customHeight="1" x14ac:dyDescent="0.15">
      <c r="A3273" s="12" t="s">
        <v>6810</v>
      </c>
      <c r="B3273" s="13"/>
      <c r="C3273" t="e">
        <f t="shared" si="0"/>
        <v>#N/A</v>
      </c>
      <c r="D3273" t="b">
        <f t="shared" si="1"/>
        <v>0</v>
      </c>
      <c r="E3273">
        <f t="shared" si="2"/>
        <v>0</v>
      </c>
      <c r="F3273" s="13"/>
    </row>
    <row r="3274" spans="1:6" ht="15.75" customHeight="1" x14ac:dyDescent="0.15">
      <c r="A3274" s="12" t="s">
        <v>6811</v>
      </c>
      <c r="B3274" s="13"/>
      <c r="C3274" t="e">
        <f t="shared" si="0"/>
        <v>#N/A</v>
      </c>
      <c r="D3274" t="b">
        <f t="shared" si="1"/>
        <v>0</v>
      </c>
      <c r="E3274">
        <f t="shared" si="2"/>
        <v>0</v>
      </c>
      <c r="F3274" s="13"/>
    </row>
    <row r="3275" spans="1:6" ht="15.75" customHeight="1" x14ac:dyDescent="0.15">
      <c r="A3275" s="12" t="s">
        <v>6812</v>
      </c>
      <c r="B3275" s="13"/>
      <c r="C3275" t="e">
        <f t="shared" si="0"/>
        <v>#N/A</v>
      </c>
      <c r="D3275" t="b">
        <f t="shared" si="1"/>
        <v>0</v>
      </c>
      <c r="E3275">
        <f t="shared" si="2"/>
        <v>0</v>
      </c>
      <c r="F3275" s="13"/>
    </row>
    <row r="3276" spans="1:6" ht="15.75" customHeight="1" x14ac:dyDescent="0.15">
      <c r="A3276" s="12" t="s">
        <v>6813</v>
      </c>
      <c r="B3276" s="13"/>
      <c r="C3276" t="e">
        <f t="shared" si="0"/>
        <v>#N/A</v>
      </c>
      <c r="D3276" t="b">
        <f t="shared" si="1"/>
        <v>0</v>
      </c>
      <c r="E3276">
        <f t="shared" si="2"/>
        <v>0</v>
      </c>
      <c r="F3276" s="13"/>
    </row>
    <row r="3277" spans="1:6" ht="15.75" customHeight="1" x14ac:dyDescent="0.15">
      <c r="A3277" s="12" t="s">
        <v>6814</v>
      </c>
      <c r="B3277" s="13"/>
      <c r="C3277" t="e">
        <f t="shared" si="0"/>
        <v>#N/A</v>
      </c>
      <c r="D3277" t="b">
        <f t="shared" si="1"/>
        <v>0</v>
      </c>
      <c r="E3277">
        <f t="shared" si="2"/>
        <v>0</v>
      </c>
      <c r="F3277" s="13"/>
    </row>
    <row r="3278" spans="1:6" ht="15.75" customHeight="1" x14ac:dyDescent="0.15">
      <c r="A3278" s="12" t="s">
        <v>6815</v>
      </c>
      <c r="B3278" s="13"/>
      <c r="C3278" t="e">
        <f t="shared" si="0"/>
        <v>#N/A</v>
      </c>
      <c r="D3278" t="b">
        <f t="shared" si="1"/>
        <v>0</v>
      </c>
      <c r="E3278">
        <f t="shared" si="2"/>
        <v>0</v>
      </c>
      <c r="F3278" s="13"/>
    </row>
    <row r="3279" spans="1:6" ht="15.75" customHeight="1" x14ac:dyDescent="0.15">
      <c r="A3279" s="12" t="s">
        <v>6816</v>
      </c>
      <c r="B3279" s="13"/>
      <c r="C3279" t="e">
        <f t="shared" si="0"/>
        <v>#N/A</v>
      </c>
      <c r="D3279" t="b">
        <f t="shared" si="1"/>
        <v>0</v>
      </c>
      <c r="E3279">
        <f t="shared" si="2"/>
        <v>0</v>
      </c>
      <c r="F3279" s="13"/>
    </row>
    <row r="3280" spans="1:6" ht="15.75" customHeight="1" x14ac:dyDescent="0.15">
      <c r="A3280" s="12" t="s">
        <v>6817</v>
      </c>
      <c r="B3280" s="13"/>
      <c r="C3280" t="e">
        <f t="shared" si="0"/>
        <v>#N/A</v>
      </c>
      <c r="D3280" t="b">
        <f t="shared" si="1"/>
        <v>0</v>
      </c>
      <c r="E3280">
        <f t="shared" si="2"/>
        <v>0</v>
      </c>
      <c r="F3280" s="13"/>
    </row>
    <row r="3281" spans="1:6" ht="15.75" customHeight="1" x14ac:dyDescent="0.15">
      <c r="A3281" s="12" t="s">
        <v>6818</v>
      </c>
      <c r="B3281" s="13"/>
      <c r="C3281" t="e">
        <f t="shared" si="0"/>
        <v>#N/A</v>
      </c>
      <c r="D3281" t="b">
        <f t="shared" si="1"/>
        <v>0</v>
      </c>
      <c r="E3281">
        <f t="shared" si="2"/>
        <v>0</v>
      </c>
      <c r="F3281" s="13"/>
    </row>
    <row r="3282" spans="1:6" ht="15.75" customHeight="1" x14ac:dyDescent="0.15">
      <c r="A3282" s="12" t="s">
        <v>6819</v>
      </c>
      <c r="B3282" s="13"/>
      <c r="C3282" t="e">
        <f t="shared" si="0"/>
        <v>#N/A</v>
      </c>
      <c r="D3282" t="b">
        <f t="shared" si="1"/>
        <v>0</v>
      </c>
      <c r="E3282">
        <f t="shared" si="2"/>
        <v>0</v>
      </c>
      <c r="F3282" s="13"/>
    </row>
    <row r="3283" spans="1:6" ht="15.75" customHeight="1" x14ac:dyDescent="0.15">
      <c r="A3283" s="12" t="s">
        <v>6820</v>
      </c>
      <c r="B3283" s="13"/>
      <c r="C3283" t="e">
        <f t="shared" si="0"/>
        <v>#N/A</v>
      </c>
      <c r="D3283" t="b">
        <f t="shared" si="1"/>
        <v>0</v>
      </c>
      <c r="E3283">
        <f t="shared" si="2"/>
        <v>0</v>
      </c>
      <c r="F3283" s="13"/>
    </row>
    <row r="3284" spans="1:6" ht="15.75" customHeight="1" x14ac:dyDescent="0.15">
      <c r="A3284" s="12" t="s">
        <v>6821</v>
      </c>
      <c r="B3284" s="13"/>
      <c r="C3284" t="e">
        <f t="shared" si="0"/>
        <v>#N/A</v>
      </c>
      <c r="D3284" t="b">
        <f t="shared" si="1"/>
        <v>0</v>
      </c>
      <c r="E3284">
        <f t="shared" si="2"/>
        <v>0</v>
      </c>
      <c r="F3284" s="13"/>
    </row>
    <row r="3285" spans="1:6" ht="15.75" customHeight="1" x14ac:dyDescent="0.15">
      <c r="A3285" s="12" t="s">
        <v>6822</v>
      </c>
      <c r="B3285" s="13"/>
      <c r="C3285" t="e">
        <f t="shared" si="0"/>
        <v>#N/A</v>
      </c>
      <c r="D3285" t="b">
        <f t="shared" si="1"/>
        <v>0</v>
      </c>
      <c r="E3285">
        <f t="shared" si="2"/>
        <v>0</v>
      </c>
      <c r="F3285" s="13"/>
    </row>
    <row r="3286" spans="1:6" ht="15.75" customHeight="1" x14ac:dyDescent="0.15">
      <c r="A3286" s="12" t="s">
        <v>6823</v>
      </c>
      <c r="B3286" s="13"/>
      <c r="C3286" t="e">
        <f t="shared" si="0"/>
        <v>#N/A</v>
      </c>
      <c r="D3286" t="b">
        <f t="shared" si="1"/>
        <v>0</v>
      </c>
      <c r="E3286">
        <f t="shared" si="2"/>
        <v>0</v>
      </c>
      <c r="F3286" s="13"/>
    </row>
    <row r="3287" spans="1:6" ht="15.75" customHeight="1" x14ac:dyDescent="0.15">
      <c r="A3287" s="12" t="s">
        <v>6824</v>
      </c>
      <c r="B3287" s="13"/>
      <c r="C3287" t="e">
        <f t="shared" si="0"/>
        <v>#N/A</v>
      </c>
      <c r="D3287" t="b">
        <f t="shared" si="1"/>
        <v>0</v>
      </c>
      <c r="E3287">
        <f t="shared" si="2"/>
        <v>0</v>
      </c>
      <c r="F3287" s="13"/>
    </row>
    <row r="3288" spans="1:6" ht="15.75" customHeight="1" x14ac:dyDescent="0.15">
      <c r="A3288" s="12" t="s">
        <v>6825</v>
      </c>
      <c r="B3288" s="13"/>
      <c r="C3288" t="e">
        <f t="shared" si="0"/>
        <v>#N/A</v>
      </c>
      <c r="D3288" t="b">
        <f t="shared" si="1"/>
        <v>0</v>
      </c>
      <c r="E3288">
        <f t="shared" si="2"/>
        <v>0</v>
      </c>
      <c r="F3288" s="13"/>
    </row>
    <row r="3289" spans="1:6" ht="15.75" customHeight="1" x14ac:dyDescent="0.15">
      <c r="A3289" s="12" t="s">
        <v>6826</v>
      </c>
      <c r="B3289" s="13"/>
      <c r="C3289" t="e">
        <f t="shared" si="0"/>
        <v>#N/A</v>
      </c>
      <c r="D3289" t="b">
        <f t="shared" si="1"/>
        <v>0</v>
      </c>
      <c r="E3289">
        <f t="shared" si="2"/>
        <v>0</v>
      </c>
      <c r="F3289" s="13"/>
    </row>
    <row r="3290" spans="1:6" ht="15.75" customHeight="1" x14ac:dyDescent="0.15">
      <c r="A3290" s="12" t="s">
        <v>6827</v>
      </c>
      <c r="B3290" s="13"/>
      <c r="C3290" t="e">
        <f t="shared" si="0"/>
        <v>#N/A</v>
      </c>
      <c r="D3290" t="b">
        <f t="shared" si="1"/>
        <v>0</v>
      </c>
      <c r="E3290">
        <f t="shared" si="2"/>
        <v>0</v>
      </c>
      <c r="F3290" s="13"/>
    </row>
    <row r="3291" spans="1:6" ht="15.75" customHeight="1" x14ac:dyDescent="0.15">
      <c r="A3291" s="12" t="s">
        <v>6828</v>
      </c>
      <c r="B3291" s="13"/>
      <c r="C3291" t="e">
        <f t="shared" si="0"/>
        <v>#N/A</v>
      </c>
      <c r="D3291" t="b">
        <f t="shared" si="1"/>
        <v>0</v>
      </c>
      <c r="E3291">
        <f t="shared" si="2"/>
        <v>0</v>
      </c>
      <c r="F3291" s="13"/>
    </row>
    <row r="3292" spans="1:6" ht="15.75" customHeight="1" x14ac:dyDescent="0.15">
      <c r="A3292" s="12" t="s">
        <v>6829</v>
      </c>
      <c r="B3292" s="13"/>
      <c r="C3292" t="e">
        <f t="shared" si="0"/>
        <v>#N/A</v>
      </c>
      <c r="D3292" t="b">
        <f t="shared" si="1"/>
        <v>0</v>
      </c>
      <c r="E3292">
        <f t="shared" si="2"/>
        <v>0</v>
      </c>
      <c r="F3292" s="13"/>
    </row>
    <row r="3293" spans="1:6" ht="15.75" customHeight="1" x14ac:dyDescent="0.15">
      <c r="A3293" s="12" t="s">
        <v>6830</v>
      </c>
      <c r="B3293" s="13"/>
      <c r="C3293" t="e">
        <f t="shared" si="0"/>
        <v>#N/A</v>
      </c>
      <c r="D3293" t="b">
        <f t="shared" si="1"/>
        <v>0</v>
      </c>
      <c r="E3293">
        <f t="shared" si="2"/>
        <v>0</v>
      </c>
      <c r="F3293" s="13"/>
    </row>
    <row r="3294" spans="1:6" ht="15.75" customHeight="1" x14ac:dyDescent="0.15">
      <c r="A3294" s="12" t="s">
        <v>6831</v>
      </c>
      <c r="B3294" s="13"/>
      <c r="C3294" t="e">
        <f t="shared" si="0"/>
        <v>#N/A</v>
      </c>
      <c r="D3294" t="b">
        <f t="shared" si="1"/>
        <v>0</v>
      </c>
      <c r="E3294">
        <f t="shared" si="2"/>
        <v>0</v>
      </c>
      <c r="F3294" s="13"/>
    </row>
    <row r="3295" spans="1:6" ht="15.75" customHeight="1" x14ac:dyDescent="0.15">
      <c r="A3295" s="12" t="s">
        <v>6832</v>
      </c>
      <c r="B3295" s="13"/>
      <c r="C3295" t="e">
        <f t="shared" si="0"/>
        <v>#N/A</v>
      </c>
      <c r="D3295" t="b">
        <f t="shared" si="1"/>
        <v>0</v>
      </c>
      <c r="E3295">
        <f t="shared" si="2"/>
        <v>0</v>
      </c>
      <c r="F3295" s="13"/>
    </row>
    <row r="3296" spans="1:6" ht="15.75" customHeight="1" x14ac:dyDescent="0.15">
      <c r="A3296" s="12" t="s">
        <v>6833</v>
      </c>
      <c r="B3296" s="13"/>
      <c r="C3296" t="e">
        <f t="shared" si="0"/>
        <v>#N/A</v>
      </c>
      <c r="D3296" t="b">
        <f t="shared" si="1"/>
        <v>0</v>
      </c>
      <c r="E3296">
        <f t="shared" si="2"/>
        <v>0</v>
      </c>
      <c r="F3296" s="13"/>
    </row>
    <row r="3297" spans="1:6" ht="15.75" customHeight="1" x14ac:dyDescent="0.15">
      <c r="A3297" s="12" t="s">
        <v>6834</v>
      </c>
      <c r="B3297" s="13"/>
      <c r="C3297" t="e">
        <f t="shared" si="0"/>
        <v>#N/A</v>
      </c>
      <c r="D3297" t="b">
        <f t="shared" si="1"/>
        <v>0</v>
      </c>
      <c r="E3297">
        <f t="shared" si="2"/>
        <v>0</v>
      </c>
      <c r="F3297" s="13"/>
    </row>
    <row r="3298" spans="1:6" ht="15.75" customHeight="1" x14ac:dyDescent="0.15">
      <c r="A3298" s="12" t="s">
        <v>6835</v>
      </c>
      <c r="B3298" s="13"/>
      <c r="C3298" t="e">
        <f t="shared" si="0"/>
        <v>#N/A</v>
      </c>
      <c r="D3298" t="b">
        <f t="shared" si="1"/>
        <v>0</v>
      </c>
      <c r="E3298">
        <f t="shared" si="2"/>
        <v>0</v>
      </c>
      <c r="F3298" s="13"/>
    </row>
    <row r="3299" spans="1:6" ht="15.75" customHeight="1" x14ac:dyDescent="0.15">
      <c r="A3299" s="12" t="s">
        <v>6836</v>
      </c>
      <c r="B3299" s="13"/>
      <c r="C3299" t="e">
        <f t="shared" si="0"/>
        <v>#N/A</v>
      </c>
      <c r="D3299" t="b">
        <f t="shared" si="1"/>
        <v>0</v>
      </c>
      <c r="E3299">
        <f t="shared" si="2"/>
        <v>0</v>
      </c>
      <c r="F3299" s="13"/>
    </row>
    <row r="3300" spans="1:6" ht="15.75" customHeight="1" x14ac:dyDescent="0.15">
      <c r="A3300" s="12" t="s">
        <v>6837</v>
      </c>
      <c r="B3300" s="13"/>
      <c r="C3300" t="e">
        <f t="shared" si="0"/>
        <v>#N/A</v>
      </c>
      <c r="D3300" t="b">
        <f t="shared" si="1"/>
        <v>0</v>
      </c>
      <c r="E3300">
        <f t="shared" si="2"/>
        <v>0</v>
      </c>
      <c r="F3300" s="13"/>
    </row>
    <row r="3301" spans="1:6" ht="15.75" customHeight="1" x14ac:dyDescent="0.15">
      <c r="A3301" s="12" t="s">
        <v>6838</v>
      </c>
      <c r="B3301" s="13"/>
      <c r="C3301" t="e">
        <f t="shared" si="0"/>
        <v>#N/A</v>
      </c>
      <c r="D3301" t="b">
        <f t="shared" si="1"/>
        <v>0</v>
      </c>
      <c r="E3301">
        <f t="shared" si="2"/>
        <v>0</v>
      </c>
      <c r="F3301" s="13"/>
    </row>
    <row r="3302" spans="1:6" ht="15.75" customHeight="1" x14ac:dyDescent="0.15">
      <c r="A3302" s="12" t="s">
        <v>6839</v>
      </c>
      <c r="B3302" s="13"/>
      <c r="C3302" t="e">
        <f t="shared" si="0"/>
        <v>#N/A</v>
      </c>
      <c r="D3302" t="b">
        <f t="shared" si="1"/>
        <v>0</v>
      </c>
      <c r="E3302">
        <f t="shared" si="2"/>
        <v>0</v>
      </c>
      <c r="F3302" s="13"/>
    </row>
    <row r="3303" spans="1:6" ht="15.75" customHeight="1" x14ac:dyDescent="0.15">
      <c r="A3303" s="12" t="s">
        <v>6840</v>
      </c>
      <c r="B3303" s="13"/>
      <c r="C3303" t="e">
        <f t="shared" si="0"/>
        <v>#N/A</v>
      </c>
      <c r="D3303" t="b">
        <f t="shared" si="1"/>
        <v>0</v>
      </c>
      <c r="E3303">
        <f t="shared" si="2"/>
        <v>0</v>
      </c>
      <c r="F3303" s="13"/>
    </row>
    <row r="3304" spans="1:6" ht="15.75" customHeight="1" x14ac:dyDescent="0.15">
      <c r="A3304" s="12" t="s">
        <v>6841</v>
      </c>
      <c r="B3304" s="13"/>
      <c r="C3304" t="e">
        <f t="shared" si="0"/>
        <v>#N/A</v>
      </c>
      <c r="D3304" t="b">
        <f t="shared" si="1"/>
        <v>0</v>
      </c>
      <c r="E3304">
        <f t="shared" si="2"/>
        <v>0</v>
      </c>
      <c r="F3304" s="13"/>
    </row>
    <row r="3305" spans="1:6" ht="15.75" customHeight="1" x14ac:dyDescent="0.15">
      <c r="A3305" s="12" t="s">
        <v>6842</v>
      </c>
      <c r="B3305" s="13"/>
      <c r="C3305" t="e">
        <f t="shared" si="0"/>
        <v>#N/A</v>
      </c>
      <c r="D3305" t="b">
        <f t="shared" si="1"/>
        <v>0</v>
      </c>
      <c r="E3305">
        <f t="shared" si="2"/>
        <v>0</v>
      </c>
      <c r="F3305" s="13"/>
    </row>
    <row r="3306" spans="1:6" ht="15.75" customHeight="1" x14ac:dyDescent="0.15">
      <c r="A3306" s="12" t="s">
        <v>6843</v>
      </c>
      <c r="B3306" s="13"/>
      <c r="C3306" t="e">
        <f t="shared" si="0"/>
        <v>#N/A</v>
      </c>
      <c r="D3306" t="b">
        <f t="shared" si="1"/>
        <v>0</v>
      </c>
      <c r="E3306">
        <f t="shared" si="2"/>
        <v>0</v>
      </c>
      <c r="F3306" s="13"/>
    </row>
    <row r="3307" spans="1:6" ht="15.75" customHeight="1" x14ac:dyDescent="0.15">
      <c r="A3307" s="12" t="s">
        <v>6844</v>
      </c>
      <c r="B3307" s="13"/>
      <c r="C3307" t="e">
        <f t="shared" si="0"/>
        <v>#N/A</v>
      </c>
      <c r="D3307" t="b">
        <f t="shared" si="1"/>
        <v>0</v>
      </c>
      <c r="E3307">
        <f t="shared" si="2"/>
        <v>0</v>
      </c>
      <c r="F3307" s="13"/>
    </row>
    <row r="3308" spans="1:6" ht="15.75" customHeight="1" x14ac:dyDescent="0.15">
      <c r="A3308" s="12" t="s">
        <v>6845</v>
      </c>
      <c r="B3308" s="13"/>
      <c r="C3308" t="e">
        <f t="shared" si="0"/>
        <v>#N/A</v>
      </c>
      <c r="D3308" t="b">
        <f t="shared" si="1"/>
        <v>0</v>
      </c>
      <c r="E3308">
        <f t="shared" si="2"/>
        <v>0</v>
      </c>
      <c r="F3308" s="13"/>
    </row>
    <row r="3309" spans="1:6" ht="15.75" customHeight="1" x14ac:dyDescent="0.15">
      <c r="A3309" s="12" t="s">
        <v>6846</v>
      </c>
      <c r="B3309" s="13"/>
      <c r="C3309" t="e">
        <f t="shared" si="0"/>
        <v>#N/A</v>
      </c>
      <c r="D3309" t="b">
        <f t="shared" si="1"/>
        <v>0</v>
      </c>
      <c r="E3309">
        <f t="shared" si="2"/>
        <v>0</v>
      </c>
      <c r="F3309" s="13"/>
    </row>
    <row r="3310" spans="1:6" ht="15.75" customHeight="1" x14ac:dyDescent="0.15">
      <c r="A3310" s="12" t="s">
        <v>6847</v>
      </c>
      <c r="B3310" s="13"/>
      <c r="C3310" t="e">
        <f t="shared" si="0"/>
        <v>#N/A</v>
      </c>
      <c r="D3310" t="b">
        <f t="shared" si="1"/>
        <v>0</v>
      </c>
      <c r="E3310">
        <f t="shared" si="2"/>
        <v>0</v>
      </c>
      <c r="F3310" s="13"/>
    </row>
    <row r="3311" spans="1:6" ht="15.75" customHeight="1" x14ac:dyDescent="0.15">
      <c r="A3311" s="12" t="s">
        <v>6848</v>
      </c>
      <c r="B3311" s="13"/>
      <c r="C3311" t="e">
        <f t="shared" si="0"/>
        <v>#N/A</v>
      </c>
      <c r="D3311" t="b">
        <f t="shared" si="1"/>
        <v>0</v>
      </c>
      <c r="E3311">
        <f t="shared" si="2"/>
        <v>0</v>
      </c>
      <c r="F3311" s="13"/>
    </row>
    <row r="3312" spans="1:6" ht="15.75" customHeight="1" x14ac:dyDescent="0.15">
      <c r="A3312" s="12" t="s">
        <v>6849</v>
      </c>
      <c r="B3312" s="13"/>
      <c r="C3312" t="e">
        <f t="shared" si="0"/>
        <v>#N/A</v>
      </c>
      <c r="D3312" t="b">
        <f t="shared" si="1"/>
        <v>0</v>
      </c>
      <c r="E3312">
        <f t="shared" si="2"/>
        <v>0</v>
      </c>
      <c r="F3312" s="13"/>
    </row>
    <row r="3313" spans="1:6" ht="15.75" customHeight="1" x14ac:dyDescent="0.15">
      <c r="A3313" s="12" t="s">
        <v>6850</v>
      </c>
      <c r="B3313" s="13"/>
      <c r="C3313" t="e">
        <f t="shared" si="0"/>
        <v>#N/A</v>
      </c>
      <c r="D3313" t="b">
        <f t="shared" si="1"/>
        <v>0</v>
      </c>
      <c r="E3313">
        <f t="shared" si="2"/>
        <v>0</v>
      </c>
      <c r="F3313" s="13"/>
    </row>
    <row r="3314" spans="1:6" ht="15.75" customHeight="1" x14ac:dyDescent="0.15">
      <c r="A3314" s="12" t="s">
        <v>6851</v>
      </c>
      <c r="B3314" s="13"/>
      <c r="C3314" t="e">
        <f t="shared" si="0"/>
        <v>#N/A</v>
      </c>
      <c r="D3314" t="b">
        <f t="shared" si="1"/>
        <v>0</v>
      </c>
      <c r="E3314">
        <f t="shared" si="2"/>
        <v>0</v>
      </c>
      <c r="F3314" s="13"/>
    </row>
    <row r="3315" spans="1:6" ht="15.75" customHeight="1" x14ac:dyDescent="0.15">
      <c r="A3315" s="12" t="s">
        <v>6852</v>
      </c>
      <c r="B3315" s="13"/>
      <c r="C3315" t="e">
        <f t="shared" si="0"/>
        <v>#N/A</v>
      </c>
      <c r="D3315" t="b">
        <f t="shared" si="1"/>
        <v>0</v>
      </c>
      <c r="E3315">
        <f t="shared" si="2"/>
        <v>0</v>
      </c>
      <c r="F3315" s="13"/>
    </row>
    <row r="3316" spans="1:6" ht="15.75" customHeight="1" x14ac:dyDescent="0.15">
      <c r="A3316" s="12" t="s">
        <v>6853</v>
      </c>
      <c r="B3316" s="13"/>
      <c r="C3316" t="e">
        <f t="shared" si="0"/>
        <v>#N/A</v>
      </c>
      <c r="D3316" t="b">
        <f t="shared" si="1"/>
        <v>0</v>
      </c>
      <c r="E3316">
        <f t="shared" si="2"/>
        <v>0</v>
      </c>
      <c r="F3316" s="13"/>
    </row>
    <row r="3317" spans="1:6" ht="15.75" customHeight="1" x14ac:dyDescent="0.15">
      <c r="A3317" s="12" t="s">
        <v>6853</v>
      </c>
      <c r="B3317" s="13"/>
      <c r="C3317" t="e">
        <f t="shared" si="0"/>
        <v>#N/A</v>
      </c>
      <c r="D3317" t="b">
        <f t="shared" si="1"/>
        <v>0</v>
      </c>
      <c r="E3317">
        <f t="shared" si="2"/>
        <v>0</v>
      </c>
      <c r="F3317" s="13"/>
    </row>
    <row r="3318" spans="1:6" ht="15.75" customHeight="1" x14ac:dyDescent="0.15">
      <c r="A3318" s="12" t="s">
        <v>6854</v>
      </c>
      <c r="B3318" s="13"/>
      <c r="C3318" t="e">
        <f t="shared" si="0"/>
        <v>#N/A</v>
      </c>
      <c r="D3318" t="b">
        <f t="shared" si="1"/>
        <v>0</v>
      </c>
      <c r="E3318">
        <f t="shared" si="2"/>
        <v>0</v>
      </c>
      <c r="F3318" s="13"/>
    </row>
    <row r="3319" spans="1:6" ht="15.75" customHeight="1" x14ac:dyDescent="0.15">
      <c r="A3319" s="12" t="s">
        <v>6855</v>
      </c>
      <c r="B3319" s="13"/>
      <c r="C3319" t="e">
        <f t="shared" si="0"/>
        <v>#N/A</v>
      </c>
      <c r="D3319" t="b">
        <f t="shared" si="1"/>
        <v>0</v>
      </c>
      <c r="E3319">
        <f t="shared" si="2"/>
        <v>0</v>
      </c>
      <c r="F3319" s="13"/>
    </row>
    <row r="3320" spans="1:6" ht="15.75" customHeight="1" x14ac:dyDescent="0.15">
      <c r="A3320" s="12" t="s">
        <v>6856</v>
      </c>
      <c r="B3320" s="13"/>
      <c r="C3320" t="e">
        <f t="shared" si="0"/>
        <v>#N/A</v>
      </c>
      <c r="D3320" t="b">
        <f t="shared" si="1"/>
        <v>0</v>
      </c>
      <c r="E3320">
        <f t="shared" si="2"/>
        <v>0</v>
      </c>
      <c r="F3320" s="13"/>
    </row>
    <row r="3321" spans="1:6" ht="15.75" customHeight="1" x14ac:dyDescent="0.15">
      <c r="A3321" s="12" t="s">
        <v>6857</v>
      </c>
      <c r="B3321" s="13"/>
      <c r="C3321" t="e">
        <f t="shared" si="0"/>
        <v>#N/A</v>
      </c>
      <c r="D3321" t="b">
        <f t="shared" si="1"/>
        <v>0</v>
      </c>
      <c r="E3321">
        <f t="shared" si="2"/>
        <v>0</v>
      </c>
      <c r="F3321" s="13"/>
    </row>
    <row r="3322" spans="1:6" ht="15.75" customHeight="1" x14ac:dyDescent="0.15">
      <c r="A3322" s="12" t="s">
        <v>6858</v>
      </c>
      <c r="B3322" s="13"/>
      <c r="C3322" t="e">
        <f t="shared" si="0"/>
        <v>#N/A</v>
      </c>
      <c r="D3322" t="b">
        <f t="shared" si="1"/>
        <v>0</v>
      </c>
      <c r="E3322">
        <f t="shared" si="2"/>
        <v>0</v>
      </c>
      <c r="F3322" s="13"/>
    </row>
    <row r="3323" spans="1:6" ht="15.75" customHeight="1" x14ac:dyDescent="0.15">
      <c r="A3323" s="12" t="s">
        <v>6859</v>
      </c>
      <c r="B3323" s="13"/>
      <c r="C3323" t="e">
        <f t="shared" si="0"/>
        <v>#N/A</v>
      </c>
      <c r="D3323" t="b">
        <f t="shared" si="1"/>
        <v>0</v>
      </c>
      <c r="E3323">
        <f t="shared" si="2"/>
        <v>0</v>
      </c>
      <c r="F3323" s="13"/>
    </row>
    <row r="3324" spans="1:6" ht="15.75" customHeight="1" x14ac:dyDescent="0.15">
      <c r="A3324" s="12" t="s">
        <v>6860</v>
      </c>
      <c r="B3324" s="13"/>
      <c r="C3324" t="e">
        <f t="shared" si="0"/>
        <v>#N/A</v>
      </c>
      <c r="D3324" t="b">
        <f t="shared" si="1"/>
        <v>0</v>
      </c>
      <c r="E3324">
        <f t="shared" si="2"/>
        <v>0</v>
      </c>
      <c r="F3324" s="13"/>
    </row>
    <row r="3325" spans="1:6" ht="15.75" customHeight="1" x14ac:dyDescent="0.15">
      <c r="A3325" s="12" t="s">
        <v>6861</v>
      </c>
      <c r="B3325" s="13"/>
      <c r="C3325" t="e">
        <f t="shared" si="0"/>
        <v>#N/A</v>
      </c>
      <c r="D3325" t="b">
        <f t="shared" si="1"/>
        <v>0</v>
      </c>
      <c r="E3325">
        <f t="shared" si="2"/>
        <v>0</v>
      </c>
      <c r="F3325" s="13"/>
    </row>
    <row r="3326" spans="1:6" ht="15.75" customHeight="1" x14ac:dyDescent="0.15">
      <c r="A3326" s="12" t="s">
        <v>6862</v>
      </c>
      <c r="B3326" s="13"/>
      <c r="C3326" t="e">
        <f t="shared" si="0"/>
        <v>#N/A</v>
      </c>
      <c r="D3326" t="b">
        <f t="shared" si="1"/>
        <v>0</v>
      </c>
      <c r="E3326">
        <f t="shared" si="2"/>
        <v>0</v>
      </c>
      <c r="F3326" s="13"/>
    </row>
    <row r="3327" spans="1:6" ht="15.75" customHeight="1" x14ac:dyDescent="0.15">
      <c r="A3327" s="12" t="s">
        <v>6863</v>
      </c>
      <c r="B3327" s="13"/>
      <c r="C3327" t="e">
        <f t="shared" si="0"/>
        <v>#N/A</v>
      </c>
      <c r="D3327" t="b">
        <f t="shared" si="1"/>
        <v>0</v>
      </c>
      <c r="E3327">
        <f t="shared" si="2"/>
        <v>0</v>
      </c>
      <c r="F3327" s="13"/>
    </row>
    <row r="3328" spans="1:6" ht="15.75" customHeight="1" x14ac:dyDescent="0.15">
      <c r="A3328" s="12" t="s">
        <v>6864</v>
      </c>
      <c r="B3328" s="13"/>
      <c r="C3328" t="e">
        <f t="shared" si="0"/>
        <v>#N/A</v>
      </c>
      <c r="D3328" t="b">
        <f t="shared" si="1"/>
        <v>0</v>
      </c>
      <c r="E3328">
        <f t="shared" si="2"/>
        <v>0</v>
      </c>
      <c r="F3328" s="13"/>
    </row>
    <row r="3329" spans="1:6" ht="15.75" customHeight="1" x14ac:dyDescent="0.15">
      <c r="A3329" s="12" t="s">
        <v>6865</v>
      </c>
      <c r="B3329" s="13"/>
      <c r="C3329" t="e">
        <f t="shared" si="0"/>
        <v>#N/A</v>
      </c>
      <c r="D3329" t="b">
        <f t="shared" si="1"/>
        <v>0</v>
      </c>
      <c r="E3329">
        <f t="shared" si="2"/>
        <v>0</v>
      </c>
      <c r="F3329" s="13"/>
    </row>
    <row r="3330" spans="1:6" ht="15.75" customHeight="1" x14ac:dyDescent="0.15">
      <c r="A3330" s="12" t="s">
        <v>6866</v>
      </c>
      <c r="B3330" s="13"/>
      <c r="C3330" t="e">
        <f t="shared" si="0"/>
        <v>#N/A</v>
      </c>
      <c r="D3330" t="b">
        <f t="shared" si="1"/>
        <v>0</v>
      </c>
      <c r="E3330">
        <f t="shared" si="2"/>
        <v>0</v>
      </c>
      <c r="F3330" s="13"/>
    </row>
    <row r="3331" spans="1:6" ht="15.75" customHeight="1" x14ac:dyDescent="0.15">
      <c r="A3331" s="12" t="s">
        <v>6867</v>
      </c>
      <c r="B3331" s="13"/>
      <c r="C3331" t="e">
        <f t="shared" si="0"/>
        <v>#N/A</v>
      </c>
      <c r="D3331" t="b">
        <f t="shared" si="1"/>
        <v>0</v>
      </c>
      <c r="E3331">
        <f t="shared" si="2"/>
        <v>0</v>
      </c>
      <c r="F3331" s="13"/>
    </row>
    <row r="3332" spans="1:6" ht="15.75" customHeight="1" x14ac:dyDescent="0.15">
      <c r="A3332" s="12" t="s">
        <v>6868</v>
      </c>
      <c r="B3332" s="13"/>
      <c r="C3332" t="e">
        <f t="shared" si="0"/>
        <v>#N/A</v>
      </c>
      <c r="D3332" t="b">
        <f t="shared" si="1"/>
        <v>0</v>
      </c>
      <c r="E3332">
        <f t="shared" si="2"/>
        <v>0</v>
      </c>
      <c r="F3332" s="13"/>
    </row>
    <row r="3333" spans="1:6" ht="15.75" customHeight="1" x14ac:dyDescent="0.15">
      <c r="A3333" s="12" t="s">
        <v>6869</v>
      </c>
      <c r="B3333" s="13"/>
      <c r="C3333" t="e">
        <f t="shared" si="0"/>
        <v>#N/A</v>
      </c>
      <c r="D3333" t="b">
        <f t="shared" si="1"/>
        <v>0</v>
      </c>
      <c r="E3333">
        <f t="shared" si="2"/>
        <v>0</v>
      </c>
      <c r="F3333" s="13"/>
    </row>
    <row r="3334" spans="1:6" ht="15.75" customHeight="1" x14ac:dyDescent="0.15">
      <c r="A3334" s="12" t="s">
        <v>6870</v>
      </c>
      <c r="B3334" s="13"/>
      <c r="C3334" t="e">
        <f t="shared" si="0"/>
        <v>#N/A</v>
      </c>
      <c r="D3334" t="b">
        <f t="shared" si="1"/>
        <v>0</v>
      </c>
      <c r="E3334">
        <f t="shared" si="2"/>
        <v>0</v>
      </c>
      <c r="F3334" s="13"/>
    </row>
    <row r="3335" spans="1:6" ht="15.75" customHeight="1" x14ac:dyDescent="0.15">
      <c r="A3335" s="12" t="s">
        <v>6871</v>
      </c>
      <c r="B3335" s="13"/>
      <c r="C3335" t="e">
        <f t="shared" si="0"/>
        <v>#N/A</v>
      </c>
      <c r="D3335" t="b">
        <f t="shared" si="1"/>
        <v>0</v>
      </c>
      <c r="E3335">
        <f t="shared" si="2"/>
        <v>0</v>
      </c>
      <c r="F3335" s="13"/>
    </row>
    <row r="3336" spans="1:6" ht="15.75" customHeight="1" x14ac:dyDescent="0.15">
      <c r="A3336" s="12" t="s">
        <v>6872</v>
      </c>
      <c r="B3336" s="13"/>
      <c r="C3336" t="e">
        <f t="shared" si="0"/>
        <v>#N/A</v>
      </c>
      <c r="D3336" t="b">
        <f t="shared" si="1"/>
        <v>0</v>
      </c>
      <c r="E3336">
        <f t="shared" si="2"/>
        <v>0</v>
      </c>
      <c r="F3336" s="13"/>
    </row>
    <row r="3337" spans="1:6" ht="15.75" customHeight="1" x14ac:dyDescent="0.15">
      <c r="A3337" s="12" t="s">
        <v>6873</v>
      </c>
      <c r="B3337" s="13"/>
      <c r="C3337" t="e">
        <f t="shared" si="0"/>
        <v>#N/A</v>
      </c>
      <c r="D3337" t="b">
        <f t="shared" si="1"/>
        <v>0</v>
      </c>
      <c r="E3337">
        <f t="shared" si="2"/>
        <v>0</v>
      </c>
      <c r="F3337" s="13"/>
    </row>
    <row r="3338" spans="1:6" ht="15.75" customHeight="1" x14ac:dyDescent="0.15">
      <c r="A3338" s="12" t="s">
        <v>6874</v>
      </c>
      <c r="B3338" s="13"/>
      <c r="C3338" t="e">
        <f t="shared" si="0"/>
        <v>#N/A</v>
      </c>
      <c r="D3338" t="b">
        <f t="shared" si="1"/>
        <v>0</v>
      </c>
      <c r="E3338">
        <f t="shared" si="2"/>
        <v>0</v>
      </c>
      <c r="F3338" s="13"/>
    </row>
    <row r="3339" spans="1:6" ht="15.75" customHeight="1" x14ac:dyDescent="0.15">
      <c r="A3339" s="12" t="s">
        <v>6875</v>
      </c>
      <c r="B3339" s="13"/>
      <c r="C3339" t="e">
        <f t="shared" si="0"/>
        <v>#N/A</v>
      </c>
      <c r="D3339" t="b">
        <f t="shared" si="1"/>
        <v>0</v>
      </c>
      <c r="E3339">
        <f t="shared" si="2"/>
        <v>0</v>
      </c>
      <c r="F3339" s="13"/>
    </row>
    <row r="3340" spans="1:6" ht="15.75" customHeight="1" x14ac:dyDescent="0.15">
      <c r="A3340" s="12" t="s">
        <v>6875</v>
      </c>
      <c r="B3340" s="13"/>
      <c r="C3340" t="e">
        <f t="shared" si="0"/>
        <v>#N/A</v>
      </c>
      <c r="D3340" t="b">
        <f t="shared" si="1"/>
        <v>0</v>
      </c>
      <c r="E3340">
        <f t="shared" si="2"/>
        <v>0</v>
      </c>
      <c r="F3340" s="13"/>
    </row>
    <row r="3341" spans="1:6" ht="15.75" customHeight="1" x14ac:dyDescent="0.15">
      <c r="A3341" s="12" t="s">
        <v>6876</v>
      </c>
      <c r="B3341" s="13"/>
      <c r="C3341" t="e">
        <f t="shared" si="0"/>
        <v>#N/A</v>
      </c>
      <c r="D3341" t="b">
        <f t="shared" si="1"/>
        <v>0</v>
      </c>
      <c r="E3341">
        <f t="shared" si="2"/>
        <v>0</v>
      </c>
      <c r="F3341" s="13"/>
    </row>
    <row r="3342" spans="1:6" ht="15.75" customHeight="1" x14ac:dyDescent="0.15">
      <c r="A3342" s="12" t="s">
        <v>6877</v>
      </c>
      <c r="B3342" s="13"/>
      <c r="C3342" t="e">
        <f t="shared" si="0"/>
        <v>#N/A</v>
      </c>
      <c r="D3342" t="b">
        <f t="shared" si="1"/>
        <v>0</v>
      </c>
      <c r="E3342">
        <f t="shared" si="2"/>
        <v>0</v>
      </c>
      <c r="F3342" s="13"/>
    </row>
    <row r="3343" spans="1:6" ht="15.75" customHeight="1" x14ac:dyDescent="0.15">
      <c r="A3343" s="12" t="s">
        <v>6878</v>
      </c>
      <c r="B3343" s="13"/>
      <c r="C3343" t="e">
        <f t="shared" si="0"/>
        <v>#N/A</v>
      </c>
      <c r="D3343" t="b">
        <f t="shared" si="1"/>
        <v>0</v>
      </c>
      <c r="E3343">
        <f t="shared" si="2"/>
        <v>0</v>
      </c>
      <c r="F3343" s="13"/>
    </row>
    <row r="3344" spans="1:6" ht="15.75" customHeight="1" x14ac:dyDescent="0.15">
      <c r="A3344" s="12" t="s">
        <v>6879</v>
      </c>
      <c r="B3344" s="13"/>
      <c r="C3344" t="e">
        <f t="shared" si="0"/>
        <v>#N/A</v>
      </c>
      <c r="D3344" t="b">
        <f t="shared" si="1"/>
        <v>0</v>
      </c>
      <c r="E3344">
        <f t="shared" si="2"/>
        <v>0</v>
      </c>
      <c r="F3344" s="13"/>
    </row>
    <row r="3345" spans="1:6" ht="15.75" customHeight="1" x14ac:dyDescent="0.15">
      <c r="A3345" s="12" t="s">
        <v>6880</v>
      </c>
      <c r="B3345" s="13"/>
      <c r="C3345" t="e">
        <f t="shared" si="0"/>
        <v>#N/A</v>
      </c>
      <c r="D3345" t="b">
        <f t="shared" si="1"/>
        <v>0</v>
      </c>
      <c r="E3345">
        <f t="shared" si="2"/>
        <v>0</v>
      </c>
      <c r="F3345" s="13"/>
    </row>
    <row r="3346" spans="1:6" ht="15.75" customHeight="1" x14ac:dyDescent="0.15">
      <c r="A3346" s="12" t="s">
        <v>6881</v>
      </c>
      <c r="B3346" s="13"/>
      <c r="C3346" t="e">
        <f t="shared" si="0"/>
        <v>#N/A</v>
      </c>
      <c r="D3346" t="b">
        <f t="shared" si="1"/>
        <v>0</v>
      </c>
      <c r="E3346">
        <f t="shared" si="2"/>
        <v>0</v>
      </c>
      <c r="F3346" s="13"/>
    </row>
    <row r="3347" spans="1:6" ht="15.75" customHeight="1" x14ac:dyDescent="0.15">
      <c r="A3347" s="12" t="s">
        <v>6882</v>
      </c>
      <c r="B3347" s="13"/>
      <c r="C3347" t="e">
        <f t="shared" si="0"/>
        <v>#N/A</v>
      </c>
      <c r="D3347" t="b">
        <f t="shared" si="1"/>
        <v>0</v>
      </c>
      <c r="E3347">
        <f t="shared" si="2"/>
        <v>0</v>
      </c>
      <c r="F3347" s="13"/>
    </row>
    <row r="3348" spans="1:6" ht="15.75" customHeight="1" x14ac:dyDescent="0.15">
      <c r="A3348" s="12" t="s">
        <v>6883</v>
      </c>
      <c r="B3348" s="13"/>
      <c r="C3348" t="e">
        <f t="shared" si="0"/>
        <v>#N/A</v>
      </c>
      <c r="D3348" t="b">
        <f t="shared" si="1"/>
        <v>0</v>
      </c>
      <c r="E3348">
        <f t="shared" si="2"/>
        <v>0</v>
      </c>
      <c r="F3348" s="13"/>
    </row>
    <row r="3349" spans="1:6" ht="15.75" customHeight="1" x14ac:dyDescent="0.15">
      <c r="A3349" s="12" t="s">
        <v>6884</v>
      </c>
      <c r="B3349" s="13"/>
      <c r="C3349" t="e">
        <f t="shared" si="0"/>
        <v>#N/A</v>
      </c>
      <c r="D3349" t="b">
        <f t="shared" si="1"/>
        <v>0</v>
      </c>
      <c r="E3349">
        <f t="shared" si="2"/>
        <v>0</v>
      </c>
      <c r="F3349" s="13"/>
    </row>
    <row r="3350" spans="1:6" ht="15.75" customHeight="1" x14ac:dyDescent="0.15">
      <c r="A3350" s="12" t="s">
        <v>6885</v>
      </c>
      <c r="B3350" s="13"/>
      <c r="C3350" t="e">
        <f t="shared" si="0"/>
        <v>#N/A</v>
      </c>
      <c r="D3350" t="b">
        <f t="shared" si="1"/>
        <v>0</v>
      </c>
      <c r="E3350">
        <f t="shared" si="2"/>
        <v>0</v>
      </c>
      <c r="F3350" s="13"/>
    </row>
    <row r="3351" spans="1:6" ht="15.75" customHeight="1" x14ac:dyDescent="0.15">
      <c r="A3351" s="12" t="s">
        <v>6886</v>
      </c>
      <c r="B3351" s="13"/>
      <c r="C3351" t="e">
        <f t="shared" si="0"/>
        <v>#N/A</v>
      </c>
      <c r="D3351" t="b">
        <f t="shared" si="1"/>
        <v>0</v>
      </c>
      <c r="E3351">
        <f t="shared" si="2"/>
        <v>0</v>
      </c>
      <c r="F3351" s="13"/>
    </row>
    <row r="3352" spans="1:6" ht="15.75" customHeight="1" x14ac:dyDescent="0.15">
      <c r="A3352" s="12" t="s">
        <v>6887</v>
      </c>
      <c r="B3352" s="13"/>
      <c r="C3352" t="e">
        <f t="shared" si="0"/>
        <v>#N/A</v>
      </c>
      <c r="D3352" t="b">
        <f t="shared" si="1"/>
        <v>0</v>
      </c>
      <c r="E3352">
        <f t="shared" si="2"/>
        <v>0</v>
      </c>
      <c r="F3352" s="13"/>
    </row>
    <row r="3353" spans="1:6" ht="15.75" customHeight="1" x14ac:dyDescent="0.15">
      <c r="A3353" s="12" t="s">
        <v>6888</v>
      </c>
      <c r="B3353" s="13"/>
      <c r="C3353" t="e">
        <f t="shared" si="0"/>
        <v>#N/A</v>
      </c>
      <c r="D3353" t="b">
        <f t="shared" si="1"/>
        <v>0</v>
      </c>
      <c r="E3353">
        <f t="shared" si="2"/>
        <v>0</v>
      </c>
      <c r="F3353" s="13"/>
    </row>
    <row r="3354" spans="1:6" ht="15.75" customHeight="1" x14ac:dyDescent="0.15">
      <c r="A3354" s="12" t="s">
        <v>6889</v>
      </c>
      <c r="B3354" s="13"/>
      <c r="C3354" t="e">
        <f t="shared" si="0"/>
        <v>#N/A</v>
      </c>
      <c r="D3354" t="b">
        <f t="shared" si="1"/>
        <v>0</v>
      </c>
      <c r="E3354">
        <f t="shared" si="2"/>
        <v>0</v>
      </c>
      <c r="F3354" s="13"/>
    </row>
    <row r="3355" spans="1:6" ht="15.75" customHeight="1" x14ac:dyDescent="0.15">
      <c r="A3355" s="12" t="s">
        <v>6890</v>
      </c>
      <c r="B3355" s="13"/>
      <c r="C3355" t="e">
        <f t="shared" si="0"/>
        <v>#N/A</v>
      </c>
      <c r="D3355" t="b">
        <f t="shared" si="1"/>
        <v>0</v>
      </c>
      <c r="E3355">
        <f t="shared" si="2"/>
        <v>0</v>
      </c>
      <c r="F3355" s="13"/>
    </row>
    <row r="3356" spans="1:6" ht="15.75" customHeight="1" x14ac:dyDescent="0.15">
      <c r="A3356" s="12" t="s">
        <v>6891</v>
      </c>
      <c r="B3356" s="13"/>
      <c r="C3356" t="e">
        <f t="shared" si="0"/>
        <v>#N/A</v>
      </c>
      <c r="D3356" t="b">
        <f t="shared" si="1"/>
        <v>0</v>
      </c>
      <c r="E3356">
        <f t="shared" si="2"/>
        <v>0</v>
      </c>
      <c r="F3356" s="13"/>
    </row>
    <row r="3357" spans="1:6" ht="15.75" customHeight="1" x14ac:dyDescent="0.15">
      <c r="A3357" s="12" t="s">
        <v>6892</v>
      </c>
      <c r="B3357" s="13"/>
      <c r="C3357" t="e">
        <f t="shared" si="0"/>
        <v>#N/A</v>
      </c>
      <c r="D3357" t="b">
        <f t="shared" si="1"/>
        <v>0</v>
      </c>
      <c r="E3357">
        <f t="shared" si="2"/>
        <v>0</v>
      </c>
      <c r="F3357" s="13"/>
    </row>
    <row r="3358" spans="1:6" ht="15.75" customHeight="1" x14ac:dyDescent="0.15">
      <c r="A3358" s="12" t="s">
        <v>6893</v>
      </c>
      <c r="B3358" s="13"/>
      <c r="C3358" t="e">
        <f t="shared" si="0"/>
        <v>#N/A</v>
      </c>
      <c r="D3358" t="b">
        <f t="shared" si="1"/>
        <v>0</v>
      </c>
      <c r="E3358">
        <f t="shared" si="2"/>
        <v>0</v>
      </c>
      <c r="F3358" s="13"/>
    </row>
    <row r="3359" spans="1:6" ht="15.75" customHeight="1" x14ac:dyDescent="0.15">
      <c r="A3359" s="12" t="s">
        <v>6894</v>
      </c>
      <c r="B3359" s="13"/>
      <c r="C3359" t="e">
        <f t="shared" si="0"/>
        <v>#N/A</v>
      </c>
      <c r="D3359" t="b">
        <f t="shared" si="1"/>
        <v>0</v>
      </c>
      <c r="E3359">
        <f t="shared" si="2"/>
        <v>0</v>
      </c>
      <c r="F3359" s="13"/>
    </row>
    <row r="3360" spans="1:6" ht="15.75" customHeight="1" x14ac:dyDescent="0.15">
      <c r="A3360" s="12" t="s">
        <v>6895</v>
      </c>
      <c r="B3360" s="13"/>
      <c r="C3360" t="e">
        <f t="shared" si="0"/>
        <v>#N/A</v>
      </c>
      <c r="D3360" t="b">
        <f t="shared" si="1"/>
        <v>0</v>
      </c>
      <c r="E3360">
        <f t="shared" si="2"/>
        <v>0</v>
      </c>
      <c r="F3360" s="13"/>
    </row>
    <row r="3361" spans="1:6" ht="15.75" customHeight="1" x14ac:dyDescent="0.15">
      <c r="A3361" s="12" t="s">
        <v>6896</v>
      </c>
      <c r="B3361" s="13"/>
      <c r="C3361" t="e">
        <f t="shared" si="0"/>
        <v>#N/A</v>
      </c>
      <c r="D3361" t="b">
        <f t="shared" si="1"/>
        <v>0</v>
      </c>
      <c r="E3361">
        <f t="shared" si="2"/>
        <v>0</v>
      </c>
      <c r="F3361" s="13"/>
    </row>
    <row r="3362" spans="1:6" ht="15.75" customHeight="1" x14ac:dyDescent="0.15">
      <c r="A3362" s="12" t="s">
        <v>6897</v>
      </c>
      <c r="B3362" s="13"/>
      <c r="C3362" t="e">
        <f t="shared" si="0"/>
        <v>#N/A</v>
      </c>
      <c r="D3362" t="b">
        <f t="shared" si="1"/>
        <v>0</v>
      </c>
      <c r="E3362">
        <f t="shared" si="2"/>
        <v>0</v>
      </c>
      <c r="F3362" s="13"/>
    </row>
    <row r="3363" spans="1:6" ht="15.75" customHeight="1" x14ac:dyDescent="0.15">
      <c r="A3363" s="12" t="s">
        <v>6898</v>
      </c>
      <c r="B3363" s="13"/>
      <c r="C3363" t="e">
        <f t="shared" si="0"/>
        <v>#N/A</v>
      </c>
      <c r="D3363" t="b">
        <f t="shared" si="1"/>
        <v>0</v>
      </c>
      <c r="E3363">
        <f t="shared" si="2"/>
        <v>0</v>
      </c>
      <c r="F3363" s="13"/>
    </row>
    <row r="3364" spans="1:6" ht="15.75" customHeight="1" x14ac:dyDescent="0.15">
      <c r="A3364" s="12" t="s">
        <v>6899</v>
      </c>
      <c r="B3364" s="13"/>
      <c r="C3364" t="e">
        <f t="shared" si="0"/>
        <v>#N/A</v>
      </c>
      <c r="D3364" t="b">
        <f t="shared" si="1"/>
        <v>0</v>
      </c>
      <c r="E3364">
        <f t="shared" si="2"/>
        <v>0</v>
      </c>
      <c r="F3364" s="13"/>
    </row>
    <row r="3365" spans="1:6" ht="15.75" customHeight="1" x14ac:dyDescent="0.15">
      <c r="A3365" s="12" t="s">
        <v>6900</v>
      </c>
      <c r="B3365" s="13"/>
      <c r="C3365" t="e">
        <f t="shared" si="0"/>
        <v>#N/A</v>
      </c>
      <c r="D3365" t="b">
        <f t="shared" si="1"/>
        <v>0</v>
      </c>
      <c r="E3365">
        <f t="shared" si="2"/>
        <v>0</v>
      </c>
      <c r="F3365" s="13"/>
    </row>
    <row r="3366" spans="1:6" ht="15.75" customHeight="1" x14ac:dyDescent="0.15">
      <c r="A3366" s="12" t="s">
        <v>6901</v>
      </c>
      <c r="B3366" s="13"/>
      <c r="C3366" t="e">
        <f t="shared" si="0"/>
        <v>#N/A</v>
      </c>
      <c r="D3366" t="b">
        <f t="shared" si="1"/>
        <v>0</v>
      </c>
      <c r="E3366">
        <f t="shared" si="2"/>
        <v>0</v>
      </c>
      <c r="F3366" s="13"/>
    </row>
    <row r="3367" spans="1:6" ht="15.75" customHeight="1" x14ac:dyDescent="0.15">
      <c r="A3367" s="12" t="s">
        <v>6902</v>
      </c>
      <c r="B3367" s="13"/>
      <c r="C3367" t="e">
        <f t="shared" si="0"/>
        <v>#N/A</v>
      </c>
      <c r="D3367" t="b">
        <f t="shared" si="1"/>
        <v>0</v>
      </c>
      <c r="E3367">
        <f t="shared" si="2"/>
        <v>0</v>
      </c>
      <c r="F3367" s="13"/>
    </row>
    <row r="3368" spans="1:6" ht="15.75" customHeight="1" x14ac:dyDescent="0.15">
      <c r="A3368" s="12" t="s">
        <v>6903</v>
      </c>
      <c r="B3368" s="13"/>
      <c r="C3368" t="e">
        <f t="shared" si="0"/>
        <v>#N/A</v>
      </c>
      <c r="D3368" t="b">
        <f t="shared" si="1"/>
        <v>0</v>
      </c>
      <c r="E3368">
        <f t="shared" si="2"/>
        <v>0</v>
      </c>
      <c r="F3368" s="13"/>
    </row>
    <row r="3369" spans="1:6" ht="15.75" customHeight="1" x14ac:dyDescent="0.15">
      <c r="A3369" s="12" t="s">
        <v>6904</v>
      </c>
      <c r="B3369" s="13"/>
      <c r="C3369" t="e">
        <f t="shared" si="0"/>
        <v>#N/A</v>
      </c>
      <c r="D3369" t="b">
        <f t="shared" si="1"/>
        <v>0</v>
      </c>
      <c r="E3369">
        <f t="shared" si="2"/>
        <v>0</v>
      </c>
      <c r="F3369" s="13"/>
    </row>
    <row r="3370" spans="1:6" ht="15.75" customHeight="1" x14ac:dyDescent="0.15">
      <c r="A3370" s="12" t="s">
        <v>6905</v>
      </c>
      <c r="B3370" s="13"/>
      <c r="C3370" t="e">
        <f t="shared" si="0"/>
        <v>#N/A</v>
      </c>
      <c r="D3370" t="b">
        <f t="shared" si="1"/>
        <v>0</v>
      </c>
      <c r="E3370">
        <f t="shared" si="2"/>
        <v>0</v>
      </c>
      <c r="F3370" s="13"/>
    </row>
    <row r="3371" spans="1:6" ht="15.75" customHeight="1" x14ac:dyDescent="0.15">
      <c r="A3371" s="12" t="s">
        <v>6906</v>
      </c>
      <c r="B3371" s="13"/>
      <c r="C3371" t="e">
        <f t="shared" si="0"/>
        <v>#N/A</v>
      </c>
      <c r="D3371" t="b">
        <f t="shared" si="1"/>
        <v>0</v>
      </c>
      <c r="E3371">
        <f t="shared" si="2"/>
        <v>0</v>
      </c>
      <c r="F3371" s="13"/>
    </row>
    <row r="3372" spans="1:6" ht="15.75" customHeight="1" x14ac:dyDescent="0.15">
      <c r="A3372" s="12" t="s">
        <v>6907</v>
      </c>
      <c r="B3372" s="13"/>
      <c r="C3372" t="e">
        <f t="shared" si="0"/>
        <v>#N/A</v>
      </c>
      <c r="D3372" t="b">
        <f t="shared" si="1"/>
        <v>0</v>
      </c>
      <c r="E3372">
        <f t="shared" si="2"/>
        <v>0</v>
      </c>
      <c r="F3372" s="13"/>
    </row>
    <row r="3373" spans="1:6" ht="15.75" customHeight="1" x14ac:dyDescent="0.15">
      <c r="A3373" s="12" t="s">
        <v>6908</v>
      </c>
      <c r="B3373" s="13"/>
      <c r="C3373" t="e">
        <f t="shared" si="0"/>
        <v>#N/A</v>
      </c>
      <c r="D3373" t="b">
        <f t="shared" si="1"/>
        <v>0</v>
      </c>
      <c r="E3373">
        <f t="shared" si="2"/>
        <v>0</v>
      </c>
      <c r="F3373" s="13"/>
    </row>
    <row r="3374" spans="1:6" ht="15.75" customHeight="1" x14ac:dyDescent="0.15">
      <c r="A3374" s="12" t="s">
        <v>6909</v>
      </c>
      <c r="B3374" s="13"/>
      <c r="C3374" t="e">
        <f t="shared" si="0"/>
        <v>#N/A</v>
      </c>
      <c r="D3374" t="b">
        <f t="shared" si="1"/>
        <v>0</v>
      </c>
      <c r="E3374">
        <f t="shared" si="2"/>
        <v>0</v>
      </c>
      <c r="F3374" s="13"/>
    </row>
    <row r="3375" spans="1:6" ht="15.75" customHeight="1" x14ac:dyDescent="0.15">
      <c r="A3375" s="12" t="s">
        <v>6910</v>
      </c>
      <c r="B3375" s="13"/>
      <c r="C3375" t="e">
        <f t="shared" si="0"/>
        <v>#N/A</v>
      </c>
      <c r="D3375" t="b">
        <f t="shared" si="1"/>
        <v>0</v>
      </c>
      <c r="E3375">
        <f t="shared" si="2"/>
        <v>0</v>
      </c>
      <c r="F3375" s="13"/>
    </row>
    <row r="3376" spans="1:6" ht="15.75" customHeight="1" x14ac:dyDescent="0.15">
      <c r="A3376" s="12" t="s">
        <v>6911</v>
      </c>
      <c r="B3376" s="13"/>
      <c r="C3376" t="e">
        <f t="shared" si="0"/>
        <v>#N/A</v>
      </c>
      <c r="D3376" t="b">
        <f t="shared" si="1"/>
        <v>0</v>
      </c>
      <c r="E3376">
        <f t="shared" si="2"/>
        <v>0</v>
      </c>
      <c r="F3376" s="13"/>
    </row>
    <row r="3377" spans="1:6" ht="15.75" customHeight="1" x14ac:dyDescent="0.15">
      <c r="A3377" s="12" t="s">
        <v>6912</v>
      </c>
      <c r="B3377" s="13"/>
      <c r="C3377" t="e">
        <f t="shared" si="0"/>
        <v>#N/A</v>
      </c>
      <c r="D3377" t="b">
        <f t="shared" si="1"/>
        <v>0</v>
      </c>
      <c r="E3377">
        <f t="shared" si="2"/>
        <v>0</v>
      </c>
      <c r="F3377" s="13"/>
    </row>
    <row r="3378" spans="1:6" ht="15.75" customHeight="1" x14ac:dyDescent="0.15">
      <c r="A3378" s="12" t="s">
        <v>6913</v>
      </c>
      <c r="B3378" s="13"/>
      <c r="C3378" t="e">
        <f t="shared" si="0"/>
        <v>#N/A</v>
      </c>
      <c r="D3378" t="b">
        <f t="shared" si="1"/>
        <v>0</v>
      </c>
      <c r="E3378">
        <f t="shared" si="2"/>
        <v>0</v>
      </c>
      <c r="F3378" s="13"/>
    </row>
    <row r="3379" spans="1:6" ht="15.75" customHeight="1" x14ac:dyDescent="0.15">
      <c r="A3379" s="12" t="s">
        <v>6914</v>
      </c>
      <c r="B3379" s="13"/>
      <c r="C3379" t="e">
        <f t="shared" si="0"/>
        <v>#N/A</v>
      </c>
      <c r="D3379" t="b">
        <f t="shared" si="1"/>
        <v>0</v>
      </c>
      <c r="E3379">
        <f t="shared" si="2"/>
        <v>0</v>
      </c>
      <c r="F3379" s="13"/>
    </row>
    <row r="3380" spans="1:6" ht="15.75" customHeight="1" x14ac:dyDescent="0.15">
      <c r="A3380" s="12" t="s">
        <v>6915</v>
      </c>
      <c r="B3380" s="13"/>
      <c r="C3380" t="e">
        <f t="shared" si="0"/>
        <v>#N/A</v>
      </c>
      <c r="D3380" t="b">
        <f t="shared" si="1"/>
        <v>0</v>
      </c>
      <c r="E3380">
        <f t="shared" si="2"/>
        <v>0</v>
      </c>
      <c r="F3380" s="13"/>
    </row>
    <row r="3381" spans="1:6" ht="15.75" customHeight="1" x14ac:dyDescent="0.15">
      <c r="A3381" s="12" t="s">
        <v>6916</v>
      </c>
      <c r="B3381" s="13"/>
      <c r="C3381" t="e">
        <f t="shared" si="0"/>
        <v>#N/A</v>
      </c>
      <c r="D3381" t="b">
        <f t="shared" si="1"/>
        <v>0</v>
      </c>
      <c r="E3381">
        <f t="shared" si="2"/>
        <v>0</v>
      </c>
      <c r="F3381" s="13"/>
    </row>
    <row r="3382" spans="1:6" ht="15.75" customHeight="1" x14ac:dyDescent="0.15">
      <c r="A3382" s="12" t="s">
        <v>6917</v>
      </c>
      <c r="B3382" s="13"/>
      <c r="C3382" t="e">
        <f t="shared" si="0"/>
        <v>#N/A</v>
      </c>
      <c r="D3382" t="b">
        <f t="shared" si="1"/>
        <v>0</v>
      </c>
      <c r="E3382">
        <f t="shared" si="2"/>
        <v>0</v>
      </c>
      <c r="F3382" s="13"/>
    </row>
    <row r="3383" spans="1:6" ht="15.75" customHeight="1" x14ac:dyDescent="0.15">
      <c r="A3383" s="12" t="s">
        <v>6918</v>
      </c>
      <c r="B3383" s="13"/>
      <c r="C3383" t="e">
        <f t="shared" si="0"/>
        <v>#N/A</v>
      </c>
      <c r="D3383" t="b">
        <f t="shared" si="1"/>
        <v>0</v>
      </c>
      <c r="E3383">
        <f t="shared" si="2"/>
        <v>0</v>
      </c>
      <c r="F3383" s="13"/>
    </row>
    <row r="3384" spans="1:6" ht="15.75" customHeight="1" x14ac:dyDescent="0.15">
      <c r="A3384" s="12" t="s">
        <v>6919</v>
      </c>
      <c r="B3384" s="13"/>
      <c r="C3384" t="e">
        <f t="shared" si="0"/>
        <v>#N/A</v>
      </c>
      <c r="D3384" t="b">
        <f t="shared" si="1"/>
        <v>0</v>
      </c>
      <c r="E3384">
        <f t="shared" si="2"/>
        <v>0</v>
      </c>
      <c r="F3384" s="13"/>
    </row>
    <row r="3385" spans="1:6" ht="15.75" customHeight="1" x14ac:dyDescent="0.15">
      <c r="A3385" s="12" t="s">
        <v>6920</v>
      </c>
      <c r="B3385" s="13"/>
      <c r="C3385" t="e">
        <f t="shared" si="0"/>
        <v>#N/A</v>
      </c>
      <c r="D3385" t="b">
        <f t="shared" si="1"/>
        <v>0</v>
      </c>
      <c r="E3385">
        <f t="shared" si="2"/>
        <v>0</v>
      </c>
      <c r="F3385" s="13"/>
    </row>
    <row r="3386" spans="1:6" ht="15.75" customHeight="1" x14ac:dyDescent="0.15">
      <c r="A3386" s="12" t="s">
        <v>6921</v>
      </c>
      <c r="B3386" s="13"/>
      <c r="C3386" t="e">
        <f t="shared" si="0"/>
        <v>#N/A</v>
      </c>
      <c r="D3386" t="b">
        <f t="shared" si="1"/>
        <v>0</v>
      </c>
      <c r="E3386">
        <f t="shared" si="2"/>
        <v>0</v>
      </c>
      <c r="F3386" s="13"/>
    </row>
    <row r="3387" spans="1:6" ht="15.75" customHeight="1" x14ac:dyDescent="0.15">
      <c r="A3387" s="12" t="s">
        <v>6922</v>
      </c>
      <c r="B3387" s="13"/>
      <c r="C3387" t="e">
        <f t="shared" si="0"/>
        <v>#N/A</v>
      </c>
      <c r="D3387" t="b">
        <f t="shared" si="1"/>
        <v>0</v>
      </c>
      <c r="E3387">
        <f t="shared" si="2"/>
        <v>0</v>
      </c>
      <c r="F3387" s="13"/>
    </row>
    <row r="3388" spans="1:6" ht="15.75" customHeight="1" x14ac:dyDescent="0.15">
      <c r="A3388" s="12" t="s">
        <v>6923</v>
      </c>
      <c r="B3388" s="13"/>
      <c r="C3388" t="e">
        <f t="shared" si="0"/>
        <v>#N/A</v>
      </c>
      <c r="D3388" t="b">
        <f t="shared" si="1"/>
        <v>0</v>
      </c>
      <c r="E3388">
        <f t="shared" si="2"/>
        <v>0</v>
      </c>
      <c r="F3388" s="13"/>
    </row>
    <row r="3389" spans="1:6" ht="15.75" customHeight="1" x14ac:dyDescent="0.15">
      <c r="A3389" s="12" t="s">
        <v>6924</v>
      </c>
      <c r="B3389" s="13"/>
      <c r="C3389" t="e">
        <f t="shared" si="0"/>
        <v>#N/A</v>
      </c>
      <c r="D3389" t="b">
        <f t="shared" si="1"/>
        <v>0</v>
      </c>
      <c r="E3389">
        <f t="shared" si="2"/>
        <v>0</v>
      </c>
      <c r="F3389" s="13"/>
    </row>
    <row r="3390" spans="1:6" ht="15.75" customHeight="1" x14ac:dyDescent="0.15">
      <c r="A3390" s="12" t="s">
        <v>6925</v>
      </c>
      <c r="B3390" s="13"/>
      <c r="C3390" t="e">
        <f t="shared" si="0"/>
        <v>#N/A</v>
      </c>
      <c r="D3390" t="b">
        <f t="shared" si="1"/>
        <v>0</v>
      </c>
      <c r="E3390">
        <f t="shared" si="2"/>
        <v>0</v>
      </c>
      <c r="F3390" s="13"/>
    </row>
    <row r="3391" spans="1:6" ht="15.75" customHeight="1" x14ac:dyDescent="0.15">
      <c r="A3391" s="12" t="s">
        <v>6926</v>
      </c>
      <c r="B3391" s="13"/>
      <c r="C3391" t="e">
        <f t="shared" si="0"/>
        <v>#N/A</v>
      </c>
      <c r="D3391" t="b">
        <f t="shared" si="1"/>
        <v>0</v>
      </c>
      <c r="E3391">
        <f t="shared" si="2"/>
        <v>0</v>
      </c>
      <c r="F3391" s="13"/>
    </row>
    <row r="3392" spans="1:6" ht="15.75" customHeight="1" x14ac:dyDescent="0.15">
      <c r="A3392" s="12" t="s">
        <v>6927</v>
      </c>
      <c r="B3392" s="13"/>
      <c r="C3392" t="e">
        <f t="shared" si="0"/>
        <v>#N/A</v>
      </c>
      <c r="D3392" t="b">
        <f t="shared" si="1"/>
        <v>0</v>
      </c>
      <c r="E3392">
        <f t="shared" si="2"/>
        <v>0</v>
      </c>
      <c r="F3392" s="13"/>
    </row>
    <row r="3393" spans="1:6" ht="15.75" customHeight="1" x14ac:dyDescent="0.15">
      <c r="A3393" s="12" t="s">
        <v>6928</v>
      </c>
      <c r="B3393" s="13"/>
      <c r="C3393" t="e">
        <f t="shared" si="0"/>
        <v>#N/A</v>
      </c>
      <c r="D3393" t="b">
        <f t="shared" si="1"/>
        <v>0</v>
      </c>
      <c r="E3393">
        <f t="shared" si="2"/>
        <v>0</v>
      </c>
      <c r="F3393" s="13"/>
    </row>
    <row r="3394" spans="1:6" ht="15.75" customHeight="1" x14ac:dyDescent="0.15">
      <c r="A3394" s="12" t="s">
        <v>6929</v>
      </c>
      <c r="B3394" s="13"/>
      <c r="C3394" t="e">
        <f t="shared" si="0"/>
        <v>#N/A</v>
      </c>
      <c r="D3394" t="b">
        <f t="shared" si="1"/>
        <v>0</v>
      </c>
      <c r="E3394">
        <f t="shared" si="2"/>
        <v>0</v>
      </c>
      <c r="F3394" s="13"/>
    </row>
    <row r="3395" spans="1:6" ht="15.75" customHeight="1" x14ac:dyDescent="0.15">
      <c r="A3395" s="12" t="s">
        <v>6930</v>
      </c>
      <c r="B3395" s="13"/>
      <c r="C3395" t="e">
        <f t="shared" si="0"/>
        <v>#N/A</v>
      </c>
      <c r="D3395" t="b">
        <f t="shared" si="1"/>
        <v>0</v>
      </c>
      <c r="E3395">
        <f t="shared" si="2"/>
        <v>0</v>
      </c>
      <c r="F3395" s="13"/>
    </row>
    <row r="3396" spans="1:6" ht="15.75" customHeight="1" x14ac:dyDescent="0.15">
      <c r="A3396" s="12" t="s">
        <v>6931</v>
      </c>
      <c r="B3396" s="13"/>
      <c r="C3396" t="e">
        <f t="shared" si="0"/>
        <v>#N/A</v>
      </c>
      <c r="D3396" t="b">
        <f t="shared" si="1"/>
        <v>0</v>
      </c>
      <c r="E3396">
        <f t="shared" si="2"/>
        <v>0</v>
      </c>
      <c r="F3396" s="13"/>
    </row>
    <row r="3397" spans="1:6" ht="15.75" customHeight="1" x14ac:dyDescent="0.15">
      <c r="A3397" s="12" t="s">
        <v>6932</v>
      </c>
      <c r="B3397" s="13"/>
      <c r="C3397" t="e">
        <f t="shared" si="0"/>
        <v>#N/A</v>
      </c>
      <c r="D3397" t="b">
        <f t="shared" si="1"/>
        <v>0</v>
      </c>
      <c r="E3397">
        <f t="shared" si="2"/>
        <v>0</v>
      </c>
      <c r="F3397" s="13"/>
    </row>
    <row r="3398" spans="1:6" ht="15.75" customHeight="1" x14ac:dyDescent="0.15">
      <c r="A3398" s="12" t="s">
        <v>6933</v>
      </c>
      <c r="B3398" s="13"/>
      <c r="C3398" t="e">
        <f t="shared" si="0"/>
        <v>#N/A</v>
      </c>
      <c r="D3398" t="b">
        <f t="shared" si="1"/>
        <v>0</v>
      </c>
      <c r="E3398">
        <f t="shared" si="2"/>
        <v>0</v>
      </c>
      <c r="F3398" s="13"/>
    </row>
    <row r="3399" spans="1:6" ht="15.75" customHeight="1" x14ac:dyDescent="0.15">
      <c r="A3399" s="12" t="s">
        <v>6934</v>
      </c>
      <c r="B3399" s="13"/>
      <c r="C3399" t="e">
        <f t="shared" si="0"/>
        <v>#N/A</v>
      </c>
      <c r="D3399" t="b">
        <f t="shared" si="1"/>
        <v>0</v>
      </c>
      <c r="E3399">
        <f t="shared" si="2"/>
        <v>0</v>
      </c>
      <c r="F3399" s="13"/>
    </row>
    <row r="3400" spans="1:6" ht="15.75" customHeight="1" x14ac:dyDescent="0.15">
      <c r="A3400" s="12" t="s">
        <v>6935</v>
      </c>
      <c r="B3400" s="13"/>
      <c r="C3400" t="e">
        <f t="shared" si="0"/>
        <v>#N/A</v>
      </c>
      <c r="D3400" t="b">
        <f t="shared" si="1"/>
        <v>0</v>
      </c>
      <c r="E3400">
        <f t="shared" si="2"/>
        <v>0</v>
      </c>
      <c r="F3400" s="13"/>
    </row>
    <row r="3401" spans="1:6" ht="15.75" customHeight="1" x14ac:dyDescent="0.15">
      <c r="A3401" s="12" t="s">
        <v>6936</v>
      </c>
      <c r="B3401" s="13"/>
      <c r="C3401" t="e">
        <f t="shared" si="0"/>
        <v>#N/A</v>
      </c>
      <c r="D3401" t="b">
        <f t="shared" si="1"/>
        <v>0</v>
      </c>
      <c r="E3401">
        <f t="shared" si="2"/>
        <v>0</v>
      </c>
      <c r="F3401" s="13"/>
    </row>
    <row r="3402" spans="1:6" ht="15.75" customHeight="1" x14ac:dyDescent="0.15">
      <c r="A3402" s="12" t="s">
        <v>6937</v>
      </c>
      <c r="B3402" s="13"/>
      <c r="C3402" t="e">
        <f t="shared" si="0"/>
        <v>#N/A</v>
      </c>
      <c r="D3402" t="b">
        <f t="shared" si="1"/>
        <v>0</v>
      </c>
      <c r="E3402">
        <f t="shared" si="2"/>
        <v>0</v>
      </c>
      <c r="F3402" s="13"/>
    </row>
    <row r="3403" spans="1:6" ht="15.75" customHeight="1" x14ac:dyDescent="0.15">
      <c r="A3403" s="12" t="s">
        <v>6938</v>
      </c>
      <c r="B3403" s="13"/>
      <c r="C3403" t="e">
        <f t="shared" si="0"/>
        <v>#N/A</v>
      </c>
      <c r="D3403" t="b">
        <f t="shared" si="1"/>
        <v>0</v>
      </c>
      <c r="E3403">
        <f t="shared" si="2"/>
        <v>0</v>
      </c>
      <c r="F3403" s="13"/>
    </row>
    <row r="3404" spans="1:6" ht="15.75" customHeight="1" x14ac:dyDescent="0.15">
      <c r="A3404" s="12" t="s">
        <v>6939</v>
      </c>
      <c r="B3404" s="13"/>
      <c r="C3404" t="e">
        <f t="shared" si="0"/>
        <v>#N/A</v>
      </c>
      <c r="D3404" t="b">
        <f t="shared" si="1"/>
        <v>0</v>
      </c>
      <c r="E3404">
        <f t="shared" si="2"/>
        <v>0</v>
      </c>
      <c r="F3404" s="13"/>
    </row>
    <row r="3405" spans="1:6" ht="15.75" customHeight="1" x14ac:dyDescent="0.15">
      <c r="A3405" s="12" t="s">
        <v>6940</v>
      </c>
      <c r="B3405" s="13"/>
      <c r="C3405" t="e">
        <f t="shared" si="0"/>
        <v>#N/A</v>
      </c>
      <c r="D3405" t="b">
        <f t="shared" si="1"/>
        <v>0</v>
      </c>
      <c r="E3405">
        <f t="shared" si="2"/>
        <v>0</v>
      </c>
      <c r="F3405" s="13"/>
    </row>
    <row r="3406" spans="1:6" ht="15.75" customHeight="1" x14ac:dyDescent="0.15">
      <c r="A3406" s="12" t="s">
        <v>6941</v>
      </c>
      <c r="B3406" s="13"/>
      <c r="C3406" t="e">
        <f t="shared" si="0"/>
        <v>#N/A</v>
      </c>
      <c r="D3406" t="b">
        <f t="shared" si="1"/>
        <v>0</v>
      </c>
      <c r="E3406">
        <f t="shared" si="2"/>
        <v>0</v>
      </c>
      <c r="F3406" s="13"/>
    </row>
    <row r="3407" spans="1:6" ht="15.75" customHeight="1" x14ac:dyDescent="0.15">
      <c r="A3407" s="12" t="s">
        <v>6942</v>
      </c>
      <c r="B3407" s="13"/>
      <c r="C3407" t="e">
        <f t="shared" si="0"/>
        <v>#N/A</v>
      </c>
      <c r="D3407" t="b">
        <f t="shared" si="1"/>
        <v>0</v>
      </c>
      <c r="E3407">
        <f t="shared" si="2"/>
        <v>0</v>
      </c>
      <c r="F3407" s="13"/>
    </row>
    <row r="3408" spans="1:6" ht="15.75" customHeight="1" x14ac:dyDescent="0.15">
      <c r="A3408" s="12" t="s">
        <v>6943</v>
      </c>
      <c r="B3408" s="13"/>
      <c r="C3408" t="e">
        <f t="shared" si="0"/>
        <v>#N/A</v>
      </c>
      <c r="D3408" t="b">
        <f t="shared" si="1"/>
        <v>0</v>
      </c>
      <c r="E3408">
        <f t="shared" si="2"/>
        <v>0</v>
      </c>
      <c r="F3408" s="13"/>
    </row>
    <row r="3409" spans="1:6" ht="15.75" customHeight="1" x14ac:dyDescent="0.15">
      <c r="A3409" s="12" t="s">
        <v>6944</v>
      </c>
      <c r="B3409" s="13"/>
      <c r="C3409" t="e">
        <f t="shared" si="0"/>
        <v>#N/A</v>
      </c>
      <c r="D3409" t="b">
        <f t="shared" si="1"/>
        <v>0</v>
      </c>
      <c r="E3409">
        <f t="shared" si="2"/>
        <v>0</v>
      </c>
      <c r="F3409" s="13"/>
    </row>
    <row r="3410" spans="1:6" ht="15.75" customHeight="1" x14ac:dyDescent="0.15">
      <c r="A3410" s="12" t="s">
        <v>6945</v>
      </c>
      <c r="B3410" s="13"/>
      <c r="C3410" t="e">
        <f t="shared" si="0"/>
        <v>#N/A</v>
      </c>
      <c r="D3410" t="b">
        <f t="shared" si="1"/>
        <v>0</v>
      </c>
      <c r="E3410">
        <f t="shared" si="2"/>
        <v>0</v>
      </c>
      <c r="F3410" s="13"/>
    </row>
    <row r="3411" spans="1:6" ht="15.75" customHeight="1" x14ac:dyDescent="0.15">
      <c r="A3411" s="12" t="s">
        <v>6946</v>
      </c>
      <c r="B3411" s="13"/>
      <c r="C3411" t="e">
        <f t="shared" si="0"/>
        <v>#N/A</v>
      </c>
      <c r="D3411" t="b">
        <f t="shared" si="1"/>
        <v>0</v>
      </c>
      <c r="E3411">
        <f t="shared" si="2"/>
        <v>0</v>
      </c>
      <c r="F3411" s="13"/>
    </row>
    <row r="3412" spans="1:6" ht="15.75" customHeight="1" x14ac:dyDescent="0.15">
      <c r="A3412" s="12" t="s">
        <v>6947</v>
      </c>
      <c r="B3412" s="13"/>
      <c r="C3412" t="e">
        <f t="shared" si="0"/>
        <v>#N/A</v>
      </c>
      <c r="D3412" t="b">
        <f t="shared" si="1"/>
        <v>0</v>
      </c>
      <c r="E3412">
        <f t="shared" si="2"/>
        <v>0</v>
      </c>
      <c r="F3412" s="13"/>
    </row>
    <row r="3413" spans="1:6" ht="15.75" customHeight="1" x14ac:dyDescent="0.15">
      <c r="A3413" s="12" t="s">
        <v>6948</v>
      </c>
      <c r="B3413" s="13"/>
      <c r="C3413" t="e">
        <f t="shared" si="0"/>
        <v>#N/A</v>
      </c>
      <c r="D3413" t="b">
        <f t="shared" si="1"/>
        <v>0</v>
      </c>
      <c r="E3413">
        <f t="shared" si="2"/>
        <v>0</v>
      </c>
      <c r="F3413" s="13"/>
    </row>
    <row r="3414" spans="1:6" ht="15.75" customHeight="1" x14ac:dyDescent="0.15">
      <c r="A3414" s="12" t="s">
        <v>6949</v>
      </c>
      <c r="B3414" s="13"/>
      <c r="C3414" t="e">
        <f t="shared" si="0"/>
        <v>#N/A</v>
      </c>
      <c r="D3414" t="b">
        <f t="shared" si="1"/>
        <v>0</v>
      </c>
      <c r="E3414">
        <f t="shared" si="2"/>
        <v>0</v>
      </c>
      <c r="F3414" s="13"/>
    </row>
    <row r="3415" spans="1:6" ht="15.75" customHeight="1" x14ac:dyDescent="0.15">
      <c r="A3415" s="12" t="s">
        <v>6950</v>
      </c>
      <c r="B3415" s="13"/>
      <c r="C3415" t="e">
        <f t="shared" si="0"/>
        <v>#N/A</v>
      </c>
      <c r="D3415" t="b">
        <f t="shared" si="1"/>
        <v>0</v>
      </c>
      <c r="E3415">
        <f t="shared" si="2"/>
        <v>0</v>
      </c>
      <c r="F3415" s="13"/>
    </row>
    <row r="3416" spans="1:6" ht="15.75" customHeight="1" x14ac:dyDescent="0.15">
      <c r="A3416" s="12" t="s">
        <v>6951</v>
      </c>
      <c r="B3416" s="13"/>
      <c r="C3416" t="e">
        <f t="shared" si="0"/>
        <v>#N/A</v>
      </c>
      <c r="D3416" t="b">
        <f t="shared" si="1"/>
        <v>0</v>
      </c>
      <c r="E3416">
        <f t="shared" si="2"/>
        <v>0</v>
      </c>
      <c r="F3416" s="13"/>
    </row>
    <row r="3417" spans="1:6" ht="15.75" customHeight="1" x14ac:dyDescent="0.15">
      <c r="A3417" s="12" t="s">
        <v>6952</v>
      </c>
      <c r="B3417" s="13"/>
      <c r="C3417" t="e">
        <f t="shared" si="0"/>
        <v>#N/A</v>
      </c>
      <c r="D3417" t="b">
        <f t="shared" si="1"/>
        <v>0</v>
      </c>
      <c r="E3417">
        <f t="shared" si="2"/>
        <v>0</v>
      </c>
      <c r="F3417" s="13"/>
    </row>
    <row r="3418" spans="1:6" ht="15.75" customHeight="1" x14ac:dyDescent="0.15">
      <c r="A3418" s="12" t="s">
        <v>6953</v>
      </c>
      <c r="B3418" s="13"/>
      <c r="C3418" t="e">
        <f t="shared" si="0"/>
        <v>#N/A</v>
      </c>
      <c r="D3418" t="b">
        <f t="shared" si="1"/>
        <v>0</v>
      </c>
      <c r="E3418">
        <f t="shared" si="2"/>
        <v>0</v>
      </c>
      <c r="F3418" s="13"/>
    </row>
    <row r="3419" spans="1:6" ht="15.75" customHeight="1" x14ac:dyDescent="0.15">
      <c r="A3419" s="12" t="s">
        <v>6954</v>
      </c>
      <c r="B3419" s="13"/>
      <c r="C3419" t="e">
        <f t="shared" si="0"/>
        <v>#N/A</v>
      </c>
      <c r="D3419" t="b">
        <f t="shared" si="1"/>
        <v>0</v>
      </c>
      <c r="E3419">
        <f t="shared" si="2"/>
        <v>0</v>
      </c>
      <c r="F3419" s="13"/>
    </row>
    <row r="3420" spans="1:6" ht="15.75" customHeight="1" x14ac:dyDescent="0.15">
      <c r="A3420" s="12" t="s">
        <v>6955</v>
      </c>
      <c r="B3420" s="13"/>
      <c r="C3420" t="e">
        <f t="shared" si="0"/>
        <v>#N/A</v>
      </c>
      <c r="D3420" t="b">
        <f t="shared" si="1"/>
        <v>0</v>
      </c>
      <c r="E3420">
        <f t="shared" si="2"/>
        <v>0</v>
      </c>
      <c r="F3420" s="13"/>
    </row>
    <row r="3421" spans="1:6" ht="15.75" customHeight="1" x14ac:dyDescent="0.15">
      <c r="A3421" s="12" t="s">
        <v>6956</v>
      </c>
      <c r="B3421" s="13"/>
      <c r="C3421" t="e">
        <f t="shared" si="0"/>
        <v>#N/A</v>
      </c>
      <c r="D3421" t="b">
        <f t="shared" si="1"/>
        <v>0</v>
      </c>
      <c r="E3421">
        <f t="shared" si="2"/>
        <v>0</v>
      </c>
      <c r="F3421" s="13"/>
    </row>
    <row r="3422" spans="1:6" ht="15.75" customHeight="1" x14ac:dyDescent="0.15">
      <c r="A3422" s="12" t="s">
        <v>6957</v>
      </c>
      <c r="B3422" s="13"/>
      <c r="C3422" t="e">
        <f t="shared" si="0"/>
        <v>#N/A</v>
      </c>
      <c r="D3422" t="b">
        <f t="shared" si="1"/>
        <v>0</v>
      </c>
      <c r="E3422">
        <f t="shared" si="2"/>
        <v>0</v>
      </c>
      <c r="F3422" s="13"/>
    </row>
    <row r="3423" spans="1:6" ht="15.75" customHeight="1" x14ac:dyDescent="0.15">
      <c r="A3423" s="12" t="s">
        <v>6958</v>
      </c>
      <c r="B3423" s="13"/>
      <c r="C3423" t="e">
        <f t="shared" si="0"/>
        <v>#N/A</v>
      </c>
      <c r="D3423" t="b">
        <f t="shared" si="1"/>
        <v>0</v>
      </c>
      <c r="E3423">
        <f t="shared" si="2"/>
        <v>0</v>
      </c>
      <c r="F3423" s="13"/>
    </row>
    <row r="3424" spans="1:6" ht="15.75" customHeight="1" x14ac:dyDescent="0.15">
      <c r="A3424" s="12" t="s">
        <v>6959</v>
      </c>
      <c r="B3424" s="13"/>
      <c r="C3424" t="e">
        <f t="shared" si="0"/>
        <v>#N/A</v>
      </c>
      <c r="D3424" t="b">
        <f t="shared" si="1"/>
        <v>0</v>
      </c>
      <c r="E3424">
        <f t="shared" si="2"/>
        <v>0</v>
      </c>
      <c r="F3424" s="13"/>
    </row>
    <row r="3425" spans="1:6" ht="15.75" customHeight="1" x14ac:dyDescent="0.15">
      <c r="A3425" s="12" t="s">
        <v>6960</v>
      </c>
      <c r="B3425" s="13"/>
      <c r="C3425" t="e">
        <f t="shared" si="0"/>
        <v>#N/A</v>
      </c>
      <c r="D3425" t="b">
        <f t="shared" si="1"/>
        <v>0</v>
      </c>
      <c r="E3425">
        <f t="shared" si="2"/>
        <v>0</v>
      </c>
      <c r="F3425" s="13"/>
    </row>
    <row r="3426" spans="1:6" ht="15.75" customHeight="1" x14ac:dyDescent="0.15">
      <c r="A3426" s="12" t="s">
        <v>6961</v>
      </c>
      <c r="B3426" s="13"/>
      <c r="C3426" t="e">
        <f t="shared" si="0"/>
        <v>#N/A</v>
      </c>
      <c r="D3426" t="b">
        <f t="shared" si="1"/>
        <v>0</v>
      </c>
      <c r="E3426">
        <f t="shared" si="2"/>
        <v>0</v>
      </c>
      <c r="F3426" s="13"/>
    </row>
    <row r="3427" spans="1:6" ht="15.75" customHeight="1" x14ac:dyDescent="0.15">
      <c r="A3427" s="12" t="s">
        <v>6962</v>
      </c>
      <c r="B3427" s="13"/>
      <c r="C3427" t="e">
        <f t="shared" si="0"/>
        <v>#N/A</v>
      </c>
      <c r="D3427" t="b">
        <f t="shared" si="1"/>
        <v>0</v>
      </c>
      <c r="E3427">
        <f t="shared" si="2"/>
        <v>0</v>
      </c>
      <c r="F3427" s="13"/>
    </row>
    <row r="3428" spans="1:6" ht="15.75" customHeight="1" x14ac:dyDescent="0.15">
      <c r="A3428" s="12" t="s">
        <v>6963</v>
      </c>
      <c r="B3428" s="13"/>
      <c r="C3428" t="e">
        <f t="shared" si="0"/>
        <v>#N/A</v>
      </c>
      <c r="D3428" t="b">
        <f t="shared" si="1"/>
        <v>0</v>
      </c>
      <c r="E3428">
        <f t="shared" si="2"/>
        <v>0</v>
      </c>
      <c r="F3428" s="13"/>
    </row>
    <row r="3429" spans="1:6" ht="15.75" customHeight="1" x14ac:dyDescent="0.15">
      <c r="A3429" s="12" t="s">
        <v>6964</v>
      </c>
      <c r="B3429" s="13"/>
      <c r="C3429" t="e">
        <f t="shared" si="0"/>
        <v>#N/A</v>
      </c>
      <c r="D3429" t="b">
        <f t="shared" si="1"/>
        <v>0</v>
      </c>
      <c r="E3429">
        <f t="shared" si="2"/>
        <v>0</v>
      </c>
      <c r="F3429" s="13"/>
    </row>
    <row r="3430" spans="1:6" ht="15.75" customHeight="1" x14ac:dyDescent="0.15">
      <c r="A3430" s="12" t="s">
        <v>6965</v>
      </c>
      <c r="B3430" s="13"/>
      <c r="C3430" t="e">
        <f t="shared" si="0"/>
        <v>#N/A</v>
      </c>
      <c r="D3430" t="b">
        <f t="shared" si="1"/>
        <v>0</v>
      </c>
      <c r="E3430">
        <f t="shared" si="2"/>
        <v>0</v>
      </c>
      <c r="F3430" s="13"/>
    </row>
    <row r="3431" spans="1:6" ht="15.75" customHeight="1" x14ac:dyDescent="0.15">
      <c r="A3431" s="12" t="s">
        <v>6966</v>
      </c>
      <c r="B3431" s="13"/>
      <c r="C3431" t="e">
        <f t="shared" si="0"/>
        <v>#N/A</v>
      </c>
      <c r="D3431" t="b">
        <f t="shared" si="1"/>
        <v>0</v>
      </c>
      <c r="E3431">
        <f t="shared" si="2"/>
        <v>0</v>
      </c>
      <c r="F3431" s="13"/>
    </row>
    <row r="3432" spans="1:6" ht="15.75" customHeight="1" x14ac:dyDescent="0.15">
      <c r="A3432" s="12" t="s">
        <v>6966</v>
      </c>
      <c r="B3432" s="13"/>
      <c r="C3432" t="e">
        <f t="shared" si="0"/>
        <v>#N/A</v>
      </c>
      <c r="D3432" t="b">
        <f t="shared" si="1"/>
        <v>0</v>
      </c>
      <c r="E3432">
        <f t="shared" si="2"/>
        <v>0</v>
      </c>
      <c r="F3432" s="13"/>
    </row>
    <row r="3433" spans="1:6" ht="15.75" customHeight="1" x14ac:dyDescent="0.15">
      <c r="A3433" s="12" t="s">
        <v>6967</v>
      </c>
      <c r="B3433" s="13"/>
      <c r="C3433" t="e">
        <f t="shared" si="0"/>
        <v>#N/A</v>
      </c>
      <c r="D3433" t="b">
        <f t="shared" si="1"/>
        <v>0</v>
      </c>
      <c r="E3433">
        <f t="shared" si="2"/>
        <v>0</v>
      </c>
      <c r="F3433" s="13"/>
    </row>
    <row r="3434" spans="1:6" ht="15.75" customHeight="1" x14ac:dyDescent="0.15">
      <c r="A3434" s="12" t="s">
        <v>6968</v>
      </c>
      <c r="B3434" s="13"/>
      <c r="C3434" t="e">
        <f t="shared" si="0"/>
        <v>#N/A</v>
      </c>
      <c r="D3434" t="b">
        <f t="shared" si="1"/>
        <v>0</v>
      </c>
      <c r="E3434">
        <f t="shared" si="2"/>
        <v>0</v>
      </c>
      <c r="F3434" s="13"/>
    </row>
    <row r="3435" spans="1:6" ht="15.75" customHeight="1" x14ac:dyDescent="0.15">
      <c r="A3435" s="12" t="s">
        <v>6969</v>
      </c>
      <c r="B3435" s="13"/>
      <c r="C3435" t="e">
        <f t="shared" si="0"/>
        <v>#N/A</v>
      </c>
      <c r="D3435" t="b">
        <f t="shared" si="1"/>
        <v>0</v>
      </c>
      <c r="E3435">
        <f t="shared" si="2"/>
        <v>0</v>
      </c>
      <c r="F3435" s="13"/>
    </row>
    <row r="3436" spans="1:6" ht="15.75" customHeight="1" x14ac:dyDescent="0.15">
      <c r="A3436" s="12" t="s">
        <v>6970</v>
      </c>
      <c r="B3436" s="13"/>
      <c r="C3436" t="e">
        <f t="shared" si="0"/>
        <v>#N/A</v>
      </c>
      <c r="D3436" t="b">
        <f t="shared" si="1"/>
        <v>0</v>
      </c>
      <c r="E3436">
        <f t="shared" si="2"/>
        <v>0</v>
      </c>
      <c r="F3436" s="13"/>
    </row>
    <row r="3437" spans="1:6" ht="15.75" customHeight="1" x14ac:dyDescent="0.15">
      <c r="A3437" s="12" t="s">
        <v>6971</v>
      </c>
      <c r="B3437" s="13"/>
      <c r="C3437" t="e">
        <f t="shared" si="0"/>
        <v>#N/A</v>
      </c>
      <c r="D3437" t="b">
        <f t="shared" si="1"/>
        <v>0</v>
      </c>
      <c r="E3437">
        <f t="shared" si="2"/>
        <v>0</v>
      </c>
      <c r="F3437" s="13"/>
    </row>
    <row r="3438" spans="1:6" ht="15.75" customHeight="1" x14ac:dyDescent="0.15">
      <c r="A3438" s="12" t="s">
        <v>6972</v>
      </c>
      <c r="B3438" s="13"/>
      <c r="C3438" t="e">
        <f t="shared" si="0"/>
        <v>#N/A</v>
      </c>
      <c r="D3438" t="b">
        <f t="shared" si="1"/>
        <v>0</v>
      </c>
      <c r="E3438">
        <f t="shared" si="2"/>
        <v>0</v>
      </c>
      <c r="F3438" s="13"/>
    </row>
    <row r="3439" spans="1:6" ht="15.75" customHeight="1" x14ac:dyDescent="0.15">
      <c r="A3439" s="12" t="s">
        <v>6973</v>
      </c>
      <c r="B3439" s="13"/>
      <c r="C3439" t="e">
        <f t="shared" si="0"/>
        <v>#N/A</v>
      </c>
      <c r="D3439" t="b">
        <f t="shared" si="1"/>
        <v>0</v>
      </c>
      <c r="E3439">
        <f t="shared" si="2"/>
        <v>0</v>
      </c>
      <c r="F3439" s="13"/>
    </row>
    <row r="3440" spans="1:6" ht="15.75" customHeight="1" x14ac:dyDescent="0.15">
      <c r="A3440" s="12" t="s">
        <v>6974</v>
      </c>
      <c r="B3440" s="13"/>
      <c r="C3440" t="e">
        <f t="shared" si="0"/>
        <v>#N/A</v>
      </c>
      <c r="D3440" t="b">
        <f t="shared" si="1"/>
        <v>0</v>
      </c>
      <c r="E3440">
        <f t="shared" si="2"/>
        <v>0</v>
      </c>
      <c r="F3440" s="13"/>
    </row>
    <row r="3441" spans="1:6" ht="15.75" customHeight="1" x14ac:dyDescent="0.15">
      <c r="A3441" s="12" t="s">
        <v>6975</v>
      </c>
      <c r="B3441" s="13"/>
      <c r="C3441" t="e">
        <f t="shared" si="0"/>
        <v>#N/A</v>
      </c>
      <c r="D3441" t="b">
        <f t="shared" si="1"/>
        <v>0</v>
      </c>
      <c r="E3441">
        <f t="shared" si="2"/>
        <v>0</v>
      </c>
      <c r="F3441" s="13"/>
    </row>
    <row r="3442" spans="1:6" ht="15.75" customHeight="1" x14ac:dyDescent="0.15">
      <c r="A3442" s="12" t="s">
        <v>6976</v>
      </c>
      <c r="B3442" s="13"/>
      <c r="C3442" t="e">
        <f t="shared" si="0"/>
        <v>#N/A</v>
      </c>
      <c r="D3442" t="b">
        <f t="shared" si="1"/>
        <v>0</v>
      </c>
      <c r="E3442">
        <f t="shared" si="2"/>
        <v>0</v>
      </c>
      <c r="F3442" s="13"/>
    </row>
    <row r="3443" spans="1:6" ht="15.75" customHeight="1" x14ac:dyDescent="0.15">
      <c r="A3443" s="12" t="s">
        <v>6977</v>
      </c>
      <c r="B3443" s="13"/>
      <c r="C3443" t="e">
        <f t="shared" si="0"/>
        <v>#N/A</v>
      </c>
      <c r="D3443" t="b">
        <f t="shared" si="1"/>
        <v>0</v>
      </c>
      <c r="E3443">
        <f t="shared" si="2"/>
        <v>0</v>
      </c>
      <c r="F3443" s="13"/>
    </row>
    <row r="3444" spans="1:6" ht="15.75" customHeight="1" x14ac:dyDescent="0.15">
      <c r="A3444" s="12" t="s">
        <v>6978</v>
      </c>
      <c r="B3444" s="13"/>
      <c r="C3444" t="e">
        <f t="shared" si="0"/>
        <v>#N/A</v>
      </c>
      <c r="D3444" t="b">
        <f t="shared" si="1"/>
        <v>0</v>
      </c>
      <c r="E3444">
        <f t="shared" si="2"/>
        <v>0</v>
      </c>
      <c r="F3444" s="13"/>
    </row>
    <row r="3445" spans="1:6" ht="15.75" customHeight="1" x14ac:dyDescent="0.15">
      <c r="A3445" s="12" t="s">
        <v>6979</v>
      </c>
      <c r="B3445" s="13"/>
      <c r="C3445" t="e">
        <f t="shared" si="0"/>
        <v>#N/A</v>
      </c>
      <c r="D3445" t="b">
        <f t="shared" si="1"/>
        <v>0</v>
      </c>
      <c r="E3445">
        <f t="shared" si="2"/>
        <v>0</v>
      </c>
      <c r="F3445" s="13"/>
    </row>
    <row r="3446" spans="1:6" ht="15.75" customHeight="1" x14ac:dyDescent="0.15">
      <c r="A3446" s="12" t="s">
        <v>6980</v>
      </c>
      <c r="B3446" s="13"/>
      <c r="C3446" t="e">
        <f t="shared" si="0"/>
        <v>#N/A</v>
      </c>
      <c r="D3446" t="b">
        <f t="shared" si="1"/>
        <v>0</v>
      </c>
      <c r="E3446">
        <f t="shared" si="2"/>
        <v>0</v>
      </c>
      <c r="F3446" s="13"/>
    </row>
    <row r="3447" spans="1:6" ht="15.75" customHeight="1" x14ac:dyDescent="0.15">
      <c r="A3447" s="12" t="s">
        <v>6981</v>
      </c>
      <c r="B3447" s="13"/>
      <c r="C3447" t="e">
        <f t="shared" si="0"/>
        <v>#N/A</v>
      </c>
      <c r="D3447" t="b">
        <f t="shared" si="1"/>
        <v>0</v>
      </c>
      <c r="E3447">
        <f t="shared" si="2"/>
        <v>0</v>
      </c>
      <c r="F3447" s="13"/>
    </row>
    <row r="3448" spans="1:6" ht="15.75" customHeight="1" x14ac:dyDescent="0.15">
      <c r="A3448" s="12" t="s">
        <v>6982</v>
      </c>
      <c r="B3448" s="13"/>
      <c r="C3448" t="e">
        <f t="shared" si="0"/>
        <v>#N/A</v>
      </c>
      <c r="D3448" t="b">
        <f t="shared" si="1"/>
        <v>0</v>
      </c>
      <c r="E3448">
        <f t="shared" si="2"/>
        <v>0</v>
      </c>
      <c r="F3448" s="13"/>
    </row>
    <row r="3449" spans="1:6" ht="15.75" customHeight="1" x14ac:dyDescent="0.15">
      <c r="A3449" s="12" t="s">
        <v>6983</v>
      </c>
      <c r="B3449" s="13"/>
      <c r="C3449" t="e">
        <f t="shared" si="0"/>
        <v>#N/A</v>
      </c>
      <c r="D3449" t="b">
        <f t="shared" si="1"/>
        <v>0</v>
      </c>
      <c r="E3449">
        <f t="shared" si="2"/>
        <v>0</v>
      </c>
      <c r="F3449" s="13"/>
    </row>
    <row r="3450" spans="1:6" ht="15.75" customHeight="1" x14ac:dyDescent="0.15">
      <c r="A3450" s="12" t="s">
        <v>6984</v>
      </c>
      <c r="B3450" s="13"/>
      <c r="C3450" t="e">
        <f t="shared" si="0"/>
        <v>#N/A</v>
      </c>
      <c r="D3450" t="b">
        <f t="shared" si="1"/>
        <v>0</v>
      </c>
      <c r="E3450">
        <f t="shared" si="2"/>
        <v>0</v>
      </c>
      <c r="F3450" s="13"/>
    </row>
    <row r="3451" spans="1:6" ht="15.75" customHeight="1" x14ac:dyDescent="0.15">
      <c r="A3451" s="12" t="s">
        <v>6985</v>
      </c>
      <c r="B3451" s="13"/>
      <c r="C3451" t="e">
        <f t="shared" si="0"/>
        <v>#N/A</v>
      </c>
      <c r="D3451" t="b">
        <f t="shared" si="1"/>
        <v>0</v>
      </c>
      <c r="E3451">
        <f t="shared" si="2"/>
        <v>0</v>
      </c>
      <c r="F3451" s="13"/>
    </row>
    <row r="3452" spans="1:6" ht="15.75" customHeight="1" x14ac:dyDescent="0.15">
      <c r="A3452" s="12" t="s">
        <v>6986</v>
      </c>
      <c r="B3452" s="13"/>
      <c r="C3452" t="e">
        <f t="shared" si="0"/>
        <v>#N/A</v>
      </c>
      <c r="D3452" t="b">
        <f t="shared" si="1"/>
        <v>0</v>
      </c>
      <c r="E3452">
        <f t="shared" si="2"/>
        <v>0</v>
      </c>
      <c r="F3452" s="13"/>
    </row>
    <row r="3453" spans="1:6" ht="15.75" customHeight="1" x14ac:dyDescent="0.15">
      <c r="A3453" s="12" t="s">
        <v>6987</v>
      </c>
      <c r="B3453" s="13"/>
      <c r="C3453" t="e">
        <f t="shared" si="0"/>
        <v>#N/A</v>
      </c>
      <c r="D3453" t="b">
        <f t="shared" si="1"/>
        <v>0</v>
      </c>
      <c r="E3453">
        <f t="shared" si="2"/>
        <v>0</v>
      </c>
      <c r="F3453" s="13"/>
    </row>
    <row r="3454" spans="1:6" ht="15.75" customHeight="1" x14ac:dyDescent="0.15">
      <c r="A3454" s="12" t="s">
        <v>6988</v>
      </c>
      <c r="B3454" s="13"/>
      <c r="C3454" t="e">
        <f t="shared" si="0"/>
        <v>#N/A</v>
      </c>
      <c r="D3454" t="b">
        <f t="shared" si="1"/>
        <v>0</v>
      </c>
      <c r="E3454">
        <f t="shared" si="2"/>
        <v>0</v>
      </c>
      <c r="F3454" s="13"/>
    </row>
    <row r="3455" spans="1:6" ht="15.75" customHeight="1" x14ac:dyDescent="0.15">
      <c r="A3455" s="12" t="s">
        <v>6989</v>
      </c>
      <c r="B3455" s="13"/>
      <c r="C3455" t="e">
        <f t="shared" si="0"/>
        <v>#N/A</v>
      </c>
      <c r="D3455" t="b">
        <f t="shared" si="1"/>
        <v>0</v>
      </c>
      <c r="E3455">
        <f t="shared" si="2"/>
        <v>0</v>
      </c>
      <c r="F3455" s="13"/>
    </row>
    <row r="3456" spans="1:6" ht="15.75" customHeight="1" x14ac:dyDescent="0.15">
      <c r="A3456" s="12" t="s">
        <v>6990</v>
      </c>
      <c r="B3456" s="13"/>
      <c r="C3456" t="e">
        <f t="shared" si="0"/>
        <v>#N/A</v>
      </c>
      <c r="D3456" t="b">
        <f t="shared" si="1"/>
        <v>0</v>
      </c>
      <c r="E3456">
        <f t="shared" si="2"/>
        <v>0</v>
      </c>
      <c r="F3456" s="13"/>
    </row>
    <row r="3457" spans="1:6" ht="15.75" customHeight="1" x14ac:dyDescent="0.15">
      <c r="A3457" s="12" t="s">
        <v>6991</v>
      </c>
      <c r="B3457" s="13"/>
      <c r="C3457" t="e">
        <f t="shared" si="0"/>
        <v>#N/A</v>
      </c>
      <c r="D3457" t="b">
        <f t="shared" si="1"/>
        <v>0</v>
      </c>
      <c r="E3457">
        <f t="shared" si="2"/>
        <v>0</v>
      </c>
      <c r="F3457" s="13"/>
    </row>
    <row r="3458" spans="1:6" ht="15.75" customHeight="1" x14ac:dyDescent="0.15">
      <c r="A3458" s="12" t="s">
        <v>6992</v>
      </c>
      <c r="B3458" s="13"/>
      <c r="C3458" t="e">
        <f t="shared" si="0"/>
        <v>#N/A</v>
      </c>
      <c r="D3458" t="b">
        <f t="shared" si="1"/>
        <v>0</v>
      </c>
      <c r="E3458">
        <f t="shared" si="2"/>
        <v>0</v>
      </c>
      <c r="F3458" s="13"/>
    </row>
    <row r="3459" spans="1:6" ht="15.75" customHeight="1" x14ac:dyDescent="0.15">
      <c r="A3459" s="12" t="s">
        <v>6993</v>
      </c>
      <c r="B3459" s="13"/>
      <c r="C3459" t="e">
        <f t="shared" si="0"/>
        <v>#N/A</v>
      </c>
      <c r="D3459" t="b">
        <f t="shared" si="1"/>
        <v>0</v>
      </c>
      <c r="E3459">
        <f t="shared" si="2"/>
        <v>0</v>
      </c>
      <c r="F3459" s="13"/>
    </row>
    <row r="3460" spans="1:6" ht="15.75" customHeight="1" x14ac:dyDescent="0.15">
      <c r="A3460" s="12" t="s">
        <v>6994</v>
      </c>
      <c r="B3460" s="13"/>
      <c r="C3460" t="e">
        <f t="shared" si="0"/>
        <v>#N/A</v>
      </c>
      <c r="D3460" t="b">
        <f t="shared" si="1"/>
        <v>0</v>
      </c>
      <c r="E3460">
        <f t="shared" si="2"/>
        <v>0</v>
      </c>
      <c r="F3460" s="13"/>
    </row>
    <row r="3461" spans="1:6" ht="15.75" customHeight="1" x14ac:dyDescent="0.15">
      <c r="A3461" s="12" t="s">
        <v>6995</v>
      </c>
      <c r="B3461" s="13"/>
      <c r="C3461" t="e">
        <f t="shared" si="0"/>
        <v>#N/A</v>
      </c>
      <c r="D3461" t="b">
        <f t="shared" si="1"/>
        <v>0</v>
      </c>
      <c r="E3461">
        <f t="shared" si="2"/>
        <v>0</v>
      </c>
      <c r="F3461" s="13"/>
    </row>
    <row r="3462" spans="1:6" ht="15.75" customHeight="1" x14ac:dyDescent="0.15">
      <c r="A3462" s="12" t="s">
        <v>6996</v>
      </c>
      <c r="B3462" s="13"/>
      <c r="C3462" t="e">
        <f t="shared" si="0"/>
        <v>#N/A</v>
      </c>
      <c r="D3462" t="b">
        <f t="shared" si="1"/>
        <v>0</v>
      </c>
      <c r="E3462">
        <f t="shared" si="2"/>
        <v>0</v>
      </c>
      <c r="F3462" s="13"/>
    </row>
    <row r="3463" spans="1:6" ht="15.75" customHeight="1" x14ac:dyDescent="0.15">
      <c r="A3463" s="12" t="s">
        <v>6997</v>
      </c>
      <c r="B3463" s="13"/>
      <c r="C3463" t="e">
        <f t="shared" si="0"/>
        <v>#N/A</v>
      </c>
      <c r="D3463" t="b">
        <f t="shared" si="1"/>
        <v>0</v>
      </c>
      <c r="E3463">
        <f t="shared" si="2"/>
        <v>0</v>
      </c>
      <c r="F3463" s="13"/>
    </row>
    <row r="3464" spans="1:6" ht="15.75" customHeight="1" x14ac:dyDescent="0.15">
      <c r="A3464" s="12" t="s">
        <v>6998</v>
      </c>
      <c r="B3464" s="13"/>
      <c r="C3464" t="e">
        <f t="shared" si="0"/>
        <v>#N/A</v>
      </c>
      <c r="D3464" t="b">
        <f t="shared" si="1"/>
        <v>0</v>
      </c>
      <c r="E3464">
        <f t="shared" si="2"/>
        <v>0</v>
      </c>
      <c r="F3464" s="13"/>
    </row>
    <row r="3465" spans="1:6" ht="15.75" customHeight="1" x14ac:dyDescent="0.15">
      <c r="A3465" s="12" t="s">
        <v>6999</v>
      </c>
      <c r="B3465" s="13"/>
      <c r="C3465" t="e">
        <f t="shared" si="0"/>
        <v>#N/A</v>
      </c>
      <c r="D3465" t="b">
        <f t="shared" si="1"/>
        <v>0</v>
      </c>
      <c r="E3465">
        <f t="shared" si="2"/>
        <v>0</v>
      </c>
      <c r="F3465" s="13"/>
    </row>
    <row r="3466" spans="1:6" ht="15.75" customHeight="1" x14ac:dyDescent="0.15">
      <c r="A3466" s="12" t="s">
        <v>7000</v>
      </c>
      <c r="B3466" s="13"/>
      <c r="C3466" t="e">
        <f t="shared" si="0"/>
        <v>#N/A</v>
      </c>
      <c r="D3466" t="b">
        <f t="shared" si="1"/>
        <v>0</v>
      </c>
      <c r="E3466">
        <f t="shared" si="2"/>
        <v>0</v>
      </c>
      <c r="F3466" s="13"/>
    </row>
    <row r="3467" spans="1:6" ht="15.75" customHeight="1" x14ac:dyDescent="0.15">
      <c r="A3467" s="12" t="s">
        <v>7001</v>
      </c>
      <c r="B3467" s="13"/>
      <c r="C3467" t="e">
        <f t="shared" si="0"/>
        <v>#N/A</v>
      </c>
      <c r="D3467" t="b">
        <f t="shared" si="1"/>
        <v>0</v>
      </c>
      <c r="E3467">
        <f t="shared" si="2"/>
        <v>0</v>
      </c>
      <c r="F3467" s="13"/>
    </row>
    <row r="3468" spans="1:6" ht="15.75" customHeight="1" x14ac:dyDescent="0.15">
      <c r="A3468" s="12" t="s">
        <v>7002</v>
      </c>
      <c r="B3468" s="13"/>
      <c r="C3468" t="e">
        <f t="shared" si="0"/>
        <v>#N/A</v>
      </c>
      <c r="D3468" t="b">
        <f t="shared" si="1"/>
        <v>0</v>
      </c>
      <c r="E3468">
        <f t="shared" si="2"/>
        <v>0</v>
      </c>
      <c r="F3468" s="13"/>
    </row>
    <row r="3469" spans="1:6" ht="15.75" customHeight="1" x14ac:dyDescent="0.15">
      <c r="A3469" s="12" t="s">
        <v>7003</v>
      </c>
      <c r="B3469" s="13"/>
      <c r="C3469" t="e">
        <f t="shared" si="0"/>
        <v>#N/A</v>
      </c>
      <c r="D3469" t="b">
        <f t="shared" si="1"/>
        <v>0</v>
      </c>
      <c r="E3469">
        <f t="shared" si="2"/>
        <v>0</v>
      </c>
      <c r="F3469" s="13"/>
    </row>
    <row r="3470" spans="1:6" ht="15.75" customHeight="1" x14ac:dyDescent="0.15">
      <c r="A3470" s="12" t="s">
        <v>7004</v>
      </c>
      <c r="B3470" s="13"/>
      <c r="C3470" t="e">
        <f t="shared" si="0"/>
        <v>#N/A</v>
      </c>
      <c r="D3470" t="b">
        <f t="shared" si="1"/>
        <v>0</v>
      </c>
      <c r="E3470">
        <f t="shared" si="2"/>
        <v>0</v>
      </c>
      <c r="F3470" s="13"/>
    </row>
    <row r="3471" spans="1:6" ht="15.75" customHeight="1" x14ac:dyDescent="0.15">
      <c r="A3471" s="12" t="s">
        <v>7005</v>
      </c>
      <c r="B3471" s="13"/>
      <c r="C3471" t="e">
        <f t="shared" si="0"/>
        <v>#N/A</v>
      </c>
      <c r="D3471" t="b">
        <f t="shared" si="1"/>
        <v>0</v>
      </c>
      <c r="E3471">
        <f t="shared" si="2"/>
        <v>0</v>
      </c>
      <c r="F3471" s="13"/>
    </row>
    <row r="3472" spans="1:6" ht="15.75" customHeight="1" x14ac:dyDescent="0.15">
      <c r="A3472" s="12" t="s">
        <v>7006</v>
      </c>
      <c r="B3472" s="13"/>
      <c r="C3472" t="e">
        <f t="shared" si="0"/>
        <v>#N/A</v>
      </c>
      <c r="D3472" t="b">
        <f t="shared" si="1"/>
        <v>0</v>
      </c>
      <c r="E3472">
        <f t="shared" si="2"/>
        <v>0</v>
      </c>
      <c r="F3472" s="13"/>
    </row>
    <row r="3473" spans="1:6" ht="15.75" customHeight="1" x14ac:dyDescent="0.15">
      <c r="A3473" s="12" t="s">
        <v>7007</v>
      </c>
      <c r="B3473" s="13"/>
      <c r="C3473" t="e">
        <f t="shared" si="0"/>
        <v>#N/A</v>
      </c>
      <c r="D3473" t="b">
        <f t="shared" si="1"/>
        <v>0</v>
      </c>
      <c r="E3473">
        <f t="shared" si="2"/>
        <v>0</v>
      </c>
      <c r="F3473" s="13"/>
    </row>
    <row r="3474" spans="1:6" ht="15.75" customHeight="1" x14ac:dyDescent="0.15">
      <c r="A3474" s="12" t="s">
        <v>7008</v>
      </c>
      <c r="B3474" s="13"/>
      <c r="C3474" t="e">
        <f t="shared" si="0"/>
        <v>#N/A</v>
      </c>
      <c r="D3474" t="b">
        <f t="shared" si="1"/>
        <v>0</v>
      </c>
      <c r="E3474">
        <f t="shared" si="2"/>
        <v>0</v>
      </c>
      <c r="F3474" s="13"/>
    </row>
    <row r="3475" spans="1:6" ht="15.75" customHeight="1" x14ac:dyDescent="0.15">
      <c r="A3475" s="12" t="s">
        <v>7009</v>
      </c>
      <c r="B3475" s="13"/>
      <c r="C3475" t="e">
        <f t="shared" si="0"/>
        <v>#N/A</v>
      </c>
      <c r="D3475" t="b">
        <f t="shared" si="1"/>
        <v>0</v>
      </c>
      <c r="E3475">
        <f t="shared" si="2"/>
        <v>0</v>
      </c>
      <c r="F3475" s="13"/>
    </row>
    <row r="3476" spans="1:6" ht="15.75" customHeight="1" x14ac:dyDescent="0.15">
      <c r="A3476" s="12" t="s">
        <v>7010</v>
      </c>
      <c r="B3476" s="13"/>
      <c r="C3476" t="e">
        <f t="shared" si="0"/>
        <v>#N/A</v>
      </c>
      <c r="D3476" t="b">
        <f t="shared" si="1"/>
        <v>0</v>
      </c>
      <c r="E3476">
        <f t="shared" si="2"/>
        <v>0</v>
      </c>
      <c r="F3476" s="13"/>
    </row>
    <row r="3477" spans="1:6" ht="15.75" customHeight="1" x14ac:dyDescent="0.15">
      <c r="A3477" s="12" t="s">
        <v>7011</v>
      </c>
      <c r="B3477" s="13"/>
      <c r="C3477" t="e">
        <f t="shared" si="0"/>
        <v>#N/A</v>
      </c>
      <c r="D3477" t="b">
        <f t="shared" si="1"/>
        <v>0</v>
      </c>
      <c r="E3477">
        <f t="shared" si="2"/>
        <v>0</v>
      </c>
      <c r="F3477" s="13"/>
    </row>
    <row r="3478" spans="1:6" ht="15.75" customHeight="1" x14ac:dyDescent="0.15">
      <c r="A3478" s="12" t="s">
        <v>7012</v>
      </c>
      <c r="B3478" s="13"/>
      <c r="C3478" t="e">
        <f t="shared" si="0"/>
        <v>#N/A</v>
      </c>
      <c r="D3478" t="b">
        <f t="shared" si="1"/>
        <v>0</v>
      </c>
      <c r="E3478">
        <f t="shared" si="2"/>
        <v>0</v>
      </c>
      <c r="F3478" s="13"/>
    </row>
    <row r="3479" spans="1:6" ht="15.75" customHeight="1" x14ac:dyDescent="0.15">
      <c r="A3479" s="12" t="s">
        <v>7013</v>
      </c>
      <c r="B3479" s="13"/>
      <c r="C3479" t="e">
        <f t="shared" si="0"/>
        <v>#N/A</v>
      </c>
      <c r="D3479" t="b">
        <f t="shared" si="1"/>
        <v>0</v>
      </c>
      <c r="E3479">
        <f t="shared" si="2"/>
        <v>0</v>
      </c>
      <c r="F3479" s="13"/>
    </row>
    <row r="3480" spans="1:6" ht="15.75" customHeight="1" x14ac:dyDescent="0.15">
      <c r="A3480" s="12" t="s">
        <v>7014</v>
      </c>
      <c r="B3480" s="13"/>
      <c r="C3480" t="e">
        <f t="shared" si="0"/>
        <v>#N/A</v>
      </c>
      <c r="D3480" t="b">
        <f t="shared" si="1"/>
        <v>0</v>
      </c>
      <c r="E3480">
        <f t="shared" si="2"/>
        <v>0</v>
      </c>
      <c r="F3480" s="13"/>
    </row>
    <row r="3481" spans="1:6" ht="15.75" customHeight="1" x14ac:dyDescent="0.15">
      <c r="A3481" s="12" t="s">
        <v>7015</v>
      </c>
      <c r="B3481" s="13"/>
      <c r="C3481" t="e">
        <f t="shared" si="0"/>
        <v>#N/A</v>
      </c>
      <c r="D3481" t="b">
        <f t="shared" si="1"/>
        <v>0</v>
      </c>
      <c r="E3481">
        <f t="shared" si="2"/>
        <v>0</v>
      </c>
      <c r="F3481" s="13"/>
    </row>
    <row r="3482" spans="1:6" ht="15.75" customHeight="1" x14ac:dyDescent="0.15">
      <c r="A3482" s="12" t="s">
        <v>7016</v>
      </c>
      <c r="B3482" s="13"/>
      <c r="C3482" t="e">
        <f t="shared" si="0"/>
        <v>#N/A</v>
      </c>
      <c r="D3482" t="b">
        <f t="shared" si="1"/>
        <v>0</v>
      </c>
      <c r="E3482">
        <f t="shared" si="2"/>
        <v>0</v>
      </c>
      <c r="F3482" s="13"/>
    </row>
    <row r="3483" spans="1:6" ht="15.75" customHeight="1" x14ac:dyDescent="0.15">
      <c r="A3483" s="14" t="s">
        <v>7017</v>
      </c>
      <c r="B3483" s="13"/>
      <c r="C3483" t="e">
        <f t="shared" si="0"/>
        <v>#N/A</v>
      </c>
      <c r="D3483" t="b">
        <f t="shared" si="1"/>
        <v>0</v>
      </c>
      <c r="E3483">
        <f t="shared" si="2"/>
        <v>0</v>
      </c>
      <c r="F3483" s="13"/>
    </row>
    <row r="3484" spans="1:6" ht="15.75" customHeight="1" x14ac:dyDescent="0.15">
      <c r="A3484" s="12" t="s">
        <v>7018</v>
      </c>
      <c r="B3484" s="13"/>
      <c r="C3484" t="e">
        <f t="shared" si="0"/>
        <v>#N/A</v>
      </c>
      <c r="D3484" t="b">
        <f t="shared" si="1"/>
        <v>0</v>
      </c>
      <c r="E3484">
        <f t="shared" si="2"/>
        <v>0</v>
      </c>
      <c r="F3484" s="13"/>
    </row>
    <row r="3485" spans="1:6" ht="15.75" customHeight="1" x14ac:dyDescent="0.15">
      <c r="A3485" s="12" t="s">
        <v>7019</v>
      </c>
      <c r="B3485" s="13"/>
      <c r="C3485" t="e">
        <f t="shared" si="0"/>
        <v>#N/A</v>
      </c>
      <c r="D3485" t="b">
        <f t="shared" si="1"/>
        <v>0</v>
      </c>
      <c r="E3485">
        <f t="shared" si="2"/>
        <v>0</v>
      </c>
      <c r="F3485" s="13"/>
    </row>
    <row r="3486" spans="1:6" ht="15.75" customHeight="1" x14ac:dyDescent="0.15">
      <c r="A3486" s="12" t="s">
        <v>7020</v>
      </c>
      <c r="B3486" s="13"/>
      <c r="C3486" t="e">
        <f t="shared" si="0"/>
        <v>#N/A</v>
      </c>
      <c r="D3486" t="b">
        <f t="shared" si="1"/>
        <v>0</v>
      </c>
      <c r="E3486">
        <f t="shared" si="2"/>
        <v>0</v>
      </c>
      <c r="F3486" s="13"/>
    </row>
    <row r="3487" spans="1:6" ht="15.75" customHeight="1" x14ac:dyDescent="0.15">
      <c r="A3487" s="12" t="s">
        <v>7021</v>
      </c>
      <c r="B3487" s="13"/>
      <c r="C3487" t="e">
        <f t="shared" si="0"/>
        <v>#N/A</v>
      </c>
      <c r="D3487" t="b">
        <f t="shared" si="1"/>
        <v>0</v>
      </c>
      <c r="E3487">
        <f t="shared" si="2"/>
        <v>0</v>
      </c>
      <c r="F3487" s="13"/>
    </row>
    <row r="3488" spans="1:6" ht="15.75" customHeight="1" x14ac:dyDescent="0.15">
      <c r="A3488" s="12" t="s">
        <v>7022</v>
      </c>
      <c r="B3488" s="13"/>
      <c r="C3488" t="e">
        <f t="shared" si="0"/>
        <v>#N/A</v>
      </c>
      <c r="D3488" t="b">
        <f t="shared" si="1"/>
        <v>0</v>
      </c>
      <c r="E3488">
        <f t="shared" si="2"/>
        <v>0</v>
      </c>
      <c r="F3488" s="13"/>
    </row>
    <row r="3489" spans="1:6" ht="15.75" customHeight="1" x14ac:dyDescent="0.15">
      <c r="A3489" s="12" t="s">
        <v>7023</v>
      </c>
      <c r="B3489" s="13"/>
      <c r="C3489" t="e">
        <f t="shared" si="0"/>
        <v>#N/A</v>
      </c>
      <c r="D3489" t="b">
        <f t="shared" si="1"/>
        <v>0</v>
      </c>
      <c r="E3489">
        <f t="shared" si="2"/>
        <v>0</v>
      </c>
      <c r="F3489" s="13"/>
    </row>
    <row r="3490" spans="1:6" ht="15.75" customHeight="1" x14ac:dyDescent="0.15">
      <c r="A3490" s="12" t="s">
        <v>7024</v>
      </c>
      <c r="B3490" s="13"/>
      <c r="C3490" t="e">
        <f t="shared" si="0"/>
        <v>#N/A</v>
      </c>
      <c r="D3490" t="b">
        <f t="shared" si="1"/>
        <v>0</v>
      </c>
      <c r="E3490">
        <f t="shared" si="2"/>
        <v>0</v>
      </c>
      <c r="F3490" s="13"/>
    </row>
    <row r="3491" spans="1:6" ht="15.75" customHeight="1" x14ac:dyDescent="0.15">
      <c r="A3491" s="12" t="s">
        <v>7025</v>
      </c>
      <c r="B3491" s="13"/>
      <c r="C3491" t="e">
        <f t="shared" si="0"/>
        <v>#N/A</v>
      </c>
      <c r="D3491" t="b">
        <f t="shared" si="1"/>
        <v>0</v>
      </c>
      <c r="E3491">
        <f t="shared" si="2"/>
        <v>0</v>
      </c>
      <c r="F3491" s="13"/>
    </row>
    <row r="3492" spans="1:6" ht="15.75" customHeight="1" x14ac:dyDescent="0.15">
      <c r="A3492" s="12" t="s">
        <v>7026</v>
      </c>
      <c r="B3492" s="13"/>
      <c r="C3492" t="e">
        <f t="shared" si="0"/>
        <v>#N/A</v>
      </c>
      <c r="D3492" t="b">
        <f t="shared" si="1"/>
        <v>0</v>
      </c>
      <c r="E3492">
        <f t="shared" si="2"/>
        <v>0</v>
      </c>
      <c r="F3492" s="13"/>
    </row>
    <row r="3493" spans="1:6" ht="15.75" customHeight="1" x14ac:dyDescent="0.15">
      <c r="A3493" s="12" t="s">
        <v>7027</v>
      </c>
      <c r="B3493" s="13"/>
      <c r="C3493" t="e">
        <f t="shared" si="0"/>
        <v>#N/A</v>
      </c>
      <c r="D3493" t="b">
        <f t="shared" si="1"/>
        <v>0</v>
      </c>
      <c r="E3493">
        <f t="shared" si="2"/>
        <v>0</v>
      </c>
      <c r="F3493" s="13"/>
    </row>
    <row r="3494" spans="1:6" ht="15.75" customHeight="1" x14ac:dyDescent="0.15">
      <c r="A3494" s="12" t="s">
        <v>7028</v>
      </c>
      <c r="B3494" s="13"/>
      <c r="C3494" t="e">
        <f t="shared" si="0"/>
        <v>#N/A</v>
      </c>
      <c r="D3494" t="b">
        <f t="shared" si="1"/>
        <v>0</v>
      </c>
      <c r="E3494">
        <f t="shared" si="2"/>
        <v>0</v>
      </c>
      <c r="F3494" s="13"/>
    </row>
    <row r="3495" spans="1:6" ht="15.75" customHeight="1" x14ac:dyDescent="0.15">
      <c r="A3495" s="12" t="s">
        <v>7029</v>
      </c>
      <c r="B3495" s="13"/>
      <c r="C3495" t="e">
        <f t="shared" si="0"/>
        <v>#N/A</v>
      </c>
      <c r="D3495" t="b">
        <f t="shared" si="1"/>
        <v>0</v>
      </c>
      <c r="E3495">
        <f t="shared" si="2"/>
        <v>0</v>
      </c>
      <c r="F3495" s="13"/>
    </row>
    <row r="3496" spans="1:6" ht="15.75" customHeight="1" x14ac:dyDescent="0.15">
      <c r="A3496" s="12" t="s">
        <v>7030</v>
      </c>
      <c r="B3496" s="13"/>
      <c r="C3496" t="e">
        <f t="shared" si="0"/>
        <v>#N/A</v>
      </c>
      <c r="D3496" t="b">
        <f t="shared" si="1"/>
        <v>0</v>
      </c>
      <c r="E3496">
        <f t="shared" si="2"/>
        <v>0</v>
      </c>
      <c r="F3496" s="13"/>
    </row>
    <row r="3497" spans="1:6" ht="15.75" customHeight="1" x14ac:dyDescent="0.15">
      <c r="A3497" s="12" t="s">
        <v>7031</v>
      </c>
      <c r="B3497" s="13"/>
      <c r="C3497" t="e">
        <f t="shared" si="0"/>
        <v>#N/A</v>
      </c>
      <c r="D3497" t="b">
        <f t="shared" si="1"/>
        <v>0</v>
      </c>
      <c r="E3497">
        <f t="shared" si="2"/>
        <v>0</v>
      </c>
      <c r="F3497" s="13"/>
    </row>
    <row r="3498" spans="1:6" ht="15.75" customHeight="1" x14ac:dyDescent="0.15">
      <c r="A3498" s="12" t="s">
        <v>7032</v>
      </c>
      <c r="B3498" s="13"/>
      <c r="C3498" t="e">
        <f t="shared" si="0"/>
        <v>#N/A</v>
      </c>
      <c r="D3498" t="b">
        <f t="shared" si="1"/>
        <v>0</v>
      </c>
      <c r="E3498">
        <f t="shared" si="2"/>
        <v>0</v>
      </c>
      <c r="F3498" s="13"/>
    </row>
    <row r="3499" spans="1:6" ht="15.75" customHeight="1" x14ac:dyDescent="0.15">
      <c r="A3499" s="12" t="s">
        <v>7033</v>
      </c>
      <c r="B3499" s="13"/>
      <c r="C3499" t="e">
        <f t="shared" si="0"/>
        <v>#N/A</v>
      </c>
      <c r="D3499" t="b">
        <f t="shared" si="1"/>
        <v>0</v>
      </c>
      <c r="E3499">
        <f t="shared" si="2"/>
        <v>0</v>
      </c>
      <c r="F3499" s="13"/>
    </row>
    <row r="3500" spans="1:6" ht="15.75" customHeight="1" x14ac:dyDescent="0.15">
      <c r="A3500" s="12" t="s">
        <v>7034</v>
      </c>
      <c r="B3500" s="13"/>
      <c r="C3500" t="e">
        <f t="shared" si="0"/>
        <v>#N/A</v>
      </c>
      <c r="D3500" t="b">
        <f t="shared" si="1"/>
        <v>0</v>
      </c>
      <c r="E3500">
        <f t="shared" si="2"/>
        <v>0</v>
      </c>
      <c r="F3500" s="13"/>
    </row>
    <row r="3501" spans="1:6" ht="15.75" customHeight="1" x14ac:dyDescent="0.15">
      <c r="A3501" s="12" t="s">
        <v>7035</v>
      </c>
      <c r="B3501" s="13"/>
      <c r="C3501" t="e">
        <f t="shared" si="0"/>
        <v>#N/A</v>
      </c>
      <c r="D3501" t="b">
        <f t="shared" si="1"/>
        <v>0</v>
      </c>
      <c r="E3501">
        <f t="shared" si="2"/>
        <v>0</v>
      </c>
      <c r="F3501" s="13"/>
    </row>
    <row r="3502" spans="1:6" ht="15.75" customHeight="1" x14ac:dyDescent="0.15">
      <c r="A3502" s="12" t="s">
        <v>7036</v>
      </c>
      <c r="B3502" s="13"/>
      <c r="C3502" t="e">
        <f t="shared" si="0"/>
        <v>#N/A</v>
      </c>
      <c r="D3502" t="b">
        <f t="shared" si="1"/>
        <v>0</v>
      </c>
      <c r="E3502">
        <f t="shared" si="2"/>
        <v>0</v>
      </c>
      <c r="F3502" s="13"/>
    </row>
    <row r="3503" spans="1:6" ht="15.75" customHeight="1" x14ac:dyDescent="0.15">
      <c r="A3503" s="12" t="s">
        <v>7037</v>
      </c>
      <c r="B3503" s="13"/>
      <c r="C3503" t="e">
        <f t="shared" si="0"/>
        <v>#N/A</v>
      </c>
      <c r="D3503" t="b">
        <f t="shared" si="1"/>
        <v>0</v>
      </c>
      <c r="E3503">
        <f t="shared" si="2"/>
        <v>0</v>
      </c>
      <c r="F3503" s="13"/>
    </row>
    <row r="3504" spans="1:6" ht="15.75" customHeight="1" x14ac:dyDescent="0.15">
      <c r="A3504" s="12" t="s">
        <v>7038</v>
      </c>
      <c r="B3504" s="13"/>
      <c r="C3504" t="e">
        <f t="shared" si="0"/>
        <v>#N/A</v>
      </c>
      <c r="D3504" t="b">
        <f t="shared" si="1"/>
        <v>0</v>
      </c>
      <c r="E3504">
        <f t="shared" si="2"/>
        <v>0</v>
      </c>
      <c r="F3504" s="13"/>
    </row>
    <row r="3505" spans="1:6" ht="15.75" customHeight="1" x14ac:dyDescent="0.15">
      <c r="A3505" s="12" t="s">
        <v>7039</v>
      </c>
      <c r="B3505" s="13"/>
      <c r="C3505" t="e">
        <f t="shared" si="0"/>
        <v>#N/A</v>
      </c>
      <c r="D3505" t="b">
        <f t="shared" si="1"/>
        <v>0</v>
      </c>
      <c r="E3505">
        <f t="shared" si="2"/>
        <v>0</v>
      </c>
      <c r="F3505" s="13"/>
    </row>
    <row r="3506" spans="1:6" ht="15.75" customHeight="1" x14ac:dyDescent="0.15">
      <c r="A3506" s="12" t="s">
        <v>7040</v>
      </c>
      <c r="B3506" s="13"/>
      <c r="C3506" t="e">
        <f t="shared" si="0"/>
        <v>#N/A</v>
      </c>
      <c r="D3506" t="b">
        <f t="shared" si="1"/>
        <v>0</v>
      </c>
      <c r="E3506">
        <f t="shared" si="2"/>
        <v>0</v>
      </c>
      <c r="F3506" s="13"/>
    </row>
    <row r="3507" spans="1:6" ht="15.75" customHeight="1" x14ac:dyDescent="0.15">
      <c r="A3507" s="12" t="s">
        <v>7041</v>
      </c>
      <c r="B3507" s="13"/>
      <c r="C3507" t="e">
        <f t="shared" si="0"/>
        <v>#N/A</v>
      </c>
      <c r="D3507" t="b">
        <f t="shared" si="1"/>
        <v>0</v>
      </c>
      <c r="E3507">
        <f t="shared" si="2"/>
        <v>0</v>
      </c>
      <c r="F3507" s="13"/>
    </row>
    <row r="3508" spans="1:6" ht="15.75" customHeight="1" x14ac:dyDescent="0.15">
      <c r="A3508" s="12" t="s">
        <v>7042</v>
      </c>
      <c r="B3508" s="13"/>
      <c r="C3508" t="e">
        <f t="shared" si="0"/>
        <v>#N/A</v>
      </c>
      <c r="D3508" t="b">
        <f t="shared" si="1"/>
        <v>0</v>
      </c>
      <c r="E3508">
        <f t="shared" si="2"/>
        <v>0</v>
      </c>
      <c r="F3508" s="13"/>
    </row>
    <row r="3509" spans="1:6" ht="15.75" customHeight="1" x14ac:dyDescent="0.15">
      <c r="A3509" s="12" t="s">
        <v>7043</v>
      </c>
      <c r="B3509" s="13"/>
      <c r="C3509" t="e">
        <f t="shared" si="0"/>
        <v>#N/A</v>
      </c>
      <c r="D3509" t="b">
        <f t="shared" si="1"/>
        <v>0</v>
      </c>
      <c r="E3509">
        <f t="shared" si="2"/>
        <v>0</v>
      </c>
      <c r="F3509" s="13"/>
    </row>
    <row r="3510" spans="1:6" ht="15.75" customHeight="1" x14ac:dyDescent="0.15">
      <c r="A3510" s="12" t="s">
        <v>7044</v>
      </c>
      <c r="B3510" s="13"/>
      <c r="C3510" t="e">
        <f t="shared" si="0"/>
        <v>#N/A</v>
      </c>
      <c r="D3510" t="b">
        <f t="shared" si="1"/>
        <v>0</v>
      </c>
      <c r="E3510">
        <f t="shared" si="2"/>
        <v>0</v>
      </c>
      <c r="F3510" s="13"/>
    </row>
    <row r="3511" spans="1:6" ht="15.75" customHeight="1" x14ac:dyDescent="0.15">
      <c r="A3511" s="12" t="s">
        <v>7045</v>
      </c>
      <c r="B3511" s="13"/>
      <c r="C3511" t="e">
        <f t="shared" si="0"/>
        <v>#N/A</v>
      </c>
      <c r="D3511" t="b">
        <f t="shared" si="1"/>
        <v>0</v>
      </c>
      <c r="E3511">
        <f t="shared" si="2"/>
        <v>0</v>
      </c>
      <c r="F3511" s="13"/>
    </row>
    <row r="3512" spans="1:6" ht="15.75" customHeight="1" x14ac:dyDescent="0.15">
      <c r="A3512" s="12" t="s">
        <v>7046</v>
      </c>
      <c r="B3512" s="13"/>
      <c r="C3512" t="e">
        <f t="shared" si="0"/>
        <v>#N/A</v>
      </c>
      <c r="D3512" t="b">
        <f t="shared" si="1"/>
        <v>0</v>
      </c>
      <c r="E3512">
        <f t="shared" si="2"/>
        <v>0</v>
      </c>
      <c r="F3512" s="13"/>
    </row>
    <row r="3513" spans="1:6" ht="15.75" customHeight="1" x14ac:dyDescent="0.15">
      <c r="A3513" s="12" t="s">
        <v>952</v>
      </c>
      <c r="B3513" s="13"/>
      <c r="C3513" t="e">
        <f t="shared" si="0"/>
        <v>#N/A</v>
      </c>
      <c r="D3513" t="b">
        <f t="shared" si="1"/>
        <v>0</v>
      </c>
      <c r="E3513">
        <f t="shared" si="2"/>
        <v>0</v>
      </c>
      <c r="F3513" s="13"/>
    </row>
    <row r="3514" spans="1:6" ht="15.75" customHeight="1" x14ac:dyDescent="0.15">
      <c r="A3514" s="12" t="s">
        <v>7047</v>
      </c>
      <c r="B3514" s="13"/>
      <c r="C3514" t="e">
        <f t="shared" si="0"/>
        <v>#N/A</v>
      </c>
      <c r="D3514" t="b">
        <f t="shared" si="1"/>
        <v>0</v>
      </c>
      <c r="E3514">
        <f t="shared" si="2"/>
        <v>0</v>
      </c>
      <c r="F3514" s="13"/>
    </row>
    <row r="3515" spans="1:6" ht="15.75" customHeight="1" x14ac:dyDescent="0.15">
      <c r="A3515" s="12" t="s">
        <v>7048</v>
      </c>
      <c r="B3515" s="13"/>
      <c r="C3515" t="e">
        <f t="shared" si="0"/>
        <v>#N/A</v>
      </c>
      <c r="D3515" t="b">
        <f t="shared" si="1"/>
        <v>0</v>
      </c>
      <c r="E3515">
        <f t="shared" si="2"/>
        <v>0</v>
      </c>
      <c r="F3515" s="13"/>
    </row>
    <row r="3516" spans="1:6" ht="15.75" customHeight="1" x14ac:dyDescent="0.15">
      <c r="A3516" s="12" t="s">
        <v>7049</v>
      </c>
      <c r="B3516" s="13"/>
      <c r="C3516" t="e">
        <f t="shared" si="0"/>
        <v>#N/A</v>
      </c>
      <c r="D3516" t="b">
        <f t="shared" si="1"/>
        <v>0</v>
      </c>
      <c r="E3516">
        <f t="shared" si="2"/>
        <v>0</v>
      </c>
      <c r="F3516" s="13"/>
    </row>
    <row r="3517" spans="1:6" ht="15.75" customHeight="1" x14ac:dyDescent="0.15">
      <c r="A3517" s="12" t="s">
        <v>7050</v>
      </c>
      <c r="B3517" s="13"/>
      <c r="C3517" t="e">
        <f t="shared" si="0"/>
        <v>#N/A</v>
      </c>
      <c r="D3517" t="b">
        <f t="shared" si="1"/>
        <v>0</v>
      </c>
      <c r="E3517">
        <f t="shared" si="2"/>
        <v>0</v>
      </c>
      <c r="F3517" s="13"/>
    </row>
    <row r="3518" spans="1:6" ht="15.75" customHeight="1" x14ac:dyDescent="0.15">
      <c r="A3518" s="12" t="s">
        <v>7051</v>
      </c>
      <c r="B3518" s="13"/>
      <c r="C3518" t="e">
        <f t="shared" si="0"/>
        <v>#N/A</v>
      </c>
      <c r="D3518" t="b">
        <f t="shared" si="1"/>
        <v>0</v>
      </c>
      <c r="E3518">
        <f t="shared" si="2"/>
        <v>0</v>
      </c>
      <c r="F3518" s="13"/>
    </row>
    <row r="3519" spans="1:6" ht="15.75" customHeight="1" x14ac:dyDescent="0.15">
      <c r="A3519" s="12" t="s">
        <v>7052</v>
      </c>
      <c r="B3519" s="13"/>
      <c r="C3519" t="e">
        <f t="shared" si="0"/>
        <v>#N/A</v>
      </c>
      <c r="D3519" t="b">
        <f t="shared" si="1"/>
        <v>0</v>
      </c>
      <c r="E3519">
        <f t="shared" si="2"/>
        <v>0</v>
      </c>
      <c r="F3519" s="13"/>
    </row>
    <row r="3520" spans="1:6" ht="15.75" customHeight="1" x14ac:dyDescent="0.15">
      <c r="A3520" s="12" t="s">
        <v>7053</v>
      </c>
      <c r="B3520" s="13"/>
      <c r="C3520" t="e">
        <f t="shared" si="0"/>
        <v>#N/A</v>
      </c>
      <c r="D3520" t="b">
        <f t="shared" si="1"/>
        <v>0</v>
      </c>
      <c r="E3520">
        <f t="shared" si="2"/>
        <v>0</v>
      </c>
      <c r="F3520" s="13"/>
    </row>
    <row r="3521" spans="1:6" ht="15.75" customHeight="1" x14ac:dyDescent="0.15">
      <c r="A3521" s="12" t="s">
        <v>7054</v>
      </c>
      <c r="B3521" s="13"/>
      <c r="C3521" t="e">
        <f t="shared" si="0"/>
        <v>#N/A</v>
      </c>
      <c r="D3521" t="b">
        <f t="shared" si="1"/>
        <v>0</v>
      </c>
      <c r="E3521">
        <f t="shared" si="2"/>
        <v>0</v>
      </c>
      <c r="F3521" s="13"/>
    </row>
    <row r="3522" spans="1:6" ht="15.75" customHeight="1" x14ac:dyDescent="0.15">
      <c r="A3522" s="12" t="s">
        <v>7055</v>
      </c>
      <c r="B3522" s="13"/>
      <c r="C3522" t="e">
        <f t="shared" si="0"/>
        <v>#N/A</v>
      </c>
      <c r="D3522" t="b">
        <f t="shared" si="1"/>
        <v>0</v>
      </c>
      <c r="E3522">
        <f t="shared" si="2"/>
        <v>0</v>
      </c>
      <c r="F3522" s="13"/>
    </row>
    <row r="3523" spans="1:6" ht="15.75" customHeight="1" x14ac:dyDescent="0.15">
      <c r="A3523" s="12" t="s">
        <v>7056</v>
      </c>
      <c r="B3523" s="13"/>
      <c r="C3523" t="e">
        <f t="shared" si="0"/>
        <v>#N/A</v>
      </c>
      <c r="D3523" t="b">
        <f t="shared" si="1"/>
        <v>0</v>
      </c>
      <c r="E3523">
        <f t="shared" si="2"/>
        <v>0</v>
      </c>
      <c r="F3523" s="13"/>
    </row>
    <row r="3524" spans="1:6" ht="15.75" customHeight="1" x14ac:dyDescent="0.15">
      <c r="A3524" s="12" t="s">
        <v>7057</v>
      </c>
      <c r="B3524" s="13"/>
      <c r="C3524" t="e">
        <f t="shared" si="0"/>
        <v>#N/A</v>
      </c>
      <c r="D3524" t="b">
        <f t="shared" si="1"/>
        <v>0</v>
      </c>
      <c r="E3524">
        <f t="shared" si="2"/>
        <v>0</v>
      </c>
      <c r="F3524" s="13"/>
    </row>
    <row r="3525" spans="1:6" ht="15.75" customHeight="1" x14ac:dyDescent="0.15">
      <c r="A3525" s="12" t="s">
        <v>7058</v>
      </c>
      <c r="B3525" s="13"/>
      <c r="C3525" t="e">
        <f t="shared" si="0"/>
        <v>#N/A</v>
      </c>
      <c r="D3525" t="b">
        <f t="shared" si="1"/>
        <v>0</v>
      </c>
      <c r="E3525">
        <f t="shared" si="2"/>
        <v>0</v>
      </c>
      <c r="F3525" s="13"/>
    </row>
    <row r="3526" spans="1:6" ht="15.75" customHeight="1" x14ac:dyDescent="0.15">
      <c r="A3526" s="12" t="s">
        <v>7059</v>
      </c>
      <c r="B3526" s="13"/>
      <c r="C3526" t="e">
        <f t="shared" si="0"/>
        <v>#N/A</v>
      </c>
      <c r="D3526" t="b">
        <f t="shared" si="1"/>
        <v>0</v>
      </c>
      <c r="E3526">
        <f t="shared" si="2"/>
        <v>0</v>
      </c>
      <c r="F3526" s="13"/>
    </row>
    <row r="3527" spans="1:6" ht="15.75" customHeight="1" x14ac:dyDescent="0.15">
      <c r="A3527" s="12" t="s">
        <v>7060</v>
      </c>
      <c r="B3527" s="13"/>
      <c r="C3527" t="e">
        <f t="shared" si="0"/>
        <v>#N/A</v>
      </c>
      <c r="D3527" t="b">
        <f t="shared" si="1"/>
        <v>0</v>
      </c>
      <c r="E3527">
        <f t="shared" si="2"/>
        <v>0</v>
      </c>
      <c r="F3527" s="13"/>
    </row>
    <row r="3528" spans="1:6" ht="15.75" customHeight="1" x14ac:dyDescent="0.15">
      <c r="A3528" s="12" t="s">
        <v>7061</v>
      </c>
      <c r="B3528" s="13"/>
      <c r="C3528" t="e">
        <f t="shared" si="0"/>
        <v>#N/A</v>
      </c>
      <c r="D3528" t="b">
        <f t="shared" si="1"/>
        <v>0</v>
      </c>
      <c r="E3528">
        <f t="shared" si="2"/>
        <v>0</v>
      </c>
      <c r="F3528" s="13"/>
    </row>
    <row r="3529" spans="1:6" ht="15.75" customHeight="1" x14ac:dyDescent="0.15">
      <c r="A3529" s="12" t="s">
        <v>7062</v>
      </c>
      <c r="B3529" s="13"/>
      <c r="C3529" t="e">
        <f t="shared" si="0"/>
        <v>#N/A</v>
      </c>
      <c r="D3529" t="b">
        <f t="shared" si="1"/>
        <v>0</v>
      </c>
      <c r="E3529">
        <f t="shared" si="2"/>
        <v>0</v>
      </c>
      <c r="F3529" s="13"/>
    </row>
    <row r="3530" spans="1:6" ht="15.75" customHeight="1" x14ac:dyDescent="0.15">
      <c r="A3530" s="12" t="s">
        <v>7063</v>
      </c>
      <c r="B3530" s="13"/>
      <c r="C3530" t="e">
        <f t="shared" si="0"/>
        <v>#N/A</v>
      </c>
      <c r="D3530" t="b">
        <f t="shared" si="1"/>
        <v>0</v>
      </c>
      <c r="E3530">
        <f t="shared" si="2"/>
        <v>0</v>
      </c>
      <c r="F3530" s="13"/>
    </row>
    <row r="3531" spans="1:6" ht="15.75" customHeight="1" x14ac:dyDescent="0.15">
      <c r="A3531" s="12" t="s">
        <v>7064</v>
      </c>
      <c r="B3531" s="13"/>
      <c r="C3531" t="e">
        <f t="shared" si="0"/>
        <v>#N/A</v>
      </c>
      <c r="D3531" t="b">
        <f t="shared" si="1"/>
        <v>0</v>
      </c>
      <c r="E3531">
        <f t="shared" si="2"/>
        <v>0</v>
      </c>
      <c r="F3531" s="13"/>
    </row>
    <row r="3532" spans="1:6" ht="15.75" customHeight="1" x14ac:dyDescent="0.15">
      <c r="A3532" s="12" t="s">
        <v>7065</v>
      </c>
      <c r="B3532" s="13"/>
      <c r="C3532" t="e">
        <f t="shared" si="0"/>
        <v>#N/A</v>
      </c>
      <c r="D3532" t="b">
        <f t="shared" si="1"/>
        <v>0</v>
      </c>
      <c r="E3532">
        <f t="shared" si="2"/>
        <v>0</v>
      </c>
      <c r="F3532" s="13"/>
    </row>
    <row r="3533" spans="1:6" ht="15.75" customHeight="1" x14ac:dyDescent="0.15">
      <c r="A3533" s="12" t="s">
        <v>7066</v>
      </c>
      <c r="B3533" s="13"/>
      <c r="C3533" t="e">
        <f t="shared" si="0"/>
        <v>#N/A</v>
      </c>
      <c r="D3533" t="b">
        <f t="shared" si="1"/>
        <v>0</v>
      </c>
      <c r="E3533">
        <f t="shared" si="2"/>
        <v>0</v>
      </c>
      <c r="F3533" s="13"/>
    </row>
    <row r="3534" spans="1:6" ht="15.75" customHeight="1" x14ac:dyDescent="0.15">
      <c r="A3534" s="12" t="s">
        <v>7067</v>
      </c>
      <c r="B3534" s="13"/>
      <c r="C3534" t="e">
        <f t="shared" si="0"/>
        <v>#N/A</v>
      </c>
      <c r="D3534" t="b">
        <f t="shared" si="1"/>
        <v>0</v>
      </c>
      <c r="E3534">
        <f t="shared" si="2"/>
        <v>0</v>
      </c>
      <c r="F3534" s="13"/>
    </row>
    <row r="3535" spans="1:6" ht="15.75" customHeight="1" x14ac:dyDescent="0.15">
      <c r="A3535" s="12" t="s">
        <v>7068</v>
      </c>
      <c r="B3535" s="13"/>
      <c r="C3535" t="e">
        <f t="shared" si="0"/>
        <v>#N/A</v>
      </c>
      <c r="D3535" t="b">
        <f t="shared" si="1"/>
        <v>0</v>
      </c>
      <c r="E3535">
        <f t="shared" si="2"/>
        <v>0</v>
      </c>
      <c r="F3535" s="13"/>
    </row>
    <row r="3536" spans="1:6" ht="15.75" customHeight="1" x14ac:dyDescent="0.15">
      <c r="A3536" s="12" t="s">
        <v>7069</v>
      </c>
      <c r="B3536" s="13"/>
      <c r="C3536" t="e">
        <f t="shared" si="0"/>
        <v>#N/A</v>
      </c>
      <c r="D3536" t="b">
        <f t="shared" si="1"/>
        <v>0</v>
      </c>
      <c r="E3536">
        <f t="shared" si="2"/>
        <v>0</v>
      </c>
      <c r="F3536" s="13"/>
    </row>
    <row r="3537" spans="1:6" ht="15.75" customHeight="1" x14ac:dyDescent="0.15">
      <c r="A3537" s="12" t="s">
        <v>7070</v>
      </c>
      <c r="B3537" s="13"/>
      <c r="C3537" t="e">
        <f t="shared" si="0"/>
        <v>#N/A</v>
      </c>
      <c r="D3537" t="b">
        <f t="shared" si="1"/>
        <v>0</v>
      </c>
      <c r="E3537">
        <f t="shared" si="2"/>
        <v>0</v>
      </c>
      <c r="F3537" s="13"/>
    </row>
    <row r="3538" spans="1:6" ht="15.75" customHeight="1" x14ac:dyDescent="0.15">
      <c r="A3538" s="12" t="s">
        <v>7071</v>
      </c>
      <c r="B3538" s="13"/>
      <c r="C3538" t="e">
        <f t="shared" si="0"/>
        <v>#N/A</v>
      </c>
      <c r="D3538" t="b">
        <f t="shared" si="1"/>
        <v>0</v>
      </c>
      <c r="E3538">
        <f t="shared" si="2"/>
        <v>0</v>
      </c>
      <c r="F3538" s="13"/>
    </row>
    <row r="3539" spans="1:6" ht="15.75" customHeight="1" x14ac:dyDescent="0.15">
      <c r="A3539" s="12" t="s">
        <v>7072</v>
      </c>
      <c r="B3539" s="13"/>
      <c r="C3539" t="e">
        <f t="shared" si="0"/>
        <v>#N/A</v>
      </c>
      <c r="D3539" t="b">
        <f t="shared" si="1"/>
        <v>0</v>
      </c>
      <c r="E3539">
        <f t="shared" si="2"/>
        <v>0</v>
      </c>
      <c r="F3539" s="13"/>
    </row>
    <row r="3540" spans="1:6" ht="15.75" customHeight="1" x14ac:dyDescent="0.15">
      <c r="A3540" s="12" t="s">
        <v>7073</v>
      </c>
      <c r="B3540" s="13"/>
      <c r="C3540" t="e">
        <f t="shared" si="0"/>
        <v>#N/A</v>
      </c>
      <c r="D3540" t="b">
        <f t="shared" si="1"/>
        <v>0</v>
      </c>
      <c r="E3540">
        <f t="shared" si="2"/>
        <v>0</v>
      </c>
      <c r="F3540" s="13"/>
    </row>
    <row r="3541" spans="1:6" ht="15.75" customHeight="1" x14ac:dyDescent="0.15">
      <c r="A3541" s="12" t="s">
        <v>7074</v>
      </c>
      <c r="B3541" s="13"/>
      <c r="C3541" t="e">
        <f t="shared" si="0"/>
        <v>#N/A</v>
      </c>
      <c r="D3541" t="b">
        <f t="shared" si="1"/>
        <v>0</v>
      </c>
      <c r="E3541">
        <f t="shared" si="2"/>
        <v>0</v>
      </c>
      <c r="F3541" s="13"/>
    </row>
    <row r="3542" spans="1:6" ht="15.75" customHeight="1" x14ac:dyDescent="0.15">
      <c r="A3542" s="12" t="s">
        <v>7075</v>
      </c>
      <c r="B3542" s="13"/>
      <c r="C3542" t="e">
        <f t="shared" si="0"/>
        <v>#N/A</v>
      </c>
      <c r="D3542" t="b">
        <f t="shared" si="1"/>
        <v>0</v>
      </c>
      <c r="E3542">
        <f t="shared" si="2"/>
        <v>0</v>
      </c>
      <c r="F3542" s="13"/>
    </row>
    <row r="3543" spans="1:6" ht="15.75" customHeight="1" x14ac:dyDescent="0.15">
      <c r="A3543" s="12" t="s">
        <v>7076</v>
      </c>
      <c r="B3543" s="13"/>
      <c r="C3543" t="e">
        <f t="shared" si="0"/>
        <v>#N/A</v>
      </c>
      <c r="D3543" t="b">
        <f t="shared" si="1"/>
        <v>0</v>
      </c>
      <c r="E3543">
        <f t="shared" si="2"/>
        <v>0</v>
      </c>
      <c r="F3543" s="13"/>
    </row>
    <row r="3544" spans="1:6" ht="15.75" customHeight="1" x14ac:dyDescent="0.15">
      <c r="A3544" s="12" t="s">
        <v>7077</v>
      </c>
      <c r="B3544" s="13"/>
      <c r="C3544" t="e">
        <f t="shared" si="0"/>
        <v>#N/A</v>
      </c>
      <c r="D3544" t="b">
        <f t="shared" si="1"/>
        <v>0</v>
      </c>
      <c r="E3544">
        <f t="shared" si="2"/>
        <v>0</v>
      </c>
      <c r="F3544" s="13"/>
    </row>
    <row r="3545" spans="1:6" ht="15.75" customHeight="1" x14ac:dyDescent="0.15">
      <c r="A3545" s="12" t="s">
        <v>7078</v>
      </c>
      <c r="B3545" s="13"/>
      <c r="C3545" t="e">
        <f t="shared" si="0"/>
        <v>#N/A</v>
      </c>
      <c r="D3545" t="b">
        <f t="shared" si="1"/>
        <v>0</v>
      </c>
      <c r="E3545">
        <f t="shared" si="2"/>
        <v>0</v>
      </c>
      <c r="F3545" s="13"/>
    </row>
    <row r="3546" spans="1:6" ht="15.75" customHeight="1" x14ac:dyDescent="0.15">
      <c r="A3546" s="12" t="s">
        <v>7079</v>
      </c>
      <c r="B3546" s="13"/>
      <c r="C3546" t="e">
        <f t="shared" si="0"/>
        <v>#N/A</v>
      </c>
      <c r="D3546" t="b">
        <f t="shared" si="1"/>
        <v>0</v>
      </c>
      <c r="E3546">
        <f t="shared" si="2"/>
        <v>0</v>
      </c>
      <c r="F3546" s="13"/>
    </row>
    <row r="3547" spans="1:6" ht="15.75" customHeight="1" x14ac:dyDescent="0.15">
      <c r="A3547" s="12" t="s">
        <v>7080</v>
      </c>
      <c r="B3547" s="13"/>
      <c r="C3547" t="e">
        <f t="shared" si="0"/>
        <v>#N/A</v>
      </c>
      <c r="D3547" t="b">
        <f t="shared" si="1"/>
        <v>0</v>
      </c>
      <c r="E3547">
        <f t="shared" si="2"/>
        <v>0</v>
      </c>
      <c r="F3547" s="13"/>
    </row>
    <row r="3548" spans="1:6" ht="15.75" customHeight="1" x14ac:dyDescent="0.15">
      <c r="A3548" s="12" t="s">
        <v>7081</v>
      </c>
      <c r="B3548" s="13"/>
      <c r="C3548" t="e">
        <f t="shared" si="0"/>
        <v>#N/A</v>
      </c>
      <c r="D3548" t="b">
        <f t="shared" si="1"/>
        <v>0</v>
      </c>
      <c r="E3548">
        <f t="shared" si="2"/>
        <v>0</v>
      </c>
      <c r="F3548" s="13"/>
    </row>
    <row r="3549" spans="1:6" ht="15.75" customHeight="1" x14ac:dyDescent="0.15">
      <c r="A3549" s="12" t="s">
        <v>7082</v>
      </c>
      <c r="B3549" s="13"/>
      <c r="C3549" t="e">
        <f t="shared" si="0"/>
        <v>#N/A</v>
      </c>
      <c r="D3549" t="b">
        <f t="shared" si="1"/>
        <v>0</v>
      </c>
      <c r="E3549">
        <f t="shared" si="2"/>
        <v>0</v>
      </c>
      <c r="F3549" s="13"/>
    </row>
    <row r="3550" spans="1:6" ht="15.75" customHeight="1" x14ac:dyDescent="0.15">
      <c r="A3550" s="12" t="s">
        <v>7083</v>
      </c>
      <c r="B3550" s="13"/>
      <c r="C3550" t="e">
        <f t="shared" si="0"/>
        <v>#N/A</v>
      </c>
      <c r="D3550" t="b">
        <f t="shared" si="1"/>
        <v>0</v>
      </c>
      <c r="E3550">
        <f t="shared" si="2"/>
        <v>0</v>
      </c>
      <c r="F3550" s="13"/>
    </row>
    <row r="3551" spans="1:6" ht="15.75" customHeight="1" x14ac:dyDescent="0.15">
      <c r="A3551" s="12" t="s">
        <v>7084</v>
      </c>
      <c r="B3551" s="13"/>
      <c r="C3551" t="e">
        <f t="shared" si="0"/>
        <v>#N/A</v>
      </c>
      <c r="D3551" t="b">
        <f t="shared" si="1"/>
        <v>0</v>
      </c>
      <c r="E3551">
        <f t="shared" si="2"/>
        <v>0</v>
      </c>
      <c r="F3551" s="13"/>
    </row>
    <row r="3552" spans="1:6" ht="15.75" customHeight="1" x14ac:dyDescent="0.15">
      <c r="A3552" s="12" t="s">
        <v>7085</v>
      </c>
      <c r="B3552" s="13"/>
      <c r="C3552" t="e">
        <f t="shared" si="0"/>
        <v>#N/A</v>
      </c>
      <c r="D3552" t="b">
        <f t="shared" si="1"/>
        <v>0</v>
      </c>
      <c r="E3552">
        <f t="shared" si="2"/>
        <v>0</v>
      </c>
      <c r="F3552" s="13"/>
    </row>
    <row r="3553" spans="1:6" ht="15.75" customHeight="1" x14ac:dyDescent="0.15">
      <c r="A3553" s="12" t="s">
        <v>7086</v>
      </c>
      <c r="B3553" s="13"/>
      <c r="C3553" t="e">
        <f t="shared" si="0"/>
        <v>#N/A</v>
      </c>
      <c r="D3553" t="b">
        <f t="shared" si="1"/>
        <v>0</v>
      </c>
      <c r="E3553">
        <f t="shared" si="2"/>
        <v>0</v>
      </c>
      <c r="F3553" s="13"/>
    </row>
    <row r="3554" spans="1:6" ht="15.75" customHeight="1" x14ac:dyDescent="0.15">
      <c r="A3554" s="12" t="s">
        <v>7087</v>
      </c>
      <c r="B3554" s="13"/>
      <c r="C3554" t="e">
        <f t="shared" si="0"/>
        <v>#N/A</v>
      </c>
      <c r="D3554" t="b">
        <f t="shared" si="1"/>
        <v>0</v>
      </c>
      <c r="E3554">
        <f t="shared" si="2"/>
        <v>0</v>
      </c>
      <c r="F3554" s="13"/>
    </row>
    <row r="3555" spans="1:6" ht="15.75" customHeight="1" x14ac:dyDescent="0.15">
      <c r="A3555" s="12" t="s">
        <v>7088</v>
      </c>
      <c r="B3555" s="13"/>
      <c r="C3555" t="e">
        <f t="shared" si="0"/>
        <v>#N/A</v>
      </c>
      <c r="D3555" t="b">
        <f t="shared" si="1"/>
        <v>0</v>
      </c>
      <c r="E3555">
        <f t="shared" si="2"/>
        <v>0</v>
      </c>
      <c r="F3555" s="13"/>
    </row>
    <row r="3556" spans="1:6" ht="15.75" customHeight="1" x14ac:dyDescent="0.15">
      <c r="A3556" s="12" t="s">
        <v>7089</v>
      </c>
      <c r="B3556" s="13"/>
      <c r="C3556" t="e">
        <f t="shared" si="0"/>
        <v>#N/A</v>
      </c>
      <c r="D3556" t="b">
        <f t="shared" si="1"/>
        <v>0</v>
      </c>
      <c r="E3556">
        <f t="shared" si="2"/>
        <v>0</v>
      </c>
      <c r="F3556" s="13"/>
    </row>
    <row r="3557" spans="1:6" ht="15.75" customHeight="1" x14ac:dyDescent="0.15">
      <c r="A3557" s="12" t="s">
        <v>7090</v>
      </c>
      <c r="B3557" s="13"/>
      <c r="C3557" t="e">
        <f t="shared" si="0"/>
        <v>#N/A</v>
      </c>
      <c r="D3557" t="b">
        <f t="shared" si="1"/>
        <v>0</v>
      </c>
      <c r="E3557">
        <f t="shared" si="2"/>
        <v>0</v>
      </c>
      <c r="F3557" s="13"/>
    </row>
    <row r="3558" spans="1:6" ht="15.75" customHeight="1" x14ac:dyDescent="0.15">
      <c r="A3558" s="12" t="s">
        <v>7091</v>
      </c>
      <c r="B3558" s="13"/>
      <c r="C3558" t="e">
        <f t="shared" si="0"/>
        <v>#N/A</v>
      </c>
      <c r="D3558" t="b">
        <f t="shared" si="1"/>
        <v>0</v>
      </c>
      <c r="E3558">
        <f t="shared" si="2"/>
        <v>0</v>
      </c>
      <c r="F3558" s="13"/>
    </row>
    <row r="3559" spans="1:6" ht="15.75" customHeight="1" x14ac:dyDescent="0.15">
      <c r="A3559" s="12" t="s">
        <v>7092</v>
      </c>
      <c r="B3559" s="13"/>
      <c r="C3559" t="e">
        <f t="shared" si="0"/>
        <v>#N/A</v>
      </c>
      <c r="D3559" t="b">
        <f t="shared" si="1"/>
        <v>0</v>
      </c>
      <c r="E3559">
        <f t="shared" si="2"/>
        <v>0</v>
      </c>
      <c r="F3559" s="13"/>
    </row>
    <row r="3560" spans="1:6" ht="15.75" customHeight="1" x14ac:dyDescent="0.15">
      <c r="A3560" s="12" t="s">
        <v>7093</v>
      </c>
      <c r="B3560" s="13"/>
      <c r="C3560" t="e">
        <f t="shared" si="0"/>
        <v>#N/A</v>
      </c>
      <c r="D3560" t="b">
        <f t="shared" si="1"/>
        <v>0</v>
      </c>
      <c r="E3560">
        <f t="shared" si="2"/>
        <v>0</v>
      </c>
      <c r="F3560" s="13"/>
    </row>
    <row r="3561" spans="1:6" ht="15.75" customHeight="1" x14ac:dyDescent="0.15">
      <c r="A3561" s="12" t="s">
        <v>7094</v>
      </c>
      <c r="B3561" s="13"/>
      <c r="C3561" t="e">
        <f t="shared" si="0"/>
        <v>#N/A</v>
      </c>
      <c r="D3561" t="b">
        <f t="shared" si="1"/>
        <v>0</v>
      </c>
      <c r="E3561">
        <f t="shared" si="2"/>
        <v>0</v>
      </c>
      <c r="F3561" s="13"/>
    </row>
    <row r="3562" spans="1:6" ht="15.75" customHeight="1" x14ac:dyDescent="0.15">
      <c r="A3562" s="12" t="s">
        <v>7095</v>
      </c>
      <c r="B3562" s="13"/>
      <c r="C3562" t="e">
        <f t="shared" si="0"/>
        <v>#N/A</v>
      </c>
      <c r="D3562" t="b">
        <f t="shared" si="1"/>
        <v>0</v>
      </c>
      <c r="E3562">
        <f t="shared" si="2"/>
        <v>0</v>
      </c>
      <c r="F3562" s="13"/>
    </row>
    <row r="3563" spans="1:6" ht="15.75" customHeight="1" x14ac:dyDescent="0.15">
      <c r="A3563" s="12" t="s">
        <v>7096</v>
      </c>
      <c r="B3563" s="13"/>
      <c r="C3563" t="e">
        <f t="shared" si="0"/>
        <v>#N/A</v>
      </c>
      <c r="D3563" t="b">
        <f t="shared" si="1"/>
        <v>0</v>
      </c>
      <c r="E3563">
        <f t="shared" si="2"/>
        <v>0</v>
      </c>
      <c r="F3563" s="13"/>
    </row>
    <row r="3564" spans="1:6" ht="15.75" customHeight="1" x14ac:dyDescent="0.15">
      <c r="A3564" s="12" t="s">
        <v>7097</v>
      </c>
      <c r="B3564" s="13"/>
      <c r="C3564" t="e">
        <f t="shared" si="0"/>
        <v>#N/A</v>
      </c>
      <c r="D3564" t="b">
        <f t="shared" si="1"/>
        <v>0</v>
      </c>
      <c r="E3564">
        <f t="shared" si="2"/>
        <v>0</v>
      </c>
      <c r="F3564" s="13"/>
    </row>
    <row r="3565" spans="1:6" ht="15.75" customHeight="1" x14ac:dyDescent="0.15">
      <c r="A3565" s="12" t="s">
        <v>7098</v>
      </c>
      <c r="B3565" s="13"/>
      <c r="C3565" t="e">
        <f t="shared" si="0"/>
        <v>#N/A</v>
      </c>
      <c r="D3565" t="b">
        <f t="shared" si="1"/>
        <v>0</v>
      </c>
      <c r="E3565">
        <f t="shared" si="2"/>
        <v>0</v>
      </c>
      <c r="F3565" s="13"/>
    </row>
    <row r="3566" spans="1:6" ht="15.75" customHeight="1" x14ac:dyDescent="0.15">
      <c r="A3566" s="12" t="s">
        <v>7099</v>
      </c>
      <c r="B3566" s="13"/>
      <c r="C3566" t="e">
        <f t="shared" si="0"/>
        <v>#N/A</v>
      </c>
      <c r="D3566" t="b">
        <f t="shared" si="1"/>
        <v>0</v>
      </c>
      <c r="E3566">
        <f t="shared" si="2"/>
        <v>0</v>
      </c>
      <c r="F3566" s="13"/>
    </row>
    <row r="3567" spans="1:6" ht="15.75" customHeight="1" x14ac:dyDescent="0.15">
      <c r="A3567" s="12" t="s">
        <v>7100</v>
      </c>
      <c r="B3567" s="13"/>
      <c r="C3567" t="e">
        <f t="shared" si="0"/>
        <v>#N/A</v>
      </c>
      <c r="D3567" t="b">
        <f t="shared" si="1"/>
        <v>0</v>
      </c>
      <c r="E3567">
        <f t="shared" si="2"/>
        <v>0</v>
      </c>
      <c r="F3567" s="13"/>
    </row>
    <row r="3568" spans="1:6" ht="15.75" customHeight="1" x14ac:dyDescent="0.15">
      <c r="A3568" s="12" t="s">
        <v>7100</v>
      </c>
      <c r="B3568" s="13"/>
      <c r="C3568" t="e">
        <f t="shared" si="0"/>
        <v>#N/A</v>
      </c>
      <c r="D3568" t="b">
        <f t="shared" si="1"/>
        <v>0</v>
      </c>
      <c r="E3568">
        <f t="shared" si="2"/>
        <v>0</v>
      </c>
      <c r="F3568" s="13"/>
    </row>
    <row r="3569" spans="1:6" ht="15.75" customHeight="1" x14ac:dyDescent="0.15">
      <c r="A3569" s="12" t="s">
        <v>7100</v>
      </c>
      <c r="B3569" s="13"/>
      <c r="C3569" t="e">
        <f t="shared" si="0"/>
        <v>#N/A</v>
      </c>
      <c r="D3569" t="b">
        <f t="shared" si="1"/>
        <v>0</v>
      </c>
      <c r="E3569">
        <f t="shared" si="2"/>
        <v>0</v>
      </c>
      <c r="F3569" s="13"/>
    </row>
    <row r="3570" spans="1:6" ht="15.75" customHeight="1" x14ac:dyDescent="0.15">
      <c r="A3570" s="12" t="s">
        <v>7101</v>
      </c>
      <c r="B3570" s="13"/>
      <c r="C3570" t="e">
        <f t="shared" si="0"/>
        <v>#N/A</v>
      </c>
      <c r="D3570" t="b">
        <f t="shared" si="1"/>
        <v>0</v>
      </c>
      <c r="E3570">
        <f t="shared" si="2"/>
        <v>0</v>
      </c>
      <c r="F3570" s="13"/>
    </row>
    <row r="3571" spans="1:6" ht="15.75" customHeight="1" x14ac:dyDescent="0.15">
      <c r="A3571" s="12" t="s">
        <v>7102</v>
      </c>
      <c r="B3571" s="13"/>
      <c r="C3571" t="e">
        <f t="shared" si="0"/>
        <v>#N/A</v>
      </c>
      <c r="D3571" t="b">
        <f t="shared" si="1"/>
        <v>0</v>
      </c>
      <c r="E3571">
        <f t="shared" si="2"/>
        <v>0</v>
      </c>
      <c r="F3571" s="13"/>
    </row>
    <row r="3572" spans="1:6" ht="15.75" customHeight="1" x14ac:dyDescent="0.15">
      <c r="A3572" s="12" t="e">
        <v>#VALUE!</v>
      </c>
      <c r="B3572" s="13"/>
      <c r="F3572" s="13"/>
    </row>
    <row r="3573" spans="1:6" ht="15.75" customHeight="1" x14ac:dyDescent="0.15">
      <c r="A3573" s="12" t="e">
        <v>#VALUE!</v>
      </c>
      <c r="B3573" s="13"/>
      <c r="F3573" s="13"/>
    </row>
    <row r="3574" spans="1:6" ht="15.75" customHeight="1" x14ac:dyDescent="0.15">
      <c r="A3574" s="12" t="e">
        <v>#VALUE!</v>
      </c>
      <c r="B3574" s="13"/>
      <c r="F3574" s="13"/>
    </row>
    <row r="3575" spans="1:6" ht="15.75" customHeight="1" x14ac:dyDescent="0.15">
      <c r="A3575" s="12" t="e">
        <v>#VALUE!</v>
      </c>
      <c r="B3575" s="13"/>
      <c r="F3575" s="13"/>
    </row>
    <row r="3576" spans="1:6" ht="15.75" customHeight="1" x14ac:dyDescent="0.15">
      <c r="A3576" s="12" t="e">
        <v>#VALUE!</v>
      </c>
      <c r="B3576" s="13"/>
      <c r="F3576" s="13"/>
    </row>
    <row r="3577" spans="1:6" ht="15.75" customHeight="1" x14ac:dyDescent="0.15">
      <c r="A3577" s="12" t="e">
        <v>#VALUE!</v>
      </c>
      <c r="B3577" s="13"/>
      <c r="F3577" s="13"/>
    </row>
    <row r="3578" spans="1:6" ht="15.75" customHeight="1" x14ac:dyDescent="0.15">
      <c r="A3578" s="12" t="e">
        <v>#VALUE!</v>
      </c>
      <c r="B3578" s="13"/>
      <c r="F3578" s="13"/>
    </row>
    <row r="3579" spans="1:6" ht="15.75" customHeight="1" x14ac:dyDescent="0.15">
      <c r="A3579" s="12" t="e">
        <v>#VALUE!</v>
      </c>
      <c r="B3579" s="13"/>
      <c r="F3579" s="13"/>
    </row>
    <row r="3580" spans="1:6" ht="15.75" customHeight="1" x14ac:dyDescent="0.15">
      <c r="A3580" s="12" t="e">
        <v>#VALUE!</v>
      </c>
      <c r="B3580" s="13"/>
      <c r="F3580" s="13"/>
    </row>
    <row r="3581" spans="1:6" ht="15.75" customHeight="1" x14ac:dyDescent="0.15">
      <c r="A3581" s="12" t="e">
        <v>#VALUE!</v>
      </c>
      <c r="B3581" s="13"/>
      <c r="F3581" s="13"/>
    </row>
    <row r="3582" spans="1:6" ht="15.75" customHeight="1" x14ac:dyDescent="0.15">
      <c r="A3582" s="12" t="e">
        <v>#VALUE!</v>
      </c>
      <c r="B3582" s="13"/>
      <c r="F3582" s="13"/>
    </row>
    <row r="3583" spans="1:6" ht="15.75" customHeight="1" x14ac:dyDescent="0.15">
      <c r="A3583" s="12" t="e">
        <v>#VALUE!</v>
      </c>
      <c r="B3583" s="13"/>
      <c r="F3583" s="13"/>
    </row>
    <row r="3584" spans="1:6" ht="15.75" customHeight="1" x14ac:dyDescent="0.15">
      <c r="A3584" s="12" t="e">
        <v>#VALUE!</v>
      </c>
      <c r="B3584" s="13"/>
      <c r="F3584" s="13"/>
    </row>
    <row r="3585" spans="1:6" ht="15.75" customHeight="1" x14ac:dyDescent="0.15">
      <c r="A3585" s="12" t="e">
        <v>#VALUE!</v>
      </c>
      <c r="B3585" s="13"/>
      <c r="F3585" s="13"/>
    </row>
    <row r="3586" spans="1:6" ht="15.75" customHeight="1" x14ac:dyDescent="0.15">
      <c r="A3586" s="12" t="e">
        <v>#VALUE!</v>
      </c>
      <c r="B3586" s="13"/>
      <c r="F3586" s="13"/>
    </row>
    <row r="3587" spans="1:6" ht="15.75" customHeight="1" x14ac:dyDescent="0.15">
      <c r="A3587" s="12" t="e">
        <v>#VALUE!</v>
      </c>
      <c r="B3587" s="13"/>
      <c r="F3587" s="13"/>
    </row>
    <row r="3588" spans="1:6" ht="15.75" customHeight="1" x14ac:dyDescent="0.15">
      <c r="A3588" s="12" t="e">
        <v>#VALUE!</v>
      </c>
      <c r="B3588" s="13"/>
      <c r="F3588" s="13"/>
    </row>
    <row r="3589" spans="1:6" ht="15.75" customHeight="1" x14ac:dyDescent="0.15">
      <c r="A3589" s="12" t="e">
        <v>#VALUE!</v>
      </c>
      <c r="B3589" s="13"/>
      <c r="F3589" s="13"/>
    </row>
    <row r="3590" spans="1:6" ht="15.75" customHeight="1" x14ac:dyDescent="0.15">
      <c r="A3590" s="12" t="e">
        <v>#VALUE!</v>
      </c>
      <c r="B3590" s="13"/>
      <c r="F3590" s="13"/>
    </row>
    <row r="3591" spans="1:6" ht="15.75" customHeight="1" x14ac:dyDescent="0.15">
      <c r="A3591" s="12" t="e">
        <v>#VALUE!</v>
      </c>
      <c r="B3591" s="13"/>
      <c r="F3591" s="13"/>
    </row>
    <row r="3592" spans="1:6" ht="15.75" customHeight="1" x14ac:dyDescent="0.15">
      <c r="A3592" s="12" t="e">
        <v>#VALUE!</v>
      </c>
      <c r="B3592" s="13"/>
      <c r="F3592" s="13"/>
    </row>
    <row r="3593" spans="1:6" ht="15.75" customHeight="1" x14ac:dyDescent="0.15">
      <c r="A3593" s="12" t="e">
        <v>#VALUE!</v>
      </c>
      <c r="B3593" s="13"/>
      <c r="F3593" s="13"/>
    </row>
    <row r="3594" spans="1:6" ht="15.75" customHeight="1" x14ac:dyDescent="0.15">
      <c r="A3594" s="12" t="e">
        <v>#VALUE!</v>
      </c>
      <c r="B3594" s="13"/>
      <c r="F3594" s="13"/>
    </row>
    <row r="3595" spans="1:6" ht="15.75" customHeight="1" x14ac:dyDescent="0.15">
      <c r="A3595" s="12" t="e">
        <v>#VALUE!</v>
      </c>
      <c r="B3595" s="13"/>
      <c r="F3595" s="13"/>
    </row>
    <row r="3596" spans="1:6" ht="15.75" customHeight="1" x14ac:dyDescent="0.15">
      <c r="A3596" s="12" t="e">
        <v>#VALUE!</v>
      </c>
      <c r="B3596" s="13"/>
      <c r="F3596" s="13"/>
    </row>
    <row r="3597" spans="1:6" ht="15.75" customHeight="1" x14ac:dyDescent="0.15">
      <c r="A3597" s="12" t="e">
        <v>#VALUE!</v>
      </c>
      <c r="B3597" s="13"/>
      <c r="F3597" s="13"/>
    </row>
    <row r="3598" spans="1:6" ht="15.75" customHeight="1" x14ac:dyDescent="0.15">
      <c r="A3598" s="12" t="e">
        <v>#VALUE!</v>
      </c>
      <c r="B3598" s="13"/>
      <c r="F3598" s="13"/>
    </row>
    <row r="3599" spans="1:6" ht="15.75" customHeight="1" x14ac:dyDescent="0.15">
      <c r="A3599" s="12" t="e">
        <v>#VALUE!</v>
      </c>
      <c r="B3599" s="13"/>
      <c r="F3599" s="13"/>
    </row>
    <row r="3600" spans="1:6" ht="15.75" customHeight="1" x14ac:dyDescent="0.15">
      <c r="A3600" s="12" t="e">
        <v>#VALUE!</v>
      </c>
      <c r="B3600" s="13"/>
      <c r="F3600" s="13"/>
    </row>
    <row r="3601" spans="1:6" ht="15.75" customHeight="1" x14ac:dyDescent="0.15">
      <c r="A3601" s="12" t="e">
        <v>#VALUE!</v>
      </c>
      <c r="B3601" s="13"/>
      <c r="F3601" s="13"/>
    </row>
    <row r="3602" spans="1:6" ht="15.75" customHeight="1" x14ac:dyDescent="0.15">
      <c r="A3602" s="12" t="e">
        <v>#VALUE!</v>
      </c>
      <c r="B3602" s="13"/>
      <c r="F3602" s="13"/>
    </row>
    <row r="3603" spans="1:6" ht="15.75" customHeight="1" x14ac:dyDescent="0.15">
      <c r="A3603" s="12" t="e">
        <v>#VALUE!</v>
      </c>
      <c r="B3603" s="13"/>
      <c r="F3603" s="13"/>
    </row>
    <row r="3604" spans="1:6" ht="15.75" customHeight="1" x14ac:dyDescent="0.15">
      <c r="A3604" s="12" t="e">
        <v>#VALUE!</v>
      </c>
      <c r="B3604" s="13"/>
      <c r="F3604" s="13"/>
    </row>
    <row r="3605" spans="1:6" ht="15.75" customHeight="1" x14ac:dyDescent="0.15">
      <c r="A3605" s="12" t="e">
        <v>#VALUE!</v>
      </c>
      <c r="B3605" s="13"/>
      <c r="F3605" s="13"/>
    </row>
    <row r="3606" spans="1:6" ht="15.75" customHeight="1" x14ac:dyDescent="0.15">
      <c r="A3606" s="12" t="e">
        <v>#VALUE!</v>
      </c>
      <c r="B3606" s="13"/>
      <c r="F3606" s="13"/>
    </row>
    <row r="3607" spans="1:6" ht="15.75" customHeight="1" x14ac:dyDescent="0.15">
      <c r="A3607" s="12" t="e">
        <v>#VALUE!</v>
      </c>
      <c r="B3607" s="13"/>
      <c r="F3607" s="13"/>
    </row>
    <row r="3608" spans="1:6" ht="15.75" customHeight="1" x14ac:dyDescent="0.15">
      <c r="A3608" s="12" t="e">
        <v>#VALUE!</v>
      </c>
      <c r="B3608" s="13"/>
      <c r="F3608" s="13"/>
    </row>
    <row r="3609" spans="1:6" ht="15.75" customHeight="1" x14ac:dyDescent="0.15">
      <c r="A3609" s="12" t="e">
        <v>#VALUE!</v>
      </c>
      <c r="B3609" s="13"/>
      <c r="F3609" s="13"/>
    </row>
    <row r="3610" spans="1:6" ht="15.75" customHeight="1" x14ac:dyDescent="0.15">
      <c r="A3610" s="12" t="e">
        <v>#VALUE!</v>
      </c>
      <c r="B3610" s="13"/>
      <c r="F3610" s="13"/>
    </row>
    <row r="3611" spans="1:6" ht="15.75" customHeight="1" x14ac:dyDescent="0.15">
      <c r="A3611" s="12" t="e">
        <v>#VALUE!</v>
      </c>
      <c r="B3611" s="13"/>
      <c r="F3611" s="13"/>
    </row>
    <row r="3612" spans="1:6" ht="15.75" customHeight="1" x14ac:dyDescent="0.15">
      <c r="A3612" s="12" t="e">
        <v>#VALUE!</v>
      </c>
      <c r="B3612" s="13"/>
      <c r="F3612" s="13"/>
    </row>
    <row r="3613" spans="1:6" ht="15.75" customHeight="1" x14ac:dyDescent="0.15">
      <c r="A3613" s="12" t="e">
        <v>#VALUE!</v>
      </c>
      <c r="B3613" s="13"/>
      <c r="F3613" s="13"/>
    </row>
    <row r="3614" spans="1:6" ht="15.75" customHeight="1" x14ac:dyDescent="0.15">
      <c r="A3614" s="12" t="e">
        <v>#VALUE!</v>
      </c>
      <c r="B3614" s="13"/>
      <c r="F3614" s="13"/>
    </row>
    <row r="3615" spans="1:6" ht="15.75" customHeight="1" x14ac:dyDescent="0.15">
      <c r="A3615" s="12" t="e">
        <v>#VALUE!</v>
      </c>
      <c r="B3615" s="13"/>
      <c r="F3615" s="13"/>
    </row>
    <row r="3616" spans="1:6" ht="15.75" customHeight="1" x14ac:dyDescent="0.15">
      <c r="A3616" s="12" t="e">
        <v>#VALUE!</v>
      </c>
      <c r="B3616" s="13"/>
      <c r="F3616" s="13"/>
    </row>
    <row r="3617" spans="1:6" ht="15.75" customHeight="1" x14ac:dyDescent="0.15">
      <c r="A3617" s="12" t="e">
        <v>#VALUE!</v>
      </c>
      <c r="B3617" s="13"/>
      <c r="F3617" s="13"/>
    </row>
    <row r="3618" spans="1:6" ht="15.75" customHeight="1" x14ac:dyDescent="0.15">
      <c r="A3618" s="12" t="e">
        <v>#VALUE!</v>
      </c>
      <c r="B3618" s="13"/>
      <c r="F3618" s="13"/>
    </row>
    <row r="3619" spans="1:6" ht="15.75" customHeight="1" x14ac:dyDescent="0.15">
      <c r="A3619" s="12" t="e">
        <v>#VALUE!</v>
      </c>
      <c r="B3619" s="13"/>
      <c r="F3619" s="13"/>
    </row>
    <row r="3620" spans="1:6" ht="15.75" customHeight="1" x14ac:dyDescent="0.15">
      <c r="A3620" s="12" t="e">
        <v>#VALUE!</v>
      </c>
      <c r="B3620" s="13"/>
      <c r="F3620" s="13"/>
    </row>
    <row r="3621" spans="1:6" ht="15.75" customHeight="1" x14ac:dyDescent="0.15">
      <c r="A3621" s="12" t="e">
        <v>#VALUE!</v>
      </c>
      <c r="B3621" s="13"/>
      <c r="F3621" s="13"/>
    </row>
    <row r="3622" spans="1:6" ht="15.75" customHeight="1" x14ac:dyDescent="0.15">
      <c r="A3622" s="12" t="e">
        <v>#VALUE!</v>
      </c>
      <c r="B3622" s="13"/>
      <c r="F3622" s="13"/>
    </row>
    <row r="3623" spans="1:6" ht="15.75" customHeight="1" x14ac:dyDescent="0.15">
      <c r="A3623" s="12" t="e">
        <v>#VALUE!</v>
      </c>
      <c r="B3623" s="13"/>
      <c r="F3623" s="13"/>
    </row>
    <row r="3624" spans="1:6" ht="15.75" customHeight="1" x14ac:dyDescent="0.15">
      <c r="A3624" s="12" t="e">
        <v>#VALUE!</v>
      </c>
      <c r="B3624" s="13"/>
      <c r="F3624" s="13"/>
    </row>
    <row r="3625" spans="1:6" ht="15.75" customHeight="1" x14ac:dyDescent="0.15">
      <c r="A3625" s="12" t="e">
        <v>#VALUE!</v>
      </c>
      <c r="B3625" s="13"/>
      <c r="F3625" s="13"/>
    </row>
    <row r="3626" spans="1:6" ht="15.75" customHeight="1" x14ac:dyDescent="0.15">
      <c r="A3626" s="12" t="e">
        <v>#VALUE!</v>
      </c>
      <c r="B3626" s="13"/>
      <c r="F3626" s="13"/>
    </row>
    <row r="3627" spans="1:6" ht="15.75" customHeight="1" x14ac:dyDescent="0.15">
      <c r="A3627" s="12" t="e">
        <v>#VALUE!</v>
      </c>
      <c r="B3627" s="13"/>
      <c r="F3627" s="13"/>
    </row>
    <row r="3628" spans="1:6" ht="15.75" customHeight="1" x14ac:dyDescent="0.15">
      <c r="A3628" s="12" t="e">
        <v>#VALUE!</v>
      </c>
      <c r="B3628" s="13"/>
      <c r="F3628" s="13"/>
    </row>
    <row r="3629" spans="1:6" ht="15.75" customHeight="1" x14ac:dyDescent="0.15">
      <c r="A3629" s="12" t="e">
        <v>#VALUE!</v>
      </c>
      <c r="B3629" s="13"/>
      <c r="F3629" s="13"/>
    </row>
    <row r="3630" spans="1:6" ht="15.75" customHeight="1" x14ac:dyDescent="0.15">
      <c r="A3630" s="12" t="e">
        <v>#VALUE!</v>
      </c>
      <c r="B3630" s="13"/>
      <c r="F3630" s="13"/>
    </row>
    <row r="3631" spans="1:6" ht="15.75" customHeight="1" x14ac:dyDescent="0.15">
      <c r="A3631" s="12" t="e">
        <v>#VALUE!</v>
      </c>
      <c r="B3631" s="13"/>
      <c r="F3631" s="13"/>
    </row>
    <row r="3632" spans="1:6" ht="15.75" customHeight="1" x14ac:dyDescent="0.15">
      <c r="A3632" s="12" t="e">
        <v>#VALUE!</v>
      </c>
      <c r="B3632" s="13"/>
      <c r="F3632" s="13"/>
    </row>
    <row r="3633" spans="1:6" ht="15.75" customHeight="1" x14ac:dyDescent="0.15">
      <c r="A3633" s="12" t="e">
        <v>#VALUE!</v>
      </c>
      <c r="B3633" s="13"/>
      <c r="F3633" s="13"/>
    </row>
    <row r="3634" spans="1:6" ht="15.75" customHeight="1" x14ac:dyDescent="0.15">
      <c r="A3634" s="12" t="e">
        <v>#VALUE!</v>
      </c>
      <c r="B3634" s="13"/>
      <c r="F3634" s="13"/>
    </row>
    <row r="3635" spans="1:6" ht="15.75" customHeight="1" x14ac:dyDescent="0.15">
      <c r="A3635" s="12" t="e">
        <v>#VALUE!</v>
      </c>
      <c r="B3635" s="13"/>
      <c r="F3635" s="13"/>
    </row>
    <row r="3636" spans="1:6" ht="15.75" customHeight="1" x14ac:dyDescent="0.15">
      <c r="A3636" s="12" t="e">
        <v>#VALUE!</v>
      </c>
      <c r="B3636" s="13"/>
      <c r="F3636" s="13"/>
    </row>
    <row r="3637" spans="1:6" ht="15.75" customHeight="1" x14ac:dyDescent="0.15">
      <c r="A3637" s="12" t="e">
        <v>#VALUE!</v>
      </c>
      <c r="B3637" s="13"/>
      <c r="F3637" s="13"/>
    </row>
    <row r="3638" spans="1:6" ht="15.75" customHeight="1" x14ac:dyDescent="0.15">
      <c r="A3638" s="12" t="e">
        <v>#VALUE!</v>
      </c>
      <c r="B3638" s="13"/>
      <c r="F3638" s="13"/>
    </row>
    <row r="3639" spans="1:6" ht="15.75" customHeight="1" x14ac:dyDescent="0.15">
      <c r="A3639" s="12" t="e">
        <v>#VALUE!</v>
      </c>
      <c r="B3639" s="13"/>
      <c r="F3639" s="13"/>
    </row>
    <row r="3640" spans="1:6" ht="15.75" customHeight="1" x14ac:dyDescent="0.15">
      <c r="A3640" s="12" t="e">
        <v>#VALUE!</v>
      </c>
      <c r="B3640" s="13"/>
      <c r="F3640" s="13"/>
    </row>
    <row r="3641" spans="1:6" ht="15.75" customHeight="1" x14ac:dyDescent="0.15">
      <c r="A3641" s="12" t="e">
        <v>#VALUE!</v>
      </c>
      <c r="B3641" s="13"/>
      <c r="F3641" s="13"/>
    </row>
    <row r="3642" spans="1:6" ht="15.75" customHeight="1" x14ac:dyDescent="0.15">
      <c r="A3642" s="12" t="e">
        <v>#VALUE!</v>
      </c>
      <c r="B3642" s="13"/>
      <c r="F3642" s="13"/>
    </row>
    <row r="3643" spans="1:6" ht="15.75" customHeight="1" x14ac:dyDescent="0.15">
      <c r="A3643" s="12" t="e">
        <v>#VALUE!</v>
      </c>
      <c r="B3643" s="13"/>
      <c r="F3643" s="13"/>
    </row>
    <row r="3644" spans="1:6" ht="15.75" customHeight="1" x14ac:dyDescent="0.15">
      <c r="A3644" s="12" t="e">
        <v>#VALUE!</v>
      </c>
      <c r="B3644" s="13"/>
      <c r="F3644" s="13"/>
    </row>
    <row r="3645" spans="1:6" ht="15.75" customHeight="1" x14ac:dyDescent="0.15">
      <c r="A3645" s="12" t="e">
        <v>#VALUE!</v>
      </c>
      <c r="B3645" s="13"/>
      <c r="F3645" s="13"/>
    </row>
    <row r="3646" spans="1:6" ht="15.75" customHeight="1" x14ac:dyDescent="0.15">
      <c r="A3646" s="12" t="e">
        <v>#VALUE!</v>
      </c>
      <c r="B3646" s="13"/>
      <c r="F3646" s="13"/>
    </row>
    <row r="3647" spans="1:6" ht="15.75" customHeight="1" x14ac:dyDescent="0.15">
      <c r="A3647" s="12" t="e">
        <v>#VALUE!</v>
      </c>
      <c r="B3647" s="13"/>
      <c r="F3647" s="13"/>
    </row>
    <row r="3648" spans="1:6" ht="15.75" customHeight="1" x14ac:dyDescent="0.15">
      <c r="A3648" s="12" t="e">
        <v>#VALUE!</v>
      </c>
      <c r="B3648" s="13"/>
      <c r="F3648" s="13"/>
    </row>
    <row r="3649" spans="1:6" ht="15.75" customHeight="1" x14ac:dyDescent="0.15">
      <c r="A3649" s="12" t="e">
        <v>#VALUE!</v>
      </c>
      <c r="B3649" s="13"/>
      <c r="F3649" s="13"/>
    </row>
    <row r="3650" spans="1:6" ht="15.75" customHeight="1" x14ac:dyDescent="0.15">
      <c r="A3650" s="12" t="e">
        <v>#VALUE!</v>
      </c>
      <c r="B3650" s="13"/>
      <c r="F3650" s="13"/>
    </row>
    <row r="3651" spans="1:6" ht="15.75" customHeight="1" x14ac:dyDescent="0.15">
      <c r="A3651" s="12" t="e">
        <v>#VALUE!</v>
      </c>
      <c r="B3651" s="13"/>
      <c r="F3651" s="13"/>
    </row>
    <row r="3652" spans="1:6" ht="15.75" customHeight="1" x14ac:dyDescent="0.15">
      <c r="A3652" s="12" t="e">
        <v>#VALUE!</v>
      </c>
      <c r="B3652" s="13"/>
      <c r="F3652" s="13"/>
    </row>
    <row r="3653" spans="1:6" ht="15.75" customHeight="1" x14ac:dyDescent="0.15">
      <c r="A3653" s="12" t="e">
        <v>#VALUE!</v>
      </c>
      <c r="B3653" s="13"/>
      <c r="F3653" s="13"/>
    </row>
    <row r="3654" spans="1:6" ht="15.75" customHeight="1" x14ac:dyDescent="0.15">
      <c r="A3654" s="12" t="e">
        <v>#VALUE!</v>
      </c>
      <c r="B3654" s="13"/>
      <c r="F3654" s="13"/>
    </row>
    <row r="3655" spans="1:6" ht="15.75" customHeight="1" x14ac:dyDescent="0.15">
      <c r="A3655" s="12" t="e">
        <v>#VALUE!</v>
      </c>
      <c r="B3655" s="13"/>
      <c r="F3655" s="13"/>
    </row>
    <row r="3656" spans="1:6" ht="15.75" customHeight="1" x14ac:dyDescent="0.15">
      <c r="A3656" s="12" t="e">
        <v>#VALUE!</v>
      </c>
      <c r="B3656" s="13"/>
      <c r="F3656" s="13"/>
    </row>
    <row r="3657" spans="1:6" ht="15.75" customHeight="1" x14ac:dyDescent="0.15">
      <c r="A3657" s="12" t="e">
        <v>#VALUE!</v>
      </c>
      <c r="B3657" s="13"/>
      <c r="F3657" s="13"/>
    </row>
    <row r="3658" spans="1:6" ht="15.75" customHeight="1" x14ac:dyDescent="0.15">
      <c r="A3658" s="12" t="e">
        <v>#VALUE!</v>
      </c>
      <c r="B3658" s="13"/>
      <c r="F3658" s="13"/>
    </row>
    <row r="3659" spans="1:6" ht="15.75" customHeight="1" x14ac:dyDescent="0.15">
      <c r="A3659" s="12" t="e">
        <v>#VALUE!</v>
      </c>
      <c r="B3659" s="13"/>
      <c r="F3659" s="13"/>
    </row>
    <row r="3660" spans="1:6" ht="15.75" customHeight="1" x14ac:dyDescent="0.15">
      <c r="A3660" s="12" t="e">
        <v>#VALUE!</v>
      </c>
      <c r="B3660" s="13"/>
      <c r="F3660" s="13"/>
    </row>
    <row r="3661" spans="1:6" ht="15.75" customHeight="1" x14ac:dyDescent="0.15">
      <c r="A3661" s="12" t="e">
        <v>#VALUE!</v>
      </c>
      <c r="B3661" s="13"/>
      <c r="F3661" s="13"/>
    </row>
    <row r="3662" spans="1:6" ht="15.75" customHeight="1" x14ac:dyDescent="0.15">
      <c r="A3662" s="12" t="e">
        <v>#VALUE!</v>
      </c>
      <c r="B3662" s="13"/>
      <c r="F3662" s="13"/>
    </row>
    <row r="3663" spans="1:6" ht="15.75" customHeight="1" x14ac:dyDescent="0.15">
      <c r="A3663" s="12" t="e">
        <v>#VALUE!</v>
      </c>
      <c r="B3663" s="13"/>
      <c r="F3663" s="13"/>
    </row>
    <row r="3664" spans="1:6" ht="15.75" customHeight="1" x14ac:dyDescent="0.15">
      <c r="A3664" s="12" t="e">
        <v>#VALUE!</v>
      </c>
      <c r="B3664" s="13"/>
      <c r="F3664" s="13"/>
    </row>
    <row r="3665" spans="1:6" ht="15.75" customHeight="1" x14ac:dyDescent="0.15">
      <c r="A3665" s="12" t="e">
        <v>#VALUE!</v>
      </c>
      <c r="B3665" s="13"/>
      <c r="F3665" s="13"/>
    </row>
    <row r="3666" spans="1:6" ht="15.75" customHeight="1" x14ac:dyDescent="0.15">
      <c r="A3666" s="12" t="e">
        <v>#VALUE!</v>
      </c>
      <c r="B3666" s="13"/>
      <c r="F3666" s="13"/>
    </row>
    <row r="3667" spans="1:6" ht="15.75" customHeight="1" x14ac:dyDescent="0.15">
      <c r="A3667" s="12" t="e">
        <v>#VALUE!</v>
      </c>
      <c r="B3667" s="13"/>
      <c r="F3667" s="13"/>
    </row>
    <row r="3668" spans="1:6" ht="15.75" customHeight="1" x14ac:dyDescent="0.15">
      <c r="A3668" s="12" t="e">
        <v>#VALUE!</v>
      </c>
      <c r="B3668" s="13"/>
      <c r="F3668" s="13"/>
    </row>
    <row r="3669" spans="1:6" ht="15.75" customHeight="1" x14ac:dyDescent="0.15">
      <c r="A3669" s="12" t="e">
        <v>#VALUE!</v>
      </c>
      <c r="B3669" s="13"/>
      <c r="F3669" s="13"/>
    </row>
    <row r="3670" spans="1:6" ht="15.75" customHeight="1" x14ac:dyDescent="0.15">
      <c r="A3670" s="12" t="e">
        <v>#VALUE!</v>
      </c>
      <c r="B3670" s="13"/>
      <c r="F3670" s="13"/>
    </row>
    <row r="3671" spans="1:6" ht="15.75" customHeight="1" x14ac:dyDescent="0.15">
      <c r="A3671" s="12" t="e">
        <v>#VALUE!</v>
      </c>
      <c r="B3671" s="13"/>
      <c r="F3671" s="13"/>
    </row>
    <row r="3672" spans="1:6" ht="15.75" customHeight="1" x14ac:dyDescent="0.15">
      <c r="A3672" s="12" t="e">
        <v>#VALUE!</v>
      </c>
      <c r="B3672" s="13"/>
      <c r="F3672" s="13"/>
    </row>
    <row r="3673" spans="1:6" ht="15.75" customHeight="1" x14ac:dyDescent="0.15">
      <c r="A3673" s="12" t="e">
        <v>#VALUE!</v>
      </c>
      <c r="B3673" s="13"/>
      <c r="F3673" s="13"/>
    </row>
    <row r="3674" spans="1:6" ht="15.75" customHeight="1" x14ac:dyDescent="0.15">
      <c r="A3674" s="12" t="e">
        <v>#VALUE!</v>
      </c>
      <c r="B3674" s="13"/>
      <c r="F3674" s="13"/>
    </row>
    <row r="3675" spans="1:6" ht="15.75" customHeight="1" x14ac:dyDescent="0.15">
      <c r="A3675" s="12" t="e">
        <v>#VALUE!</v>
      </c>
      <c r="B3675" s="13"/>
      <c r="F3675" s="13"/>
    </row>
    <row r="3676" spans="1:6" ht="15.75" customHeight="1" x14ac:dyDescent="0.15">
      <c r="A3676" s="12" t="e">
        <v>#VALUE!</v>
      </c>
      <c r="B3676" s="13"/>
      <c r="F3676" s="13"/>
    </row>
    <row r="3677" spans="1:6" ht="15.75" customHeight="1" x14ac:dyDescent="0.15">
      <c r="A3677" s="12" t="e">
        <v>#VALUE!</v>
      </c>
      <c r="B3677" s="13"/>
      <c r="F3677" s="13"/>
    </row>
    <row r="3678" spans="1:6" ht="15.75" customHeight="1" x14ac:dyDescent="0.15">
      <c r="A3678" s="12" t="e">
        <v>#VALUE!</v>
      </c>
      <c r="B3678" s="13"/>
      <c r="C3678" t="e">
        <f t="shared" ref="C3678:C4033" si="3">MATCH(A3678,$F$2:$F$3600, 0)</f>
        <v>#VALUE!</v>
      </c>
      <c r="F3678" s="13"/>
    </row>
    <row r="3679" spans="1:6" ht="15.75" customHeight="1" x14ac:dyDescent="0.15">
      <c r="A3679" s="12" t="e">
        <v>#VALUE!</v>
      </c>
      <c r="B3679" s="13"/>
      <c r="C3679" t="e">
        <f t="shared" si="3"/>
        <v>#VALUE!</v>
      </c>
      <c r="F3679" s="13"/>
    </row>
    <row r="3680" spans="1:6" ht="15.75" customHeight="1" x14ac:dyDescent="0.15">
      <c r="A3680" s="12" t="e">
        <v>#VALUE!</v>
      </c>
      <c r="B3680" s="13"/>
      <c r="C3680" t="e">
        <f t="shared" si="3"/>
        <v>#VALUE!</v>
      </c>
      <c r="F3680" s="13"/>
    </row>
    <row r="3681" spans="1:6" ht="15.75" customHeight="1" x14ac:dyDescent="0.15">
      <c r="A3681" s="12" t="e">
        <v>#VALUE!</v>
      </c>
      <c r="B3681" s="13"/>
      <c r="C3681" t="e">
        <f t="shared" si="3"/>
        <v>#VALUE!</v>
      </c>
      <c r="F3681" s="13"/>
    </row>
    <row r="3682" spans="1:6" ht="15.75" customHeight="1" x14ac:dyDescent="0.15">
      <c r="A3682" s="12" t="e">
        <v>#VALUE!</v>
      </c>
      <c r="B3682" s="13"/>
      <c r="C3682" t="e">
        <f t="shared" si="3"/>
        <v>#VALUE!</v>
      </c>
      <c r="F3682" s="13"/>
    </row>
    <row r="3683" spans="1:6" ht="15.75" customHeight="1" x14ac:dyDescent="0.15">
      <c r="A3683" s="12" t="e">
        <v>#VALUE!</v>
      </c>
      <c r="B3683" s="13"/>
      <c r="C3683" t="e">
        <f t="shared" si="3"/>
        <v>#VALUE!</v>
      </c>
      <c r="F3683" s="13"/>
    </row>
    <row r="3684" spans="1:6" ht="15.75" customHeight="1" x14ac:dyDescent="0.15">
      <c r="A3684" s="12" t="e">
        <v>#VALUE!</v>
      </c>
      <c r="B3684" s="13"/>
      <c r="C3684" t="e">
        <f t="shared" si="3"/>
        <v>#VALUE!</v>
      </c>
      <c r="F3684" s="13"/>
    </row>
    <row r="3685" spans="1:6" ht="15.75" customHeight="1" x14ac:dyDescent="0.15">
      <c r="A3685" s="12" t="e">
        <v>#VALUE!</v>
      </c>
      <c r="B3685" s="13"/>
      <c r="C3685" t="e">
        <f t="shared" si="3"/>
        <v>#VALUE!</v>
      </c>
      <c r="F3685" s="13"/>
    </row>
    <row r="3686" spans="1:6" ht="15.75" customHeight="1" x14ac:dyDescent="0.15">
      <c r="A3686" s="12" t="e">
        <v>#VALUE!</v>
      </c>
      <c r="B3686" s="13"/>
      <c r="C3686" t="e">
        <f t="shared" si="3"/>
        <v>#VALUE!</v>
      </c>
      <c r="F3686" s="13"/>
    </row>
    <row r="3687" spans="1:6" ht="15.75" customHeight="1" x14ac:dyDescent="0.15">
      <c r="A3687" s="12" t="e">
        <v>#VALUE!</v>
      </c>
      <c r="B3687" s="13"/>
      <c r="C3687" t="e">
        <f t="shared" si="3"/>
        <v>#VALUE!</v>
      </c>
      <c r="F3687" s="13"/>
    </row>
    <row r="3688" spans="1:6" ht="15.75" customHeight="1" x14ac:dyDescent="0.15">
      <c r="A3688" s="12" t="e">
        <v>#VALUE!</v>
      </c>
      <c r="B3688" s="13"/>
      <c r="C3688" t="e">
        <f t="shared" si="3"/>
        <v>#VALUE!</v>
      </c>
      <c r="F3688" s="13"/>
    </row>
    <row r="3689" spans="1:6" ht="15.75" customHeight="1" x14ac:dyDescent="0.15">
      <c r="A3689" s="12" t="e">
        <v>#VALUE!</v>
      </c>
      <c r="B3689" s="13"/>
      <c r="C3689" t="e">
        <f t="shared" si="3"/>
        <v>#VALUE!</v>
      </c>
      <c r="F3689" s="13"/>
    </row>
    <row r="3690" spans="1:6" ht="15.75" customHeight="1" x14ac:dyDescent="0.15">
      <c r="A3690" s="12" t="e">
        <v>#VALUE!</v>
      </c>
      <c r="B3690" s="13"/>
      <c r="C3690" t="e">
        <f t="shared" si="3"/>
        <v>#VALUE!</v>
      </c>
      <c r="F3690" s="13"/>
    </row>
    <row r="3691" spans="1:6" ht="15.75" customHeight="1" x14ac:dyDescent="0.15">
      <c r="A3691" s="12" t="e">
        <v>#VALUE!</v>
      </c>
      <c r="B3691" s="13"/>
      <c r="C3691" t="e">
        <f t="shared" si="3"/>
        <v>#VALUE!</v>
      </c>
      <c r="F3691" s="13"/>
    </row>
    <row r="3692" spans="1:6" ht="15.75" customHeight="1" x14ac:dyDescent="0.15">
      <c r="A3692" s="12" t="e">
        <v>#VALUE!</v>
      </c>
      <c r="B3692" s="13"/>
      <c r="C3692" t="e">
        <f t="shared" si="3"/>
        <v>#VALUE!</v>
      </c>
      <c r="F3692" s="13"/>
    </row>
    <row r="3693" spans="1:6" ht="15.75" customHeight="1" x14ac:dyDescent="0.15">
      <c r="A3693" s="12" t="e">
        <v>#VALUE!</v>
      </c>
      <c r="B3693" s="13"/>
      <c r="C3693" t="e">
        <f t="shared" si="3"/>
        <v>#VALUE!</v>
      </c>
      <c r="F3693" s="13"/>
    </row>
    <row r="3694" spans="1:6" ht="15.75" customHeight="1" x14ac:dyDescent="0.15">
      <c r="A3694" s="12" t="e">
        <v>#VALUE!</v>
      </c>
      <c r="B3694" s="13"/>
      <c r="C3694" t="e">
        <f t="shared" si="3"/>
        <v>#VALUE!</v>
      </c>
      <c r="F3694" s="13"/>
    </row>
    <row r="3695" spans="1:6" ht="15.75" customHeight="1" x14ac:dyDescent="0.15">
      <c r="A3695" s="12" t="e">
        <v>#VALUE!</v>
      </c>
      <c r="B3695" s="13"/>
      <c r="C3695" t="e">
        <f t="shared" si="3"/>
        <v>#VALUE!</v>
      </c>
      <c r="F3695" s="13"/>
    </row>
    <row r="3696" spans="1:6" ht="15.75" customHeight="1" x14ac:dyDescent="0.15">
      <c r="A3696" s="12" t="e">
        <v>#VALUE!</v>
      </c>
      <c r="B3696" s="13"/>
      <c r="C3696" t="e">
        <f t="shared" si="3"/>
        <v>#VALUE!</v>
      </c>
      <c r="F3696" s="13"/>
    </row>
    <row r="3697" spans="1:6" ht="15.75" customHeight="1" x14ac:dyDescent="0.15">
      <c r="A3697" s="12" t="e">
        <v>#VALUE!</v>
      </c>
      <c r="B3697" s="13"/>
      <c r="C3697" t="e">
        <f t="shared" si="3"/>
        <v>#VALUE!</v>
      </c>
      <c r="F3697" s="13"/>
    </row>
    <row r="3698" spans="1:6" ht="15.75" customHeight="1" x14ac:dyDescent="0.15">
      <c r="A3698" s="12" t="e">
        <v>#VALUE!</v>
      </c>
      <c r="B3698" s="13"/>
      <c r="C3698" t="e">
        <f t="shared" si="3"/>
        <v>#VALUE!</v>
      </c>
      <c r="F3698" s="13"/>
    </row>
    <row r="3699" spans="1:6" ht="15.75" customHeight="1" x14ac:dyDescent="0.15">
      <c r="A3699" s="12" t="e">
        <v>#VALUE!</v>
      </c>
      <c r="B3699" s="13"/>
      <c r="C3699" t="e">
        <f t="shared" si="3"/>
        <v>#VALUE!</v>
      </c>
      <c r="F3699" s="13"/>
    </row>
    <row r="3700" spans="1:6" ht="15.75" customHeight="1" x14ac:dyDescent="0.15">
      <c r="A3700" s="12" t="e">
        <v>#VALUE!</v>
      </c>
      <c r="B3700" s="13"/>
      <c r="C3700" t="e">
        <f t="shared" si="3"/>
        <v>#VALUE!</v>
      </c>
      <c r="F3700" s="13"/>
    </row>
    <row r="3701" spans="1:6" ht="15.75" customHeight="1" x14ac:dyDescent="0.15">
      <c r="A3701" s="12" t="e">
        <v>#VALUE!</v>
      </c>
      <c r="B3701" s="13"/>
      <c r="C3701" t="e">
        <f t="shared" si="3"/>
        <v>#VALUE!</v>
      </c>
      <c r="F3701" s="13"/>
    </row>
    <row r="3702" spans="1:6" ht="15.75" customHeight="1" x14ac:dyDescent="0.15">
      <c r="A3702" s="12" t="e">
        <v>#VALUE!</v>
      </c>
      <c r="B3702" s="13"/>
      <c r="C3702" t="e">
        <f t="shared" si="3"/>
        <v>#VALUE!</v>
      </c>
      <c r="F3702" s="13"/>
    </row>
    <row r="3703" spans="1:6" ht="15.75" customHeight="1" x14ac:dyDescent="0.15">
      <c r="A3703" s="12" t="e">
        <v>#VALUE!</v>
      </c>
      <c r="B3703" s="13"/>
      <c r="C3703" t="e">
        <f t="shared" si="3"/>
        <v>#VALUE!</v>
      </c>
      <c r="F3703" s="13"/>
    </row>
    <row r="3704" spans="1:6" ht="15.75" customHeight="1" x14ac:dyDescent="0.15">
      <c r="A3704" s="12" t="e">
        <v>#VALUE!</v>
      </c>
      <c r="B3704" s="13"/>
      <c r="C3704" t="e">
        <f t="shared" si="3"/>
        <v>#VALUE!</v>
      </c>
      <c r="F3704" s="13"/>
    </row>
    <row r="3705" spans="1:6" ht="15.75" customHeight="1" x14ac:dyDescent="0.15">
      <c r="A3705" s="12" t="e">
        <v>#VALUE!</v>
      </c>
      <c r="B3705" s="13"/>
      <c r="C3705" t="e">
        <f t="shared" si="3"/>
        <v>#VALUE!</v>
      </c>
      <c r="F3705" s="13"/>
    </row>
    <row r="3706" spans="1:6" ht="15.75" customHeight="1" x14ac:dyDescent="0.15">
      <c r="A3706" s="12" t="e">
        <v>#VALUE!</v>
      </c>
      <c r="B3706" s="13"/>
      <c r="C3706" t="e">
        <f t="shared" si="3"/>
        <v>#VALUE!</v>
      </c>
      <c r="F3706" s="13"/>
    </row>
    <row r="3707" spans="1:6" ht="15.75" customHeight="1" x14ac:dyDescent="0.15">
      <c r="A3707" s="12" t="e">
        <v>#VALUE!</v>
      </c>
      <c r="B3707" s="13"/>
      <c r="C3707" t="e">
        <f t="shared" si="3"/>
        <v>#VALUE!</v>
      </c>
      <c r="F3707" s="13"/>
    </row>
    <row r="3708" spans="1:6" ht="15.75" customHeight="1" x14ac:dyDescent="0.15">
      <c r="A3708" s="12" t="e">
        <v>#VALUE!</v>
      </c>
      <c r="B3708" s="13"/>
      <c r="C3708" t="e">
        <f t="shared" si="3"/>
        <v>#VALUE!</v>
      </c>
      <c r="F3708" s="13"/>
    </row>
    <row r="3709" spans="1:6" ht="15.75" customHeight="1" x14ac:dyDescent="0.15">
      <c r="A3709" s="12" t="e">
        <v>#VALUE!</v>
      </c>
      <c r="B3709" s="13"/>
      <c r="C3709" t="e">
        <f t="shared" si="3"/>
        <v>#VALUE!</v>
      </c>
      <c r="F3709" s="13"/>
    </row>
    <row r="3710" spans="1:6" ht="15.75" customHeight="1" x14ac:dyDescent="0.15">
      <c r="A3710" s="12" t="e">
        <v>#VALUE!</v>
      </c>
      <c r="B3710" s="13"/>
      <c r="C3710" t="e">
        <f t="shared" si="3"/>
        <v>#VALUE!</v>
      </c>
      <c r="F3710" s="13"/>
    </row>
    <row r="3711" spans="1:6" ht="15.75" customHeight="1" x14ac:dyDescent="0.15">
      <c r="A3711" s="12" t="e">
        <v>#VALUE!</v>
      </c>
      <c r="B3711" s="13"/>
      <c r="C3711" t="e">
        <f t="shared" si="3"/>
        <v>#VALUE!</v>
      </c>
      <c r="F3711" s="13"/>
    </row>
    <row r="3712" spans="1:6" ht="15.75" customHeight="1" x14ac:dyDescent="0.15">
      <c r="A3712" s="12" t="e">
        <v>#VALUE!</v>
      </c>
      <c r="B3712" s="13"/>
      <c r="C3712" t="e">
        <f t="shared" si="3"/>
        <v>#VALUE!</v>
      </c>
      <c r="F3712" s="13"/>
    </row>
    <row r="3713" spans="1:6" ht="15.75" customHeight="1" x14ac:dyDescent="0.15">
      <c r="A3713" s="12" t="e">
        <v>#VALUE!</v>
      </c>
      <c r="B3713" s="13"/>
      <c r="C3713" t="e">
        <f t="shared" si="3"/>
        <v>#VALUE!</v>
      </c>
      <c r="F3713" s="13"/>
    </row>
    <row r="3714" spans="1:6" ht="15.75" customHeight="1" x14ac:dyDescent="0.15">
      <c r="A3714" s="12" t="e">
        <v>#VALUE!</v>
      </c>
      <c r="B3714" s="13"/>
      <c r="C3714" t="e">
        <f t="shared" si="3"/>
        <v>#VALUE!</v>
      </c>
      <c r="F3714" s="13"/>
    </row>
    <row r="3715" spans="1:6" ht="15.75" customHeight="1" x14ac:dyDescent="0.15">
      <c r="A3715" s="12" t="e">
        <v>#VALUE!</v>
      </c>
      <c r="B3715" s="13"/>
      <c r="C3715" t="e">
        <f t="shared" si="3"/>
        <v>#VALUE!</v>
      </c>
      <c r="F3715" s="13"/>
    </row>
    <row r="3716" spans="1:6" ht="15.75" customHeight="1" x14ac:dyDescent="0.15">
      <c r="A3716" s="12" t="e">
        <v>#VALUE!</v>
      </c>
      <c r="B3716" s="13"/>
      <c r="C3716" t="e">
        <f t="shared" si="3"/>
        <v>#VALUE!</v>
      </c>
      <c r="F3716" s="13"/>
    </row>
    <row r="3717" spans="1:6" ht="15.75" customHeight="1" x14ac:dyDescent="0.15">
      <c r="A3717" s="12" t="e">
        <v>#VALUE!</v>
      </c>
      <c r="B3717" s="13"/>
      <c r="C3717" t="e">
        <f t="shared" si="3"/>
        <v>#VALUE!</v>
      </c>
      <c r="F3717" s="13"/>
    </row>
    <row r="3718" spans="1:6" ht="15.75" customHeight="1" x14ac:dyDescent="0.15">
      <c r="A3718" s="12" t="e">
        <v>#VALUE!</v>
      </c>
      <c r="B3718" s="13"/>
      <c r="C3718" t="e">
        <f t="shared" si="3"/>
        <v>#VALUE!</v>
      </c>
      <c r="F3718" s="13"/>
    </row>
    <row r="3719" spans="1:6" ht="15.75" customHeight="1" x14ac:dyDescent="0.15">
      <c r="A3719" s="12" t="e">
        <v>#VALUE!</v>
      </c>
      <c r="B3719" s="13"/>
      <c r="C3719" t="e">
        <f t="shared" si="3"/>
        <v>#VALUE!</v>
      </c>
      <c r="F3719" s="13"/>
    </row>
    <row r="3720" spans="1:6" ht="15.75" customHeight="1" x14ac:dyDescent="0.15">
      <c r="A3720" s="12" t="e">
        <v>#VALUE!</v>
      </c>
      <c r="B3720" s="13"/>
      <c r="C3720" t="e">
        <f t="shared" si="3"/>
        <v>#VALUE!</v>
      </c>
      <c r="F3720" s="13"/>
    </row>
    <row r="3721" spans="1:6" ht="15.75" customHeight="1" x14ac:dyDescent="0.15">
      <c r="A3721" s="12" t="e">
        <v>#VALUE!</v>
      </c>
      <c r="B3721" s="13"/>
      <c r="C3721" t="e">
        <f t="shared" si="3"/>
        <v>#VALUE!</v>
      </c>
      <c r="F3721" s="13"/>
    </row>
    <row r="3722" spans="1:6" ht="15.75" customHeight="1" x14ac:dyDescent="0.15">
      <c r="A3722" s="12" t="e">
        <v>#VALUE!</v>
      </c>
      <c r="B3722" s="13"/>
      <c r="C3722" t="e">
        <f t="shared" si="3"/>
        <v>#VALUE!</v>
      </c>
      <c r="F3722" s="13"/>
    </row>
    <row r="3723" spans="1:6" ht="15.75" customHeight="1" x14ac:dyDescent="0.15">
      <c r="A3723" s="12" t="e">
        <v>#VALUE!</v>
      </c>
      <c r="B3723" s="13"/>
      <c r="C3723" t="e">
        <f t="shared" si="3"/>
        <v>#VALUE!</v>
      </c>
      <c r="F3723" s="13"/>
    </row>
    <row r="3724" spans="1:6" ht="15.75" customHeight="1" x14ac:dyDescent="0.15">
      <c r="A3724" s="12" t="e">
        <v>#VALUE!</v>
      </c>
      <c r="B3724" s="13"/>
      <c r="C3724" t="e">
        <f t="shared" si="3"/>
        <v>#VALUE!</v>
      </c>
      <c r="F3724" s="13"/>
    </row>
    <row r="3725" spans="1:6" ht="15.75" customHeight="1" x14ac:dyDescent="0.15">
      <c r="A3725" s="12" t="e">
        <v>#VALUE!</v>
      </c>
      <c r="B3725" s="13"/>
      <c r="C3725" t="e">
        <f t="shared" si="3"/>
        <v>#VALUE!</v>
      </c>
      <c r="F3725" s="13"/>
    </row>
    <row r="3726" spans="1:6" ht="15.75" customHeight="1" x14ac:dyDescent="0.15">
      <c r="A3726" s="12" t="e">
        <v>#VALUE!</v>
      </c>
      <c r="B3726" s="13"/>
      <c r="C3726" t="e">
        <f t="shared" si="3"/>
        <v>#VALUE!</v>
      </c>
      <c r="F3726" s="13"/>
    </row>
    <row r="3727" spans="1:6" ht="15.75" customHeight="1" x14ac:dyDescent="0.15">
      <c r="A3727" s="12" t="e">
        <v>#VALUE!</v>
      </c>
      <c r="B3727" s="13"/>
      <c r="C3727" t="e">
        <f t="shared" si="3"/>
        <v>#VALUE!</v>
      </c>
      <c r="F3727" s="13"/>
    </row>
    <row r="3728" spans="1:6" ht="15.75" customHeight="1" x14ac:dyDescent="0.15">
      <c r="A3728" s="12" t="e">
        <v>#VALUE!</v>
      </c>
      <c r="B3728" s="13"/>
      <c r="C3728" t="e">
        <f t="shared" si="3"/>
        <v>#VALUE!</v>
      </c>
      <c r="F3728" s="13"/>
    </row>
    <row r="3729" spans="1:6" ht="15.75" customHeight="1" x14ac:dyDescent="0.15">
      <c r="A3729" s="12" t="e">
        <v>#VALUE!</v>
      </c>
      <c r="B3729" s="13"/>
      <c r="C3729" t="e">
        <f t="shared" si="3"/>
        <v>#VALUE!</v>
      </c>
      <c r="F3729" s="13"/>
    </row>
    <row r="3730" spans="1:6" ht="15.75" customHeight="1" x14ac:dyDescent="0.15">
      <c r="A3730" s="12" t="e">
        <v>#VALUE!</v>
      </c>
      <c r="B3730" s="13"/>
      <c r="C3730" t="e">
        <f t="shared" si="3"/>
        <v>#VALUE!</v>
      </c>
      <c r="F3730" s="13"/>
    </row>
    <row r="3731" spans="1:6" ht="15.75" customHeight="1" x14ac:dyDescent="0.15">
      <c r="A3731" s="12" t="e">
        <v>#VALUE!</v>
      </c>
      <c r="B3731" s="13"/>
      <c r="C3731" t="e">
        <f t="shared" si="3"/>
        <v>#VALUE!</v>
      </c>
      <c r="F3731" s="13"/>
    </row>
    <row r="3732" spans="1:6" ht="15.75" customHeight="1" x14ac:dyDescent="0.15">
      <c r="A3732" s="12" t="e">
        <v>#VALUE!</v>
      </c>
      <c r="B3732" s="13"/>
      <c r="C3732" t="e">
        <f t="shared" si="3"/>
        <v>#VALUE!</v>
      </c>
      <c r="F3732" s="13"/>
    </row>
    <row r="3733" spans="1:6" ht="15.75" customHeight="1" x14ac:dyDescent="0.15">
      <c r="A3733" s="12" t="e">
        <v>#VALUE!</v>
      </c>
      <c r="B3733" s="13"/>
      <c r="C3733" t="e">
        <f t="shared" si="3"/>
        <v>#VALUE!</v>
      </c>
      <c r="F3733" s="13"/>
    </row>
    <row r="3734" spans="1:6" ht="15.75" customHeight="1" x14ac:dyDescent="0.15">
      <c r="A3734" s="12" t="e">
        <v>#VALUE!</v>
      </c>
      <c r="B3734" s="13"/>
      <c r="C3734" t="e">
        <f t="shared" si="3"/>
        <v>#VALUE!</v>
      </c>
      <c r="F3734" s="13"/>
    </row>
    <row r="3735" spans="1:6" ht="15.75" customHeight="1" x14ac:dyDescent="0.15">
      <c r="A3735" s="12" t="e">
        <v>#VALUE!</v>
      </c>
      <c r="B3735" s="13"/>
      <c r="C3735" t="e">
        <f t="shared" si="3"/>
        <v>#VALUE!</v>
      </c>
      <c r="F3735" s="13"/>
    </row>
    <row r="3736" spans="1:6" ht="15.75" customHeight="1" x14ac:dyDescent="0.15">
      <c r="A3736" s="12" t="e">
        <v>#VALUE!</v>
      </c>
      <c r="B3736" s="13"/>
      <c r="C3736" t="e">
        <f t="shared" si="3"/>
        <v>#VALUE!</v>
      </c>
      <c r="F3736" s="13"/>
    </row>
    <row r="3737" spans="1:6" ht="15.75" customHeight="1" x14ac:dyDescent="0.15">
      <c r="A3737" s="12" t="e">
        <v>#VALUE!</v>
      </c>
      <c r="B3737" s="13"/>
      <c r="C3737" t="e">
        <f t="shared" si="3"/>
        <v>#VALUE!</v>
      </c>
      <c r="F3737" s="13"/>
    </row>
    <row r="3738" spans="1:6" ht="15.75" customHeight="1" x14ac:dyDescent="0.15">
      <c r="A3738" s="12" t="e">
        <v>#VALUE!</v>
      </c>
      <c r="B3738" s="13"/>
      <c r="C3738" t="e">
        <f t="shared" si="3"/>
        <v>#VALUE!</v>
      </c>
      <c r="F3738" s="13"/>
    </row>
    <row r="3739" spans="1:6" ht="15.75" customHeight="1" x14ac:dyDescent="0.15">
      <c r="A3739" s="12" t="e">
        <v>#VALUE!</v>
      </c>
      <c r="B3739" s="13"/>
      <c r="C3739" t="e">
        <f t="shared" si="3"/>
        <v>#VALUE!</v>
      </c>
      <c r="F3739" s="13"/>
    </row>
    <row r="3740" spans="1:6" ht="15.75" customHeight="1" x14ac:dyDescent="0.15">
      <c r="A3740" s="12" t="e">
        <v>#VALUE!</v>
      </c>
      <c r="B3740" s="13"/>
      <c r="C3740" t="e">
        <f t="shared" si="3"/>
        <v>#VALUE!</v>
      </c>
      <c r="F3740" s="13"/>
    </row>
    <row r="3741" spans="1:6" ht="15.75" customHeight="1" x14ac:dyDescent="0.15">
      <c r="A3741" s="12" t="e">
        <v>#VALUE!</v>
      </c>
      <c r="B3741" s="13"/>
      <c r="C3741" t="e">
        <f t="shared" si="3"/>
        <v>#VALUE!</v>
      </c>
      <c r="F3741" s="13"/>
    </row>
    <row r="3742" spans="1:6" ht="15.75" customHeight="1" x14ac:dyDescent="0.15">
      <c r="A3742" s="12" t="e">
        <v>#VALUE!</v>
      </c>
      <c r="B3742" s="13"/>
      <c r="C3742" t="e">
        <f t="shared" si="3"/>
        <v>#VALUE!</v>
      </c>
      <c r="F3742" s="13"/>
    </row>
    <row r="3743" spans="1:6" ht="15.75" customHeight="1" x14ac:dyDescent="0.15">
      <c r="A3743" s="12" t="e">
        <v>#VALUE!</v>
      </c>
      <c r="B3743" s="13"/>
      <c r="C3743" t="e">
        <f t="shared" si="3"/>
        <v>#VALUE!</v>
      </c>
      <c r="F3743" s="13"/>
    </row>
    <row r="3744" spans="1:6" ht="15.75" customHeight="1" x14ac:dyDescent="0.15">
      <c r="A3744" s="12" t="e">
        <v>#VALUE!</v>
      </c>
      <c r="B3744" s="13"/>
      <c r="C3744" t="e">
        <f t="shared" si="3"/>
        <v>#VALUE!</v>
      </c>
      <c r="F3744" s="13"/>
    </row>
    <row r="3745" spans="1:6" ht="15.75" customHeight="1" x14ac:dyDescent="0.15">
      <c r="A3745" s="12" t="e">
        <v>#VALUE!</v>
      </c>
      <c r="B3745" s="13"/>
      <c r="C3745" t="e">
        <f t="shared" si="3"/>
        <v>#VALUE!</v>
      </c>
      <c r="F3745" s="13"/>
    </row>
    <row r="3746" spans="1:6" ht="15.75" customHeight="1" x14ac:dyDescent="0.15">
      <c r="A3746" s="12" t="e">
        <v>#VALUE!</v>
      </c>
      <c r="B3746" s="13"/>
      <c r="C3746" t="e">
        <f t="shared" si="3"/>
        <v>#VALUE!</v>
      </c>
      <c r="F3746" s="13"/>
    </row>
    <row r="3747" spans="1:6" ht="15.75" customHeight="1" x14ac:dyDescent="0.15">
      <c r="A3747" s="12" t="e">
        <v>#VALUE!</v>
      </c>
      <c r="B3747" s="13"/>
      <c r="C3747" t="e">
        <f t="shared" si="3"/>
        <v>#VALUE!</v>
      </c>
      <c r="F3747" s="13"/>
    </row>
    <row r="3748" spans="1:6" ht="15.75" customHeight="1" x14ac:dyDescent="0.15">
      <c r="A3748" s="12" t="e">
        <v>#VALUE!</v>
      </c>
      <c r="B3748" s="13"/>
      <c r="C3748" t="e">
        <f t="shared" si="3"/>
        <v>#VALUE!</v>
      </c>
      <c r="F3748" s="13"/>
    </row>
    <row r="3749" spans="1:6" ht="15.75" customHeight="1" x14ac:dyDescent="0.15">
      <c r="A3749" s="12" t="e">
        <v>#VALUE!</v>
      </c>
      <c r="B3749" s="13"/>
      <c r="C3749" t="e">
        <f t="shared" si="3"/>
        <v>#VALUE!</v>
      </c>
      <c r="F3749" s="13"/>
    </row>
    <row r="3750" spans="1:6" ht="15.75" customHeight="1" x14ac:dyDescent="0.15">
      <c r="A3750" s="12" t="e">
        <v>#VALUE!</v>
      </c>
      <c r="B3750" s="13"/>
      <c r="C3750" t="e">
        <f t="shared" si="3"/>
        <v>#VALUE!</v>
      </c>
      <c r="F3750" s="13"/>
    </row>
    <row r="3751" spans="1:6" ht="15.75" customHeight="1" x14ac:dyDescent="0.15">
      <c r="A3751" s="12" t="e">
        <v>#VALUE!</v>
      </c>
      <c r="B3751" s="13"/>
      <c r="C3751" t="e">
        <f t="shared" si="3"/>
        <v>#VALUE!</v>
      </c>
      <c r="F3751" s="13"/>
    </row>
    <row r="3752" spans="1:6" ht="15.75" customHeight="1" x14ac:dyDescent="0.15">
      <c r="A3752" s="12" t="e">
        <v>#VALUE!</v>
      </c>
      <c r="B3752" s="13"/>
      <c r="C3752" t="e">
        <f t="shared" si="3"/>
        <v>#VALUE!</v>
      </c>
      <c r="F3752" s="13"/>
    </row>
    <row r="3753" spans="1:6" ht="15.75" customHeight="1" x14ac:dyDescent="0.15">
      <c r="A3753" s="12" t="e">
        <v>#VALUE!</v>
      </c>
      <c r="B3753" s="13"/>
      <c r="C3753" t="e">
        <f t="shared" si="3"/>
        <v>#VALUE!</v>
      </c>
      <c r="F3753" s="13"/>
    </row>
    <row r="3754" spans="1:6" ht="15.75" customHeight="1" x14ac:dyDescent="0.15">
      <c r="A3754" s="12" t="e">
        <v>#VALUE!</v>
      </c>
      <c r="B3754" s="13"/>
      <c r="C3754" t="e">
        <f t="shared" si="3"/>
        <v>#VALUE!</v>
      </c>
      <c r="F3754" s="13"/>
    </row>
    <row r="3755" spans="1:6" ht="15.75" customHeight="1" x14ac:dyDescent="0.15">
      <c r="A3755" s="12" t="e">
        <v>#VALUE!</v>
      </c>
      <c r="B3755" s="13"/>
      <c r="C3755" t="e">
        <f t="shared" si="3"/>
        <v>#VALUE!</v>
      </c>
      <c r="F3755" s="13"/>
    </row>
    <row r="3756" spans="1:6" ht="15.75" customHeight="1" x14ac:dyDescent="0.15">
      <c r="A3756" s="12" t="e">
        <v>#VALUE!</v>
      </c>
      <c r="B3756" s="13"/>
      <c r="C3756" t="e">
        <f t="shared" si="3"/>
        <v>#VALUE!</v>
      </c>
      <c r="F3756" s="13"/>
    </row>
    <row r="3757" spans="1:6" ht="15.75" customHeight="1" x14ac:dyDescent="0.15">
      <c r="A3757" s="12" t="e">
        <v>#VALUE!</v>
      </c>
      <c r="B3757" s="13"/>
      <c r="C3757" t="e">
        <f t="shared" si="3"/>
        <v>#VALUE!</v>
      </c>
      <c r="F3757" s="13"/>
    </row>
    <row r="3758" spans="1:6" ht="15.75" customHeight="1" x14ac:dyDescent="0.15">
      <c r="A3758" s="12" t="e">
        <v>#VALUE!</v>
      </c>
      <c r="B3758" s="13"/>
      <c r="C3758" t="e">
        <f t="shared" si="3"/>
        <v>#VALUE!</v>
      </c>
      <c r="F3758" s="13"/>
    </row>
    <row r="3759" spans="1:6" ht="15.75" customHeight="1" x14ac:dyDescent="0.15">
      <c r="A3759" s="12" t="e">
        <v>#VALUE!</v>
      </c>
      <c r="B3759" s="13"/>
      <c r="C3759" t="e">
        <f t="shared" si="3"/>
        <v>#VALUE!</v>
      </c>
      <c r="F3759" s="13"/>
    </row>
    <row r="3760" spans="1:6" ht="15.75" customHeight="1" x14ac:dyDescent="0.15">
      <c r="A3760" s="12" t="e">
        <v>#VALUE!</v>
      </c>
      <c r="B3760" s="13"/>
      <c r="C3760" t="e">
        <f t="shared" si="3"/>
        <v>#VALUE!</v>
      </c>
      <c r="F3760" s="13"/>
    </row>
    <row r="3761" spans="1:6" ht="15.75" customHeight="1" x14ac:dyDescent="0.15">
      <c r="A3761" s="12" t="e">
        <v>#VALUE!</v>
      </c>
      <c r="B3761" s="13"/>
      <c r="C3761" t="e">
        <f t="shared" si="3"/>
        <v>#VALUE!</v>
      </c>
      <c r="F3761" s="13"/>
    </row>
    <row r="3762" spans="1:6" ht="15.75" customHeight="1" x14ac:dyDescent="0.15">
      <c r="A3762" s="12" t="e">
        <v>#VALUE!</v>
      </c>
      <c r="B3762" s="13"/>
      <c r="C3762" t="e">
        <f t="shared" si="3"/>
        <v>#VALUE!</v>
      </c>
      <c r="F3762" s="13"/>
    </row>
    <row r="3763" spans="1:6" ht="15.75" customHeight="1" x14ac:dyDescent="0.15">
      <c r="A3763" s="12" t="e">
        <v>#VALUE!</v>
      </c>
      <c r="B3763" s="13"/>
      <c r="C3763" t="e">
        <f t="shared" si="3"/>
        <v>#VALUE!</v>
      </c>
      <c r="F3763" s="13"/>
    </row>
    <row r="3764" spans="1:6" ht="15.75" customHeight="1" x14ac:dyDescent="0.15">
      <c r="A3764" s="12" t="e">
        <v>#VALUE!</v>
      </c>
      <c r="B3764" s="13"/>
      <c r="C3764" t="e">
        <f t="shared" si="3"/>
        <v>#VALUE!</v>
      </c>
      <c r="F3764" s="13"/>
    </row>
    <row r="3765" spans="1:6" ht="15.75" customHeight="1" x14ac:dyDescent="0.15">
      <c r="A3765" s="12" t="e">
        <v>#VALUE!</v>
      </c>
      <c r="B3765" s="13"/>
      <c r="C3765" t="e">
        <f t="shared" si="3"/>
        <v>#VALUE!</v>
      </c>
      <c r="F3765" s="13"/>
    </row>
    <row r="3766" spans="1:6" ht="15.75" customHeight="1" x14ac:dyDescent="0.15">
      <c r="A3766" s="12" t="e">
        <v>#VALUE!</v>
      </c>
      <c r="B3766" s="13"/>
      <c r="C3766" t="e">
        <f t="shared" si="3"/>
        <v>#VALUE!</v>
      </c>
      <c r="F3766" s="13"/>
    </row>
    <row r="3767" spans="1:6" ht="15.75" customHeight="1" x14ac:dyDescent="0.15">
      <c r="A3767" s="12" t="e">
        <v>#VALUE!</v>
      </c>
      <c r="B3767" s="13"/>
      <c r="C3767" t="e">
        <f t="shared" si="3"/>
        <v>#VALUE!</v>
      </c>
      <c r="F3767" s="13"/>
    </row>
    <row r="3768" spans="1:6" ht="15.75" customHeight="1" x14ac:dyDescent="0.15">
      <c r="A3768" s="12" t="e">
        <v>#VALUE!</v>
      </c>
      <c r="B3768" s="13"/>
      <c r="C3768" t="e">
        <f t="shared" si="3"/>
        <v>#VALUE!</v>
      </c>
      <c r="F3768" s="13"/>
    </row>
    <row r="3769" spans="1:6" ht="15.75" customHeight="1" x14ac:dyDescent="0.15">
      <c r="A3769" s="12" t="e">
        <v>#VALUE!</v>
      </c>
      <c r="B3769" s="13"/>
      <c r="C3769" t="e">
        <f t="shared" si="3"/>
        <v>#VALUE!</v>
      </c>
      <c r="F3769" s="13"/>
    </row>
    <row r="3770" spans="1:6" ht="15.75" customHeight="1" x14ac:dyDescent="0.15">
      <c r="A3770" s="12" t="e">
        <v>#VALUE!</v>
      </c>
      <c r="B3770" s="13"/>
      <c r="C3770" t="e">
        <f t="shared" si="3"/>
        <v>#VALUE!</v>
      </c>
      <c r="F3770" s="13"/>
    </row>
    <row r="3771" spans="1:6" ht="15.75" customHeight="1" x14ac:dyDescent="0.15">
      <c r="A3771" s="12" t="e">
        <v>#VALUE!</v>
      </c>
      <c r="B3771" s="13"/>
      <c r="C3771" t="e">
        <f t="shared" si="3"/>
        <v>#VALUE!</v>
      </c>
      <c r="F3771" s="13"/>
    </row>
    <row r="3772" spans="1:6" ht="15.75" customHeight="1" x14ac:dyDescent="0.15">
      <c r="A3772" s="12" t="e">
        <v>#VALUE!</v>
      </c>
      <c r="B3772" s="13"/>
      <c r="C3772" t="e">
        <f t="shared" si="3"/>
        <v>#VALUE!</v>
      </c>
      <c r="F3772" s="13"/>
    </row>
    <row r="3773" spans="1:6" ht="15.75" customHeight="1" x14ac:dyDescent="0.15">
      <c r="A3773" s="12" t="e">
        <v>#VALUE!</v>
      </c>
      <c r="B3773" s="13"/>
      <c r="C3773" t="e">
        <f t="shared" si="3"/>
        <v>#VALUE!</v>
      </c>
      <c r="F3773" s="13"/>
    </row>
    <row r="3774" spans="1:6" ht="15.75" customHeight="1" x14ac:dyDescent="0.15">
      <c r="A3774" s="12" t="e">
        <v>#VALUE!</v>
      </c>
      <c r="B3774" s="13"/>
      <c r="C3774" t="e">
        <f t="shared" si="3"/>
        <v>#VALUE!</v>
      </c>
      <c r="F3774" s="13"/>
    </row>
    <row r="3775" spans="1:6" ht="15.75" customHeight="1" x14ac:dyDescent="0.15">
      <c r="A3775" s="12" t="e">
        <v>#VALUE!</v>
      </c>
      <c r="B3775" s="13"/>
      <c r="C3775" t="e">
        <f t="shared" si="3"/>
        <v>#VALUE!</v>
      </c>
      <c r="F3775" s="13"/>
    </row>
    <row r="3776" spans="1:6" ht="15.75" customHeight="1" x14ac:dyDescent="0.15">
      <c r="A3776" s="12" t="e">
        <v>#VALUE!</v>
      </c>
      <c r="B3776" s="13"/>
      <c r="C3776" t="e">
        <f t="shared" si="3"/>
        <v>#VALUE!</v>
      </c>
      <c r="F3776" s="13"/>
    </row>
    <row r="3777" spans="1:6" ht="15.75" customHeight="1" x14ac:dyDescent="0.15">
      <c r="A3777" s="12" t="e">
        <v>#VALUE!</v>
      </c>
      <c r="B3777" s="13"/>
      <c r="C3777" t="e">
        <f t="shared" si="3"/>
        <v>#VALUE!</v>
      </c>
      <c r="F3777" s="13"/>
    </row>
    <row r="3778" spans="1:6" ht="15.75" customHeight="1" x14ac:dyDescent="0.15">
      <c r="A3778" s="12" t="e">
        <v>#VALUE!</v>
      </c>
      <c r="B3778" s="13"/>
      <c r="C3778" t="e">
        <f t="shared" si="3"/>
        <v>#VALUE!</v>
      </c>
      <c r="F3778" s="13"/>
    </row>
    <row r="3779" spans="1:6" ht="15.75" customHeight="1" x14ac:dyDescent="0.15">
      <c r="A3779" s="12" t="e">
        <v>#VALUE!</v>
      </c>
      <c r="B3779" s="13"/>
      <c r="C3779" t="e">
        <f t="shared" si="3"/>
        <v>#VALUE!</v>
      </c>
      <c r="F3779" s="13"/>
    </row>
    <row r="3780" spans="1:6" ht="15.75" customHeight="1" x14ac:dyDescent="0.15">
      <c r="A3780" s="12" t="e">
        <v>#VALUE!</v>
      </c>
      <c r="B3780" s="13"/>
      <c r="C3780" t="e">
        <f t="shared" si="3"/>
        <v>#VALUE!</v>
      </c>
      <c r="F3780" s="13"/>
    </row>
    <row r="3781" spans="1:6" ht="15.75" customHeight="1" x14ac:dyDescent="0.15">
      <c r="A3781" s="12" t="e">
        <v>#VALUE!</v>
      </c>
      <c r="B3781" s="13"/>
      <c r="C3781" t="e">
        <f t="shared" si="3"/>
        <v>#VALUE!</v>
      </c>
      <c r="F3781" s="13"/>
    </row>
    <row r="3782" spans="1:6" ht="15.75" customHeight="1" x14ac:dyDescent="0.15">
      <c r="A3782" s="12" t="e">
        <v>#VALUE!</v>
      </c>
      <c r="B3782" s="13"/>
      <c r="C3782" t="e">
        <f t="shared" si="3"/>
        <v>#VALUE!</v>
      </c>
      <c r="F3782" s="13"/>
    </row>
    <row r="3783" spans="1:6" ht="15.75" customHeight="1" x14ac:dyDescent="0.15">
      <c r="A3783" s="12" t="e">
        <v>#VALUE!</v>
      </c>
      <c r="B3783" s="13"/>
      <c r="C3783" t="e">
        <f t="shared" si="3"/>
        <v>#VALUE!</v>
      </c>
      <c r="F3783" s="13"/>
    </row>
    <row r="3784" spans="1:6" ht="15.75" customHeight="1" x14ac:dyDescent="0.15">
      <c r="A3784" s="12" t="e">
        <v>#VALUE!</v>
      </c>
      <c r="B3784" s="13"/>
      <c r="C3784" t="e">
        <f t="shared" si="3"/>
        <v>#VALUE!</v>
      </c>
      <c r="F3784" s="13"/>
    </row>
    <row r="3785" spans="1:6" ht="15.75" customHeight="1" x14ac:dyDescent="0.15">
      <c r="A3785" s="12" t="e">
        <v>#VALUE!</v>
      </c>
      <c r="B3785" s="13"/>
      <c r="C3785" t="e">
        <f t="shared" si="3"/>
        <v>#VALUE!</v>
      </c>
      <c r="F3785" s="13"/>
    </row>
    <row r="3786" spans="1:6" ht="15.75" customHeight="1" x14ac:dyDescent="0.15">
      <c r="A3786" s="12" t="e">
        <v>#VALUE!</v>
      </c>
      <c r="B3786" s="13"/>
      <c r="C3786" t="e">
        <f t="shared" si="3"/>
        <v>#VALUE!</v>
      </c>
      <c r="F3786" s="13"/>
    </row>
    <row r="3787" spans="1:6" ht="15.75" customHeight="1" x14ac:dyDescent="0.15">
      <c r="A3787" s="12" t="e">
        <v>#VALUE!</v>
      </c>
      <c r="B3787" s="13"/>
      <c r="C3787" t="e">
        <f t="shared" si="3"/>
        <v>#VALUE!</v>
      </c>
      <c r="F3787" s="13"/>
    </row>
    <row r="3788" spans="1:6" ht="15.75" customHeight="1" x14ac:dyDescent="0.15">
      <c r="A3788" s="12" t="e">
        <v>#VALUE!</v>
      </c>
      <c r="B3788" s="13"/>
      <c r="C3788" t="e">
        <f t="shared" si="3"/>
        <v>#VALUE!</v>
      </c>
      <c r="F3788" s="13"/>
    </row>
    <row r="3789" spans="1:6" ht="15.75" customHeight="1" x14ac:dyDescent="0.15">
      <c r="A3789" s="12" t="e">
        <v>#VALUE!</v>
      </c>
      <c r="B3789" s="13"/>
      <c r="C3789" t="e">
        <f t="shared" si="3"/>
        <v>#VALUE!</v>
      </c>
      <c r="F3789" s="13"/>
    </row>
    <row r="3790" spans="1:6" ht="15.75" customHeight="1" x14ac:dyDescent="0.15">
      <c r="A3790" s="12" t="e">
        <v>#VALUE!</v>
      </c>
      <c r="B3790" s="13"/>
      <c r="C3790" t="e">
        <f t="shared" si="3"/>
        <v>#VALUE!</v>
      </c>
      <c r="F3790" s="13"/>
    </row>
    <row r="3791" spans="1:6" ht="15.75" customHeight="1" x14ac:dyDescent="0.15">
      <c r="A3791" s="12" t="e">
        <v>#VALUE!</v>
      </c>
      <c r="B3791" s="13"/>
      <c r="C3791" t="e">
        <f t="shared" si="3"/>
        <v>#VALUE!</v>
      </c>
      <c r="F3791" s="13"/>
    </row>
    <row r="3792" spans="1:6" ht="15.75" customHeight="1" x14ac:dyDescent="0.15">
      <c r="A3792" s="12" t="e">
        <v>#VALUE!</v>
      </c>
      <c r="B3792" s="13"/>
      <c r="C3792" t="e">
        <f t="shared" si="3"/>
        <v>#VALUE!</v>
      </c>
      <c r="F3792" s="13"/>
    </row>
    <row r="3793" spans="1:6" ht="15.75" customHeight="1" x14ac:dyDescent="0.15">
      <c r="A3793" s="12" t="e">
        <v>#VALUE!</v>
      </c>
      <c r="B3793" s="13"/>
      <c r="C3793" t="e">
        <f t="shared" si="3"/>
        <v>#VALUE!</v>
      </c>
      <c r="F3793" s="13"/>
    </row>
    <row r="3794" spans="1:6" ht="15.75" customHeight="1" x14ac:dyDescent="0.15">
      <c r="A3794" s="12" t="e">
        <v>#VALUE!</v>
      </c>
      <c r="B3794" s="13"/>
      <c r="C3794" t="e">
        <f t="shared" si="3"/>
        <v>#VALUE!</v>
      </c>
      <c r="F3794" s="13"/>
    </row>
    <row r="3795" spans="1:6" ht="15.75" customHeight="1" x14ac:dyDescent="0.15">
      <c r="A3795" s="12" t="e">
        <v>#VALUE!</v>
      </c>
      <c r="B3795" s="13"/>
      <c r="C3795" t="e">
        <f t="shared" si="3"/>
        <v>#VALUE!</v>
      </c>
      <c r="F3795" s="13"/>
    </row>
    <row r="3796" spans="1:6" ht="15.75" customHeight="1" x14ac:dyDescent="0.15">
      <c r="A3796" s="12" t="e">
        <v>#VALUE!</v>
      </c>
      <c r="B3796" s="13"/>
      <c r="C3796" t="e">
        <f t="shared" si="3"/>
        <v>#VALUE!</v>
      </c>
      <c r="F3796" s="13"/>
    </row>
    <row r="3797" spans="1:6" ht="15.75" customHeight="1" x14ac:dyDescent="0.15">
      <c r="A3797" s="12" t="e">
        <v>#VALUE!</v>
      </c>
      <c r="B3797" s="13"/>
      <c r="C3797" t="e">
        <f t="shared" si="3"/>
        <v>#VALUE!</v>
      </c>
      <c r="F3797" s="13"/>
    </row>
    <row r="3798" spans="1:6" ht="15.75" customHeight="1" x14ac:dyDescent="0.15">
      <c r="A3798" s="12" t="e">
        <v>#VALUE!</v>
      </c>
      <c r="B3798" s="13"/>
      <c r="C3798" t="e">
        <f t="shared" si="3"/>
        <v>#VALUE!</v>
      </c>
      <c r="F3798" s="13"/>
    </row>
    <row r="3799" spans="1:6" ht="15.75" customHeight="1" x14ac:dyDescent="0.15">
      <c r="A3799" s="12" t="e">
        <v>#VALUE!</v>
      </c>
      <c r="B3799" s="13"/>
      <c r="C3799" t="e">
        <f t="shared" si="3"/>
        <v>#VALUE!</v>
      </c>
      <c r="F3799" s="13"/>
    </row>
    <row r="3800" spans="1:6" ht="15.75" customHeight="1" x14ac:dyDescent="0.15">
      <c r="A3800" s="12" t="e">
        <v>#VALUE!</v>
      </c>
      <c r="B3800" s="13"/>
      <c r="C3800" t="e">
        <f t="shared" si="3"/>
        <v>#VALUE!</v>
      </c>
      <c r="F3800" s="13"/>
    </row>
    <row r="3801" spans="1:6" ht="15.75" customHeight="1" x14ac:dyDescent="0.15">
      <c r="A3801" s="12" t="e">
        <v>#VALUE!</v>
      </c>
      <c r="B3801" s="13"/>
      <c r="C3801" t="e">
        <f t="shared" si="3"/>
        <v>#VALUE!</v>
      </c>
      <c r="F3801" s="13"/>
    </row>
    <row r="3802" spans="1:6" ht="15.75" customHeight="1" x14ac:dyDescent="0.15">
      <c r="A3802" s="12" t="e">
        <v>#VALUE!</v>
      </c>
      <c r="B3802" s="13"/>
      <c r="C3802" t="e">
        <f t="shared" si="3"/>
        <v>#VALUE!</v>
      </c>
      <c r="F3802" s="13"/>
    </row>
    <row r="3803" spans="1:6" ht="15.75" customHeight="1" x14ac:dyDescent="0.15">
      <c r="A3803" s="12" t="e">
        <v>#VALUE!</v>
      </c>
      <c r="B3803" s="13"/>
      <c r="C3803" t="e">
        <f t="shared" si="3"/>
        <v>#VALUE!</v>
      </c>
      <c r="F3803" s="13"/>
    </row>
    <row r="3804" spans="1:6" ht="15.75" customHeight="1" x14ac:dyDescent="0.15">
      <c r="A3804" s="12" t="e">
        <v>#VALUE!</v>
      </c>
      <c r="B3804" s="13"/>
      <c r="C3804" t="e">
        <f t="shared" si="3"/>
        <v>#VALUE!</v>
      </c>
      <c r="F3804" s="13"/>
    </row>
    <row r="3805" spans="1:6" ht="15.75" customHeight="1" x14ac:dyDescent="0.15">
      <c r="A3805" s="12" t="e">
        <v>#VALUE!</v>
      </c>
      <c r="B3805" s="13"/>
      <c r="C3805" t="e">
        <f t="shared" si="3"/>
        <v>#VALUE!</v>
      </c>
      <c r="F3805" s="13"/>
    </row>
    <row r="3806" spans="1:6" ht="15.75" customHeight="1" x14ac:dyDescent="0.15">
      <c r="A3806" s="12" t="e">
        <v>#VALUE!</v>
      </c>
      <c r="B3806" s="13"/>
      <c r="C3806" t="e">
        <f t="shared" si="3"/>
        <v>#VALUE!</v>
      </c>
      <c r="F3806" s="13"/>
    </row>
    <row r="3807" spans="1:6" ht="15.75" customHeight="1" x14ac:dyDescent="0.15">
      <c r="A3807" s="12" t="e">
        <v>#VALUE!</v>
      </c>
      <c r="B3807" s="13"/>
      <c r="C3807" t="e">
        <f t="shared" si="3"/>
        <v>#VALUE!</v>
      </c>
      <c r="F3807" s="13"/>
    </row>
    <row r="3808" spans="1:6" ht="15.75" customHeight="1" x14ac:dyDescent="0.15">
      <c r="A3808" s="12" t="e">
        <v>#VALUE!</v>
      </c>
      <c r="B3808" s="13"/>
      <c r="C3808" t="e">
        <f t="shared" si="3"/>
        <v>#VALUE!</v>
      </c>
      <c r="F3808" s="13"/>
    </row>
    <row r="3809" spans="1:6" ht="15.75" customHeight="1" x14ac:dyDescent="0.15">
      <c r="A3809" s="12" t="e">
        <v>#VALUE!</v>
      </c>
      <c r="B3809" s="13"/>
      <c r="C3809" t="e">
        <f t="shared" si="3"/>
        <v>#VALUE!</v>
      </c>
      <c r="F3809" s="13"/>
    </row>
    <row r="3810" spans="1:6" ht="15.75" customHeight="1" x14ac:dyDescent="0.15">
      <c r="A3810" s="12" t="e">
        <v>#VALUE!</v>
      </c>
      <c r="B3810" s="13"/>
      <c r="C3810" t="e">
        <f t="shared" si="3"/>
        <v>#VALUE!</v>
      </c>
      <c r="F3810" s="13"/>
    </row>
    <row r="3811" spans="1:6" ht="15.75" customHeight="1" x14ac:dyDescent="0.15">
      <c r="A3811" s="12" t="e">
        <v>#VALUE!</v>
      </c>
      <c r="B3811" s="13"/>
      <c r="C3811" t="e">
        <f t="shared" si="3"/>
        <v>#VALUE!</v>
      </c>
      <c r="F3811" s="13"/>
    </row>
    <row r="3812" spans="1:6" ht="15.75" customHeight="1" x14ac:dyDescent="0.15">
      <c r="A3812" s="12" t="e">
        <v>#VALUE!</v>
      </c>
      <c r="B3812" s="13"/>
      <c r="C3812" t="e">
        <f t="shared" si="3"/>
        <v>#VALUE!</v>
      </c>
      <c r="F3812" s="13"/>
    </row>
    <row r="3813" spans="1:6" ht="15.75" customHeight="1" x14ac:dyDescent="0.15">
      <c r="A3813" s="12" t="e">
        <v>#VALUE!</v>
      </c>
      <c r="B3813" s="13"/>
      <c r="C3813" t="e">
        <f t="shared" si="3"/>
        <v>#VALUE!</v>
      </c>
      <c r="F3813" s="13"/>
    </row>
    <row r="3814" spans="1:6" ht="15.75" customHeight="1" x14ac:dyDescent="0.15">
      <c r="A3814" s="12" t="e">
        <v>#VALUE!</v>
      </c>
      <c r="B3814" s="13"/>
      <c r="C3814" t="e">
        <f t="shared" si="3"/>
        <v>#VALUE!</v>
      </c>
      <c r="F3814" s="13"/>
    </row>
    <row r="3815" spans="1:6" ht="15.75" customHeight="1" x14ac:dyDescent="0.15">
      <c r="A3815" s="12" t="e">
        <v>#VALUE!</v>
      </c>
      <c r="B3815" s="13"/>
      <c r="C3815" t="e">
        <f t="shared" si="3"/>
        <v>#VALUE!</v>
      </c>
      <c r="F3815" s="13"/>
    </row>
    <row r="3816" spans="1:6" ht="15.75" customHeight="1" x14ac:dyDescent="0.15">
      <c r="A3816" s="12" t="e">
        <v>#VALUE!</v>
      </c>
      <c r="B3816" s="13"/>
      <c r="C3816" t="e">
        <f t="shared" si="3"/>
        <v>#VALUE!</v>
      </c>
      <c r="F3816" s="13"/>
    </row>
    <row r="3817" spans="1:6" ht="15.75" customHeight="1" x14ac:dyDescent="0.15">
      <c r="A3817" s="12" t="e">
        <v>#VALUE!</v>
      </c>
      <c r="B3817" s="13"/>
      <c r="C3817" t="e">
        <f t="shared" si="3"/>
        <v>#VALUE!</v>
      </c>
      <c r="F3817" s="13"/>
    </row>
    <row r="3818" spans="1:6" ht="15.75" customHeight="1" x14ac:dyDescent="0.15">
      <c r="A3818" s="12" t="e">
        <v>#VALUE!</v>
      </c>
      <c r="B3818" s="13"/>
      <c r="C3818" t="e">
        <f t="shared" si="3"/>
        <v>#VALUE!</v>
      </c>
      <c r="F3818" s="13"/>
    </row>
    <row r="3819" spans="1:6" ht="15.75" customHeight="1" x14ac:dyDescent="0.15">
      <c r="A3819" s="12" t="e">
        <v>#VALUE!</v>
      </c>
      <c r="B3819" s="13"/>
      <c r="C3819" t="e">
        <f t="shared" si="3"/>
        <v>#VALUE!</v>
      </c>
      <c r="F3819" s="13"/>
    </row>
    <row r="3820" spans="1:6" ht="15.75" customHeight="1" x14ac:dyDescent="0.15">
      <c r="A3820" s="12" t="e">
        <v>#VALUE!</v>
      </c>
      <c r="B3820" s="13"/>
      <c r="C3820" t="e">
        <f t="shared" si="3"/>
        <v>#VALUE!</v>
      </c>
      <c r="F3820" s="13"/>
    </row>
    <row r="3821" spans="1:6" ht="15.75" customHeight="1" x14ac:dyDescent="0.15">
      <c r="A3821" s="12" t="e">
        <v>#VALUE!</v>
      </c>
      <c r="B3821" s="13"/>
      <c r="C3821" t="e">
        <f t="shared" si="3"/>
        <v>#VALUE!</v>
      </c>
      <c r="F3821" s="13"/>
    </row>
    <row r="3822" spans="1:6" ht="15.75" customHeight="1" x14ac:dyDescent="0.15">
      <c r="A3822" s="12" t="e">
        <v>#VALUE!</v>
      </c>
      <c r="B3822" s="13"/>
      <c r="C3822" t="e">
        <f t="shared" si="3"/>
        <v>#VALUE!</v>
      </c>
      <c r="F3822" s="13"/>
    </row>
    <row r="3823" spans="1:6" ht="15.75" customHeight="1" x14ac:dyDescent="0.15">
      <c r="A3823" s="12" t="e">
        <v>#VALUE!</v>
      </c>
      <c r="B3823" s="13"/>
      <c r="C3823" t="e">
        <f t="shared" si="3"/>
        <v>#VALUE!</v>
      </c>
      <c r="F3823" s="13"/>
    </row>
    <row r="3824" spans="1:6" ht="15.75" customHeight="1" x14ac:dyDescent="0.15">
      <c r="A3824" s="12" t="e">
        <v>#VALUE!</v>
      </c>
      <c r="B3824" s="13"/>
      <c r="C3824" t="e">
        <f t="shared" si="3"/>
        <v>#VALUE!</v>
      </c>
      <c r="F3824" s="13"/>
    </row>
    <row r="3825" spans="1:6" ht="15.75" customHeight="1" x14ac:dyDescent="0.15">
      <c r="A3825" s="12" t="e">
        <v>#VALUE!</v>
      </c>
      <c r="B3825" s="13"/>
      <c r="C3825" t="e">
        <f t="shared" si="3"/>
        <v>#VALUE!</v>
      </c>
      <c r="F3825" s="13"/>
    </row>
    <row r="3826" spans="1:6" ht="15.75" customHeight="1" x14ac:dyDescent="0.15">
      <c r="A3826" s="12" t="e">
        <v>#VALUE!</v>
      </c>
      <c r="B3826" s="13"/>
      <c r="C3826" t="e">
        <f t="shared" si="3"/>
        <v>#VALUE!</v>
      </c>
      <c r="F3826" s="13"/>
    </row>
    <row r="3827" spans="1:6" ht="15.75" customHeight="1" x14ac:dyDescent="0.15">
      <c r="A3827" s="12" t="e">
        <v>#VALUE!</v>
      </c>
      <c r="B3827" s="13"/>
      <c r="C3827" t="e">
        <f t="shared" si="3"/>
        <v>#VALUE!</v>
      </c>
      <c r="F3827" s="13"/>
    </row>
    <row r="3828" spans="1:6" ht="15.75" customHeight="1" x14ac:dyDescent="0.15">
      <c r="A3828" s="12" t="e">
        <v>#VALUE!</v>
      </c>
      <c r="B3828" s="13"/>
      <c r="C3828" t="e">
        <f t="shared" si="3"/>
        <v>#VALUE!</v>
      </c>
      <c r="F3828" s="13"/>
    </row>
    <row r="3829" spans="1:6" ht="15.75" customHeight="1" x14ac:dyDescent="0.15">
      <c r="A3829" s="12" t="e">
        <v>#VALUE!</v>
      </c>
      <c r="B3829" s="13"/>
      <c r="C3829" t="e">
        <f t="shared" si="3"/>
        <v>#VALUE!</v>
      </c>
      <c r="F3829" s="13"/>
    </row>
    <row r="3830" spans="1:6" ht="15.75" customHeight="1" x14ac:dyDescent="0.15">
      <c r="A3830" s="12" t="e">
        <v>#VALUE!</v>
      </c>
      <c r="B3830" s="13"/>
      <c r="C3830" t="e">
        <f t="shared" si="3"/>
        <v>#VALUE!</v>
      </c>
      <c r="F3830" s="13"/>
    </row>
    <row r="3831" spans="1:6" ht="15.75" customHeight="1" x14ac:dyDescent="0.15">
      <c r="A3831" s="12" t="e">
        <v>#VALUE!</v>
      </c>
      <c r="B3831" s="13"/>
      <c r="C3831" t="e">
        <f t="shared" si="3"/>
        <v>#VALUE!</v>
      </c>
      <c r="F3831" s="13"/>
    </row>
    <row r="3832" spans="1:6" ht="15.75" customHeight="1" x14ac:dyDescent="0.15">
      <c r="A3832" s="12" t="e">
        <v>#VALUE!</v>
      </c>
      <c r="B3832" s="13"/>
      <c r="C3832" t="e">
        <f t="shared" si="3"/>
        <v>#VALUE!</v>
      </c>
      <c r="F3832" s="13"/>
    </row>
    <row r="3833" spans="1:6" ht="15.75" customHeight="1" x14ac:dyDescent="0.15">
      <c r="A3833" s="12" t="e">
        <v>#VALUE!</v>
      </c>
      <c r="B3833" s="13"/>
      <c r="C3833" t="e">
        <f t="shared" si="3"/>
        <v>#VALUE!</v>
      </c>
      <c r="F3833" s="13"/>
    </row>
    <row r="3834" spans="1:6" ht="15.75" customHeight="1" x14ac:dyDescent="0.15">
      <c r="A3834" s="12" t="e">
        <v>#VALUE!</v>
      </c>
      <c r="B3834" s="13"/>
      <c r="C3834" t="e">
        <f t="shared" si="3"/>
        <v>#VALUE!</v>
      </c>
      <c r="F3834" s="13"/>
    </row>
    <row r="3835" spans="1:6" ht="15.75" customHeight="1" x14ac:dyDescent="0.15">
      <c r="A3835" s="12" t="e">
        <v>#VALUE!</v>
      </c>
      <c r="B3835" s="13"/>
      <c r="C3835" t="e">
        <f t="shared" si="3"/>
        <v>#VALUE!</v>
      </c>
      <c r="F3835" s="13"/>
    </row>
    <row r="3836" spans="1:6" ht="15.75" customHeight="1" x14ac:dyDescent="0.15">
      <c r="A3836" s="12" t="e">
        <v>#VALUE!</v>
      </c>
      <c r="B3836" s="13"/>
      <c r="C3836" t="e">
        <f t="shared" si="3"/>
        <v>#VALUE!</v>
      </c>
      <c r="F3836" s="13"/>
    </row>
    <row r="3837" spans="1:6" ht="15.75" customHeight="1" x14ac:dyDescent="0.15">
      <c r="A3837" s="12" t="e">
        <v>#VALUE!</v>
      </c>
      <c r="B3837" s="13"/>
      <c r="C3837" t="e">
        <f t="shared" si="3"/>
        <v>#VALUE!</v>
      </c>
      <c r="F3837" s="13"/>
    </row>
    <row r="3838" spans="1:6" ht="15.75" customHeight="1" x14ac:dyDescent="0.15">
      <c r="A3838" s="12" t="e">
        <v>#VALUE!</v>
      </c>
      <c r="B3838" s="13"/>
      <c r="C3838" t="e">
        <f t="shared" si="3"/>
        <v>#VALUE!</v>
      </c>
      <c r="F3838" s="13"/>
    </row>
    <row r="3839" spans="1:6" ht="15.75" customHeight="1" x14ac:dyDescent="0.15">
      <c r="A3839" s="12" t="e">
        <v>#VALUE!</v>
      </c>
      <c r="B3839" s="13"/>
      <c r="C3839" t="e">
        <f t="shared" si="3"/>
        <v>#VALUE!</v>
      </c>
      <c r="F3839" s="13"/>
    </row>
    <row r="3840" spans="1:6" ht="15.75" customHeight="1" x14ac:dyDescent="0.15">
      <c r="A3840" s="12" t="e">
        <v>#VALUE!</v>
      </c>
      <c r="B3840" s="13"/>
      <c r="C3840" t="e">
        <f t="shared" si="3"/>
        <v>#VALUE!</v>
      </c>
      <c r="F3840" s="13"/>
    </row>
    <row r="3841" spans="1:6" ht="15.75" customHeight="1" x14ac:dyDescent="0.15">
      <c r="A3841" s="12" t="e">
        <v>#VALUE!</v>
      </c>
      <c r="B3841" s="13"/>
      <c r="C3841" t="e">
        <f t="shared" si="3"/>
        <v>#VALUE!</v>
      </c>
      <c r="F3841" s="13"/>
    </row>
    <row r="3842" spans="1:6" ht="15.75" customHeight="1" x14ac:dyDescent="0.15">
      <c r="A3842" s="12" t="e">
        <v>#VALUE!</v>
      </c>
      <c r="B3842" s="13"/>
      <c r="C3842" t="e">
        <f t="shared" si="3"/>
        <v>#VALUE!</v>
      </c>
      <c r="F3842" s="13"/>
    </row>
    <row r="3843" spans="1:6" ht="15.75" customHeight="1" x14ac:dyDescent="0.15">
      <c r="A3843" s="12" t="e">
        <v>#VALUE!</v>
      </c>
      <c r="B3843" s="13"/>
      <c r="C3843" t="e">
        <f t="shared" si="3"/>
        <v>#VALUE!</v>
      </c>
      <c r="F3843" s="13"/>
    </row>
    <row r="3844" spans="1:6" ht="15.75" customHeight="1" x14ac:dyDescent="0.15">
      <c r="A3844" s="12" t="e">
        <v>#VALUE!</v>
      </c>
      <c r="B3844" s="13"/>
      <c r="C3844" t="e">
        <f t="shared" si="3"/>
        <v>#VALUE!</v>
      </c>
      <c r="F3844" s="13"/>
    </row>
    <row r="3845" spans="1:6" ht="15.75" customHeight="1" x14ac:dyDescent="0.15">
      <c r="A3845" s="12" t="e">
        <v>#VALUE!</v>
      </c>
      <c r="B3845" s="13"/>
      <c r="C3845" t="e">
        <f t="shared" si="3"/>
        <v>#VALUE!</v>
      </c>
      <c r="F3845" s="13"/>
    </row>
    <row r="3846" spans="1:6" ht="15.75" customHeight="1" x14ac:dyDescent="0.15">
      <c r="A3846" s="12" t="e">
        <v>#VALUE!</v>
      </c>
      <c r="B3846" s="13"/>
      <c r="C3846" t="e">
        <f t="shared" si="3"/>
        <v>#VALUE!</v>
      </c>
      <c r="F3846" s="13"/>
    </row>
    <row r="3847" spans="1:6" ht="15.75" customHeight="1" x14ac:dyDescent="0.15">
      <c r="A3847" s="12" t="e">
        <v>#VALUE!</v>
      </c>
      <c r="B3847" s="13"/>
      <c r="C3847" t="e">
        <f t="shared" si="3"/>
        <v>#VALUE!</v>
      </c>
      <c r="F3847" s="13"/>
    </row>
    <row r="3848" spans="1:6" ht="15.75" customHeight="1" x14ac:dyDescent="0.15">
      <c r="A3848" s="12" t="e">
        <v>#VALUE!</v>
      </c>
      <c r="B3848" s="13"/>
      <c r="C3848" t="e">
        <f t="shared" si="3"/>
        <v>#VALUE!</v>
      </c>
      <c r="F3848" s="13"/>
    </row>
    <row r="3849" spans="1:6" ht="15.75" customHeight="1" x14ac:dyDescent="0.15">
      <c r="A3849" s="12"/>
      <c r="B3849" s="13"/>
      <c r="C3849" t="e">
        <f t="shared" si="3"/>
        <v>#N/A</v>
      </c>
      <c r="F3849" s="13"/>
    </row>
    <row r="3850" spans="1:6" ht="15.75" customHeight="1" x14ac:dyDescent="0.15">
      <c r="A3850" s="12"/>
      <c r="B3850" s="13"/>
      <c r="C3850" t="e">
        <f t="shared" si="3"/>
        <v>#N/A</v>
      </c>
      <c r="F3850" s="13"/>
    </row>
    <row r="3851" spans="1:6" ht="15.75" customHeight="1" x14ac:dyDescent="0.15">
      <c r="A3851" s="12"/>
      <c r="B3851" s="13"/>
      <c r="C3851" t="e">
        <f t="shared" si="3"/>
        <v>#N/A</v>
      </c>
      <c r="F3851" s="13"/>
    </row>
    <row r="3852" spans="1:6" ht="15.75" customHeight="1" x14ac:dyDescent="0.15">
      <c r="A3852" s="12"/>
      <c r="B3852" s="13"/>
      <c r="C3852" t="e">
        <f t="shared" si="3"/>
        <v>#N/A</v>
      </c>
      <c r="F3852" s="13"/>
    </row>
    <row r="3853" spans="1:6" ht="15.75" customHeight="1" x14ac:dyDescent="0.15">
      <c r="A3853" s="12"/>
      <c r="B3853" s="13"/>
      <c r="C3853" t="e">
        <f t="shared" si="3"/>
        <v>#N/A</v>
      </c>
      <c r="F3853" s="13"/>
    </row>
    <row r="3854" spans="1:6" ht="15.75" customHeight="1" x14ac:dyDescent="0.15">
      <c r="A3854" s="12"/>
      <c r="B3854" s="13"/>
      <c r="C3854" t="e">
        <f t="shared" si="3"/>
        <v>#N/A</v>
      </c>
      <c r="F3854" s="13"/>
    </row>
    <row r="3855" spans="1:6" ht="15.75" customHeight="1" x14ac:dyDescent="0.15">
      <c r="A3855" s="12"/>
      <c r="B3855" s="13"/>
      <c r="C3855" t="e">
        <f t="shared" si="3"/>
        <v>#N/A</v>
      </c>
      <c r="F3855" s="13"/>
    </row>
    <row r="3856" spans="1:6" ht="15.75" customHeight="1" x14ac:dyDescent="0.15">
      <c r="A3856" s="12"/>
      <c r="B3856" s="13"/>
      <c r="C3856" t="e">
        <f t="shared" si="3"/>
        <v>#N/A</v>
      </c>
      <c r="F3856" s="13"/>
    </row>
    <row r="3857" spans="1:6" ht="15.75" customHeight="1" x14ac:dyDescent="0.15">
      <c r="A3857" s="12"/>
      <c r="B3857" s="13"/>
      <c r="C3857" t="e">
        <f t="shared" si="3"/>
        <v>#N/A</v>
      </c>
      <c r="F3857" s="13"/>
    </row>
    <row r="3858" spans="1:6" ht="15.75" customHeight="1" x14ac:dyDescent="0.15">
      <c r="A3858" s="12"/>
      <c r="B3858" s="13"/>
      <c r="C3858" t="e">
        <f t="shared" si="3"/>
        <v>#N/A</v>
      </c>
      <c r="F3858" s="13"/>
    </row>
    <row r="3859" spans="1:6" ht="15.75" customHeight="1" x14ac:dyDescent="0.15">
      <c r="A3859" s="12"/>
      <c r="B3859" s="13"/>
      <c r="C3859" t="e">
        <f t="shared" si="3"/>
        <v>#N/A</v>
      </c>
      <c r="F3859" s="13"/>
    </row>
    <row r="3860" spans="1:6" ht="15.75" customHeight="1" x14ac:dyDescent="0.15">
      <c r="A3860" s="12"/>
      <c r="B3860" s="13"/>
      <c r="C3860" t="e">
        <f t="shared" si="3"/>
        <v>#N/A</v>
      </c>
      <c r="F3860" s="13"/>
    </row>
    <row r="3861" spans="1:6" ht="15.75" customHeight="1" x14ac:dyDescent="0.15">
      <c r="A3861" s="12"/>
      <c r="B3861" s="13"/>
      <c r="C3861" t="e">
        <f t="shared" si="3"/>
        <v>#N/A</v>
      </c>
      <c r="F3861" s="13"/>
    </row>
    <row r="3862" spans="1:6" ht="15.75" customHeight="1" x14ac:dyDescent="0.15">
      <c r="A3862" s="12"/>
      <c r="B3862" s="13"/>
      <c r="C3862" t="e">
        <f t="shared" si="3"/>
        <v>#N/A</v>
      </c>
      <c r="F3862" s="13"/>
    </row>
    <row r="3863" spans="1:6" ht="15.75" customHeight="1" x14ac:dyDescent="0.15">
      <c r="A3863" s="12"/>
      <c r="B3863" s="13"/>
      <c r="C3863" t="e">
        <f t="shared" si="3"/>
        <v>#N/A</v>
      </c>
      <c r="F3863" s="13"/>
    </row>
    <row r="3864" spans="1:6" ht="15.75" customHeight="1" x14ac:dyDescent="0.15">
      <c r="A3864" s="12"/>
      <c r="B3864" s="13"/>
      <c r="C3864" t="e">
        <f t="shared" si="3"/>
        <v>#N/A</v>
      </c>
      <c r="F3864" s="13"/>
    </row>
    <row r="3865" spans="1:6" ht="15.75" customHeight="1" x14ac:dyDescent="0.15">
      <c r="A3865" s="12"/>
      <c r="B3865" s="13"/>
      <c r="C3865" t="e">
        <f t="shared" si="3"/>
        <v>#N/A</v>
      </c>
      <c r="F3865" s="13"/>
    </row>
    <row r="3866" spans="1:6" ht="15.75" customHeight="1" x14ac:dyDescent="0.15">
      <c r="A3866" s="12"/>
      <c r="B3866" s="13"/>
      <c r="C3866" t="e">
        <f t="shared" si="3"/>
        <v>#N/A</v>
      </c>
      <c r="F3866" s="13"/>
    </row>
    <row r="3867" spans="1:6" ht="15.75" customHeight="1" x14ac:dyDescent="0.15">
      <c r="A3867" s="12"/>
      <c r="B3867" s="13"/>
      <c r="C3867" t="e">
        <f t="shared" si="3"/>
        <v>#N/A</v>
      </c>
      <c r="F3867" s="13"/>
    </row>
    <row r="3868" spans="1:6" ht="15.75" customHeight="1" x14ac:dyDescent="0.15">
      <c r="A3868" s="12"/>
      <c r="B3868" s="13"/>
      <c r="C3868" t="e">
        <f t="shared" si="3"/>
        <v>#N/A</v>
      </c>
      <c r="F3868" s="13"/>
    </row>
    <row r="3869" spans="1:6" ht="15.75" customHeight="1" x14ac:dyDescent="0.15">
      <c r="A3869" s="12"/>
      <c r="B3869" s="13"/>
      <c r="C3869" t="e">
        <f t="shared" si="3"/>
        <v>#N/A</v>
      </c>
      <c r="F3869" s="13"/>
    </row>
    <row r="3870" spans="1:6" ht="15.75" customHeight="1" x14ac:dyDescent="0.15">
      <c r="A3870" s="12"/>
      <c r="B3870" s="13"/>
      <c r="C3870" t="e">
        <f t="shared" si="3"/>
        <v>#N/A</v>
      </c>
      <c r="F3870" s="13"/>
    </row>
    <row r="3871" spans="1:6" ht="15.75" customHeight="1" x14ac:dyDescent="0.15">
      <c r="A3871" s="12"/>
      <c r="B3871" s="13"/>
      <c r="C3871" t="e">
        <f t="shared" si="3"/>
        <v>#N/A</v>
      </c>
      <c r="F3871" s="13"/>
    </row>
    <row r="3872" spans="1:6" ht="15.75" customHeight="1" x14ac:dyDescent="0.15">
      <c r="A3872" s="12"/>
      <c r="B3872" s="13"/>
      <c r="C3872" t="e">
        <f t="shared" si="3"/>
        <v>#N/A</v>
      </c>
      <c r="F3872" s="13"/>
    </row>
    <row r="3873" spans="1:6" ht="15.75" customHeight="1" x14ac:dyDescent="0.15">
      <c r="A3873" s="12"/>
      <c r="B3873" s="13"/>
      <c r="C3873" t="e">
        <f t="shared" si="3"/>
        <v>#N/A</v>
      </c>
      <c r="F3873" s="13"/>
    </row>
    <row r="3874" spans="1:6" ht="15.75" customHeight="1" x14ac:dyDescent="0.15">
      <c r="A3874" s="12"/>
      <c r="B3874" s="13"/>
      <c r="C3874" t="e">
        <f t="shared" si="3"/>
        <v>#N/A</v>
      </c>
      <c r="F3874" s="13"/>
    </row>
    <row r="3875" spans="1:6" ht="15.75" customHeight="1" x14ac:dyDescent="0.15">
      <c r="A3875" s="12"/>
      <c r="B3875" s="13"/>
      <c r="C3875" t="e">
        <f t="shared" si="3"/>
        <v>#N/A</v>
      </c>
      <c r="F3875" s="13"/>
    </row>
    <row r="3876" spans="1:6" ht="15.75" customHeight="1" x14ac:dyDescent="0.15">
      <c r="A3876" s="12"/>
      <c r="B3876" s="13"/>
      <c r="C3876" t="e">
        <f t="shared" si="3"/>
        <v>#N/A</v>
      </c>
      <c r="F3876" s="13"/>
    </row>
    <row r="3877" spans="1:6" ht="15.75" customHeight="1" x14ac:dyDescent="0.15">
      <c r="A3877" s="12"/>
      <c r="B3877" s="13"/>
      <c r="C3877" t="e">
        <f t="shared" si="3"/>
        <v>#N/A</v>
      </c>
      <c r="F3877" s="13"/>
    </row>
    <row r="3878" spans="1:6" ht="15.75" customHeight="1" x14ac:dyDescent="0.15">
      <c r="A3878" s="12"/>
      <c r="B3878" s="13"/>
      <c r="C3878" t="e">
        <f t="shared" si="3"/>
        <v>#N/A</v>
      </c>
      <c r="F3878" s="13"/>
    </row>
    <row r="3879" spans="1:6" ht="15.75" customHeight="1" x14ac:dyDescent="0.15">
      <c r="A3879" s="12"/>
      <c r="B3879" s="13"/>
      <c r="C3879" t="e">
        <f t="shared" si="3"/>
        <v>#N/A</v>
      </c>
      <c r="F3879" s="13"/>
    </row>
    <row r="3880" spans="1:6" ht="15.75" customHeight="1" x14ac:dyDescent="0.15">
      <c r="A3880" s="12"/>
      <c r="B3880" s="13"/>
      <c r="C3880" t="e">
        <f t="shared" si="3"/>
        <v>#N/A</v>
      </c>
      <c r="F3880" s="13"/>
    </row>
    <row r="3881" spans="1:6" ht="15.75" customHeight="1" x14ac:dyDescent="0.15">
      <c r="A3881" s="12"/>
      <c r="B3881" s="13"/>
      <c r="C3881" t="e">
        <f t="shared" si="3"/>
        <v>#N/A</v>
      </c>
      <c r="F3881" s="13"/>
    </row>
    <row r="3882" spans="1:6" ht="15.75" customHeight="1" x14ac:dyDescent="0.15">
      <c r="A3882" s="12"/>
      <c r="B3882" s="13"/>
      <c r="C3882" t="e">
        <f t="shared" si="3"/>
        <v>#N/A</v>
      </c>
      <c r="F3882" s="13"/>
    </row>
    <row r="3883" spans="1:6" ht="15.75" customHeight="1" x14ac:dyDescent="0.15">
      <c r="A3883" s="12"/>
      <c r="B3883" s="13"/>
      <c r="C3883" t="e">
        <f t="shared" si="3"/>
        <v>#N/A</v>
      </c>
      <c r="F3883" s="13"/>
    </row>
    <row r="3884" spans="1:6" ht="15.75" customHeight="1" x14ac:dyDescent="0.15">
      <c r="A3884" s="12"/>
      <c r="B3884" s="13"/>
      <c r="C3884" t="e">
        <f t="shared" si="3"/>
        <v>#N/A</v>
      </c>
      <c r="F3884" s="13"/>
    </row>
    <row r="3885" spans="1:6" ht="15.75" customHeight="1" x14ac:dyDescent="0.15">
      <c r="A3885" s="12"/>
      <c r="B3885" s="13"/>
      <c r="C3885" t="e">
        <f t="shared" si="3"/>
        <v>#N/A</v>
      </c>
      <c r="F3885" s="13"/>
    </row>
    <row r="3886" spans="1:6" ht="15.75" customHeight="1" x14ac:dyDescent="0.15">
      <c r="A3886" s="12"/>
      <c r="B3886" s="13"/>
      <c r="C3886" t="e">
        <f t="shared" si="3"/>
        <v>#N/A</v>
      </c>
      <c r="F3886" s="13"/>
    </row>
    <row r="3887" spans="1:6" ht="15.75" customHeight="1" x14ac:dyDescent="0.15">
      <c r="A3887" s="12"/>
      <c r="B3887" s="13"/>
      <c r="C3887" t="e">
        <f t="shared" si="3"/>
        <v>#N/A</v>
      </c>
      <c r="F3887" s="13"/>
    </row>
    <row r="3888" spans="1:6" ht="15.75" customHeight="1" x14ac:dyDescent="0.15">
      <c r="A3888" s="12"/>
      <c r="B3888" s="13"/>
      <c r="C3888" t="e">
        <f t="shared" si="3"/>
        <v>#N/A</v>
      </c>
      <c r="F3888" s="13"/>
    </row>
    <row r="3889" spans="1:6" ht="15.75" customHeight="1" x14ac:dyDescent="0.15">
      <c r="A3889" s="12"/>
      <c r="B3889" s="13"/>
      <c r="C3889" t="e">
        <f t="shared" si="3"/>
        <v>#N/A</v>
      </c>
      <c r="F3889" s="13"/>
    </row>
    <row r="3890" spans="1:6" ht="15.75" customHeight="1" x14ac:dyDescent="0.15">
      <c r="A3890" s="12"/>
      <c r="B3890" s="13"/>
      <c r="C3890" t="e">
        <f t="shared" si="3"/>
        <v>#N/A</v>
      </c>
      <c r="F3890" s="13"/>
    </row>
    <row r="3891" spans="1:6" ht="15.75" customHeight="1" x14ac:dyDescent="0.15">
      <c r="A3891" s="12"/>
      <c r="B3891" s="13"/>
      <c r="C3891" t="e">
        <f t="shared" si="3"/>
        <v>#N/A</v>
      </c>
      <c r="F3891" s="13"/>
    </row>
    <row r="3892" spans="1:6" ht="15.75" customHeight="1" x14ac:dyDescent="0.15">
      <c r="A3892" s="12"/>
      <c r="B3892" s="13"/>
      <c r="C3892" t="e">
        <f t="shared" si="3"/>
        <v>#N/A</v>
      </c>
      <c r="F3892" s="13"/>
    </row>
    <row r="3893" spans="1:6" ht="15.75" customHeight="1" x14ac:dyDescent="0.15">
      <c r="A3893" s="12"/>
      <c r="B3893" s="13"/>
      <c r="C3893" t="e">
        <f t="shared" si="3"/>
        <v>#N/A</v>
      </c>
      <c r="F3893" s="13"/>
    </row>
    <row r="3894" spans="1:6" ht="15.75" customHeight="1" x14ac:dyDescent="0.15">
      <c r="A3894" s="12"/>
      <c r="B3894" s="13"/>
      <c r="C3894" t="e">
        <f t="shared" si="3"/>
        <v>#N/A</v>
      </c>
      <c r="F3894" s="13"/>
    </row>
    <row r="3895" spans="1:6" ht="15.75" customHeight="1" x14ac:dyDescent="0.15">
      <c r="A3895" s="12"/>
      <c r="B3895" s="13"/>
      <c r="C3895" t="e">
        <f t="shared" si="3"/>
        <v>#N/A</v>
      </c>
      <c r="F3895" s="13"/>
    </row>
    <row r="3896" spans="1:6" ht="15.75" customHeight="1" x14ac:dyDescent="0.15">
      <c r="A3896" s="12"/>
      <c r="B3896" s="13"/>
      <c r="C3896" t="e">
        <f t="shared" si="3"/>
        <v>#N/A</v>
      </c>
      <c r="F3896" s="13"/>
    </row>
    <row r="3897" spans="1:6" ht="15.75" customHeight="1" x14ac:dyDescent="0.15">
      <c r="A3897" s="12"/>
      <c r="B3897" s="13"/>
      <c r="C3897" t="e">
        <f t="shared" si="3"/>
        <v>#N/A</v>
      </c>
      <c r="F3897" s="13"/>
    </row>
    <row r="3898" spans="1:6" ht="15.75" customHeight="1" x14ac:dyDescent="0.15">
      <c r="A3898" s="12"/>
      <c r="B3898" s="13"/>
      <c r="C3898" t="e">
        <f t="shared" si="3"/>
        <v>#N/A</v>
      </c>
      <c r="F3898" s="13"/>
    </row>
    <row r="3899" spans="1:6" ht="15.75" customHeight="1" x14ac:dyDescent="0.15">
      <c r="A3899" s="12"/>
      <c r="B3899" s="13"/>
      <c r="C3899" t="e">
        <f t="shared" si="3"/>
        <v>#N/A</v>
      </c>
      <c r="F3899" s="13"/>
    </row>
    <row r="3900" spans="1:6" ht="15.75" customHeight="1" x14ac:dyDescent="0.15">
      <c r="A3900" s="12"/>
      <c r="B3900" s="13"/>
      <c r="C3900" t="e">
        <f t="shared" si="3"/>
        <v>#N/A</v>
      </c>
      <c r="F3900" s="13"/>
    </row>
    <row r="3901" spans="1:6" ht="15.75" customHeight="1" x14ac:dyDescent="0.15">
      <c r="A3901" s="12"/>
      <c r="B3901" s="13"/>
      <c r="C3901" t="e">
        <f t="shared" si="3"/>
        <v>#N/A</v>
      </c>
      <c r="F3901" s="13"/>
    </row>
    <row r="3902" spans="1:6" ht="15.75" customHeight="1" x14ac:dyDescent="0.15">
      <c r="A3902" s="12"/>
      <c r="B3902" s="13"/>
      <c r="C3902" t="e">
        <f t="shared" si="3"/>
        <v>#N/A</v>
      </c>
      <c r="F3902" s="13"/>
    </row>
    <row r="3903" spans="1:6" ht="15.75" customHeight="1" x14ac:dyDescent="0.15">
      <c r="A3903" s="12"/>
      <c r="B3903" s="13"/>
      <c r="C3903" t="e">
        <f t="shared" si="3"/>
        <v>#N/A</v>
      </c>
      <c r="F3903" s="13"/>
    </row>
    <row r="3904" spans="1:6" ht="15.75" customHeight="1" x14ac:dyDescent="0.15">
      <c r="A3904" s="12"/>
      <c r="B3904" s="13"/>
      <c r="C3904" t="e">
        <f t="shared" si="3"/>
        <v>#N/A</v>
      </c>
      <c r="F3904" s="13"/>
    </row>
    <row r="3905" spans="1:6" ht="15.75" customHeight="1" x14ac:dyDescent="0.15">
      <c r="A3905" s="12"/>
      <c r="B3905" s="13"/>
      <c r="C3905" t="e">
        <f t="shared" si="3"/>
        <v>#N/A</v>
      </c>
      <c r="F3905" s="13"/>
    </row>
    <row r="3906" spans="1:6" ht="15.75" customHeight="1" x14ac:dyDescent="0.15">
      <c r="A3906" s="12"/>
      <c r="B3906" s="13"/>
      <c r="C3906" t="e">
        <f t="shared" si="3"/>
        <v>#N/A</v>
      </c>
      <c r="F3906" s="13"/>
    </row>
    <row r="3907" spans="1:6" ht="15.75" customHeight="1" x14ac:dyDescent="0.15">
      <c r="A3907" s="12"/>
      <c r="B3907" s="13"/>
      <c r="C3907" t="e">
        <f t="shared" si="3"/>
        <v>#N/A</v>
      </c>
      <c r="F3907" s="13"/>
    </row>
    <row r="3908" spans="1:6" ht="15.75" customHeight="1" x14ac:dyDescent="0.15">
      <c r="A3908" s="12"/>
      <c r="B3908" s="13"/>
      <c r="C3908" t="e">
        <f t="shared" si="3"/>
        <v>#N/A</v>
      </c>
      <c r="F3908" s="13"/>
    </row>
    <row r="3909" spans="1:6" ht="15.75" customHeight="1" x14ac:dyDescent="0.15">
      <c r="A3909" s="12"/>
      <c r="B3909" s="13"/>
      <c r="C3909" t="e">
        <f t="shared" si="3"/>
        <v>#N/A</v>
      </c>
      <c r="F3909" s="13"/>
    </row>
    <row r="3910" spans="1:6" ht="15.75" customHeight="1" x14ac:dyDescent="0.15">
      <c r="A3910" s="12"/>
      <c r="B3910" s="13"/>
      <c r="C3910" t="e">
        <f t="shared" si="3"/>
        <v>#N/A</v>
      </c>
      <c r="F3910" s="13"/>
    </row>
    <row r="3911" spans="1:6" ht="15.75" customHeight="1" x14ac:dyDescent="0.15">
      <c r="A3911" s="12"/>
      <c r="B3911" s="13"/>
      <c r="C3911" t="e">
        <f t="shared" si="3"/>
        <v>#N/A</v>
      </c>
      <c r="F3911" s="13"/>
    </row>
    <row r="3912" spans="1:6" ht="15.75" customHeight="1" x14ac:dyDescent="0.15">
      <c r="A3912" s="12"/>
      <c r="B3912" s="13"/>
      <c r="C3912" t="e">
        <f t="shared" si="3"/>
        <v>#N/A</v>
      </c>
      <c r="F3912" s="13"/>
    </row>
    <row r="3913" spans="1:6" ht="15.75" customHeight="1" x14ac:dyDescent="0.15">
      <c r="A3913" s="12"/>
      <c r="B3913" s="13"/>
      <c r="C3913" t="e">
        <f t="shared" si="3"/>
        <v>#N/A</v>
      </c>
      <c r="F3913" s="13"/>
    </row>
    <row r="3914" spans="1:6" ht="15.75" customHeight="1" x14ac:dyDescent="0.15">
      <c r="A3914" s="12"/>
      <c r="B3914" s="13"/>
      <c r="C3914" t="e">
        <f t="shared" si="3"/>
        <v>#N/A</v>
      </c>
      <c r="F3914" s="13"/>
    </row>
    <row r="3915" spans="1:6" ht="15.75" customHeight="1" x14ac:dyDescent="0.15">
      <c r="A3915" s="12"/>
      <c r="B3915" s="13"/>
      <c r="C3915" t="e">
        <f t="shared" si="3"/>
        <v>#N/A</v>
      </c>
      <c r="F3915" s="13"/>
    </row>
    <row r="3916" spans="1:6" ht="15.75" customHeight="1" x14ac:dyDescent="0.15">
      <c r="A3916" s="12"/>
      <c r="B3916" s="13"/>
      <c r="C3916" t="e">
        <f t="shared" si="3"/>
        <v>#N/A</v>
      </c>
      <c r="F3916" s="13"/>
    </row>
    <row r="3917" spans="1:6" ht="15.75" customHeight="1" x14ac:dyDescent="0.15">
      <c r="A3917" s="12"/>
      <c r="B3917" s="13"/>
      <c r="C3917" t="e">
        <f t="shared" si="3"/>
        <v>#N/A</v>
      </c>
      <c r="F3917" s="13"/>
    </row>
    <row r="3918" spans="1:6" ht="15.75" customHeight="1" x14ac:dyDescent="0.15">
      <c r="A3918" s="12"/>
      <c r="B3918" s="13"/>
      <c r="C3918" t="e">
        <f t="shared" si="3"/>
        <v>#N/A</v>
      </c>
      <c r="F3918" s="13"/>
    </row>
    <row r="3919" spans="1:6" ht="15.75" customHeight="1" x14ac:dyDescent="0.15">
      <c r="A3919" s="12"/>
      <c r="B3919" s="13"/>
      <c r="C3919" t="e">
        <f t="shared" si="3"/>
        <v>#N/A</v>
      </c>
      <c r="F3919" s="13"/>
    </row>
    <row r="3920" spans="1:6" ht="15.75" customHeight="1" x14ac:dyDescent="0.15">
      <c r="A3920" s="12"/>
      <c r="B3920" s="13"/>
      <c r="C3920" t="e">
        <f t="shared" si="3"/>
        <v>#N/A</v>
      </c>
      <c r="F3920" s="13"/>
    </row>
    <row r="3921" spans="1:6" ht="15.75" customHeight="1" x14ac:dyDescent="0.15">
      <c r="A3921" s="12"/>
      <c r="B3921" s="13"/>
      <c r="C3921" t="e">
        <f t="shared" si="3"/>
        <v>#N/A</v>
      </c>
      <c r="F3921" s="13"/>
    </row>
    <row r="3922" spans="1:6" ht="15.75" customHeight="1" x14ac:dyDescent="0.15">
      <c r="A3922" s="12"/>
      <c r="B3922" s="13"/>
      <c r="C3922" t="e">
        <f t="shared" si="3"/>
        <v>#N/A</v>
      </c>
      <c r="F3922" s="13"/>
    </row>
    <row r="3923" spans="1:6" ht="15.75" customHeight="1" x14ac:dyDescent="0.15">
      <c r="A3923" s="12"/>
      <c r="B3923" s="13"/>
      <c r="C3923" t="e">
        <f t="shared" si="3"/>
        <v>#N/A</v>
      </c>
      <c r="F3923" s="13"/>
    </row>
    <row r="3924" spans="1:6" ht="15.75" customHeight="1" x14ac:dyDescent="0.15">
      <c r="A3924" s="12"/>
      <c r="B3924" s="13"/>
      <c r="C3924" t="e">
        <f t="shared" si="3"/>
        <v>#N/A</v>
      </c>
      <c r="F3924" s="13"/>
    </row>
    <row r="3925" spans="1:6" ht="15.75" customHeight="1" x14ac:dyDescent="0.15">
      <c r="A3925" s="12"/>
      <c r="B3925" s="13"/>
      <c r="C3925" t="e">
        <f t="shared" si="3"/>
        <v>#N/A</v>
      </c>
      <c r="F3925" s="13"/>
    </row>
    <row r="3926" spans="1:6" ht="15.75" customHeight="1" x14ac:dyDescent="0.15">
      <c r="A3926" s="12"/>
      <c r="B3926" s="13"/>
      <c r="C3926" t="e">
        <f t="shared" si="3"/>
        <v>#N/A</v>
      </c>
      <c r="F3926" s="13"/>
    </row>
    <row r="3927" spans="1:6" ht="15.75" customHeight="1" x14ac:dyDescent="0.15">
      <c r="A3927" s="12"/>
      <c r="B3927" s="13"/>
      <c r="C3927" t="e">
        <f t="shared" si="3"/>
        <v>#N/A</v>
      </c>
      <c r="F3927" s="13"/>
    </row>
    <row r="3928" spans="1:6" ht="15.75" customHeight="1" x14ac:dyDescent="0.15">
      <c r="A3928" s="12"/>
      <c r="B3928" s="13"/>
      <c r="C3928" t="e">
        <f t="shared" si="3"/>
        <v>#N/A</v>
      </c>
      <c r="F3928" s="13"/>
    </row>
    <row r="3929" spans="1:6" ht="15.75" customHeight="1" x14ac:dyDescent="0.15">
      <c r="A3929" s="12"/>
      <c r="B3929" s="13"/>
      <c r="C3929" t="e">
        <f t="shared" si="3"/>
        <v>#N/A</v>
      </c>
      <c r="F3929" s="13"/>
    </row>
    <row r="3930" spans="1:6" ht="15.75" customHeight="1" x14ac:dyDescent="0.15">
      <c r="A3930" s="12"/>
      <c r="B3930" s="13"/>
      <c r="C3930" t="e">
        <f t="shared" si="3"/>
        <v>#N/A</v>
      </c>
      <c r="F3930" s="13"/>
    </row>
    <row r="3931" spans="1:6" ht="15.75" customHeight="1" x14ac:dyDescent="0.15">
      <c r="A3931" s="12"/>
      <c r="B3931" s="13"/>
      <c r="C3931" t="e">
        <f t="shared" si="3"/>
        <v>#N/A</v>
      </c>
      <c r="F3931" s="13"/>
    </row>
    <row r="3932" spans="1:6" ht="15.75" customHeight="1" x14ac:dyDescent="0.15">
      <c r="A3932" s="12"/>
      <c r="B3932" s="13"/>
      <c r="C3932" t="e">
        <f t="shared" si="3"/>
        <v>#N/A</v>
      </c>
      <c r="F3932" s="13"/>
    </row>
    <row r="3933" spans="1:6" ht="15.75" customHeight="1" x14ac:dyDescent="0.15">
      <c r="A3933" s="12"/>
      <c r="B3933" s="13"/>
      <c r="C3933" t="e">
        <f t="shared" si="3"/>
        <v>#N/A</v>
      </c>
      <c r="F3933" s="13"/>
    </row>
    <row r="3934" spans="1:6" ht="15.75" customHeight="1" x14ac:dyDescent="0.15">
      <c r="A3934" s="12"/>
      <c r="B3934" s="13"/>
      <c r="C3934" t="e">
        <f t="shared" si="3"/>
        <v>#N/A</v>
      </c>
      <c r="F3934" s="13"/>
    </row>
    <row r="3935" spans="1:6" ht="15.75" customHeight="1" x14ac:dyDescent="0.15">
      <c r="A3935" s="12"/>
      <c r="B3935" s="13"/>
      <c r="C3935" t="e">
        <f t="shared" si="3"/>
        <v>#N/A</v>
      </c>
      <c r="F3935" s="13"/>
    </row>
    <row r="3936" spans="1:6" ht="15.75" customHeight="1" x14ac:dyDescent="0.15">
      <c r="A3936" s="12"/>
      <c r="B3936" s="13"/>
      <c r="C3936" t="e">
        <f t="shared" si="3"/>
        <v>#N/A</v>
      </c>
      <c r="F3936" s="13"/>
    </row>
    <row r="3937" spans="1:6" ht="15.75" customHeight="1" x14ac:dyDescent="0.15">
      <c r="A3937" s="12"/>
      <c r="B3937" s="13"/>
      <c r="C3937" t="e">
        <f t="shared" si="3"/>
        <v>#N/A</v>
      </c>
      <c r="F3937" s="13"/>
    </row>
    <row r="3938" spans="1:6" ht="15.75" customHeight="1" x14ac:dyDescent="0.15">
      <c r="A3938" s="12"/>
      <c r="B3938" s="13"/>
      <c r="C3938" t="e">
        <f t="shared" si="3"/>
        <v>#N/A</v>
      </c>
      <c r="F3938" s="13"/>
    </row>
    <row r="3939" spans="1:6" ht="15.75" customHeight="1" x14ac:dyDescent="0.15">
      <c r="A3939" s="12"/>
      <c r="B3939" s="13"/>
      <c r="C3939" t="e">
        <f t="shared" si="3"/>
        <v>#N/A</v>
      </c>
      <c r="F3939" s="13"/>
    </row>
    <row r="3940" spans="1:6" ht="15.75" customHeight="1" x14ac:dyDescent="0.15">
      <c r="A3940" s="12"/>
      <c r="B3940" s="13"/>
      <c r="C3940" t="e">
        <f t="shared" si="3"/>
        <v>#N/A</v>
      </c>
      <c r="F3940" s="13"/>
    </row>
    <row r="3941" spans="1:6" ht="15.75" customHeight="1" x14ac:dyDescent="0.15">
      <c r="A3941" s="12"/>
      <c r="B3941" s="13"/>
      <c r="C3941" t="e">
        <f t="shared" si="3"/>
        <v>#N/A</v>
      </c>
      <c r="F3941" s="13"/>
    </row>
    <row r="3942" spans="1:6" ht="15.75" customHeight="1" x14ac:dyDescent="0.15">
      <c r="A3942" s="12"/>
      <c r="B3942" s="13"/>
      <c r="C3942" t="e">
        <f t="shared" si="3"/>
        <v>#N/A</v>
      </c>
      <c r="F3942" s="13"/>
    </row>
    <row r="3943" spans="1:6" ht="15.75" customHeight="1" x14ac:dyDescent="0.15">
      <c r="A3943" s="12"/>
      <c r="B3943" s="13"/>
      <c r="C3943" t="e">
        <f t="shared" si="3"/>
        <v>#N/A</v>
      </c>
      <c r="F3943" s="13"/>
    </row>
    <row r="3944" spans="1:6" ht="15.75" customHeight="1" x14ac:dyDescent="0.15">
      <c r="A3944" s="12"/>
      <c r="B3944" s="13"/>
      <c r="C3944" t="e">
        <f t="shared" si="3"/>
        <v>#N/A</v>
      </c>
      <c r="F3944" s="13"/>
    </row>
    <row r="3945" spans="1:6" ht="15.75" customHeight="1" x14ac:dyDescent="0.15">
      <c r="A3945" s="12"/>
      <c r="B3945" s="13"/>
      <c r="C3945" t="e">
        <f t="shared" si="3"/>
        <v>#N/A</v>
      </c>
      <c r="F3945" s="13"/>
    </row>
    <row r="3946" spans="1:6" ht="15.75" customHeight="1" x14ac:dyDescent="0.15">
      <c r="A3946" s="12"/>
      <c r="B3946" s="13"/>
      <c r="C3946" t="e">
        <f t="shared" si="3"/>
        <v>#N/A</v>
      </c>
      <c r="F3946" s="13"/>
    </row>
    <row r="3947" spans="1:6" ht="15.75" customHeight="1" x14ac:dyDescent="0.15">
      <c r="A3947" s="12"/>
      <c r="B3947" s="13"/>
      <c r="C3947" t="e">
        <f t="shared" si="3"/>
        <v>#N/A</v>
      </c>
      <c r="F3947" s="13"/>
    </row>
    <row r="3948" spans="1:6" ht="15.75" customHeight="1" x14ac:dyDescent="0.15">
      <c r="A3948" s="12"/>
      <c r="B3948" s="13"/>
      <c r="C3948" t="e">
        <f t="shared" si="3"/>
        <v>#N/A</v>
      </c>
      <c r="F3948" s="13"/>
    </row>
    <row r="3949" spans="1:6" ht="15.75" customHeight="1" x14ac:dyDescent="0.15">
      <c r="A3949" s="12"/>
      <c r="B3949" s="13"/>
      <c r="C3949" t="e">
        <f t="shared" si="3"/>
        <v>#N/A</v>
      </c>
      <c r="F3949" s="13"/>
    </row>
    <row r="3950" spans="1:6" ht="15.75" customHeight="1" x14ac:dyDescent="0.15">
      <c r="A3950" s="12"/>
      <c r="B3950" s="13"/>
      <c r="C3950" t="e">
        <f t="shared" si="3"/>
        <v>#N/A</v>
      </c>
      <c r="F3950" s="13"/>
    </row>
    <row r="3951" spans="1:6" ht="15.75" customHeight="1" x14ac:dyDescent="0.15">
      <c r="A3951" s="12"/>
      <c r="B3951" s="13"/>
      <c r="C3951" t="e">
        <f t="shared" si="3"/>
        <v>#N/A</v>
      </c>
      <c r="F3951" s="13"/>
    </row>
    <row r="3952" spans="1:6" ht="15.75" customHeight="1" x14ac:dyDescent="0.15">
      <c r="A3952" s="12"/>
      <c r="B3952" s="13"/>
      <c r="C3952" t="e">
        <f t="shared" si="3"/>
        <v>#N/A</v>
      </c>
      <c r="F3952" s="13"/>
    </row>
    <row r="3953" spans="1:6" ht="15.75" customHeight="1" x14ac:dyDescent="0.15">
      <c r="A3953" s="12"/>
      <c r="B3953" s="13"/>
      <c r="C3953" t="e">
        <f t="shared" si="3"/>
        <v>#N/A</v>
      </c>
      <c r="F3953" s="13"/>
    </row>
    <row r="3954" spans="1:6" ht="15.75" customHeight="1" x14ac:dyDescent="0.15">
      <c r="A3954" s="12"/>
      <c r="B3954" s="13"/>
      <c r="C3954" t="e">
        <f t="shared" si="3"/>
        <v>#N/A</v>
      </c>
      <c r="F3954" s="13"/>
    </row>
    <row r="3955" spans="1:6" ht="15.75" customHeight="1" x14ac:dyDescent="0.15">
      <c r="A3955" s="12"/>
      <c r="B3955" s="13"/>
      <c r="C3955" t="e">
        <f t="shared" si="3"/>
        <v>#N/A</v>
      </c>
      <c r="F3955" s="13"/>
    </row>
    <row r="3956" spans="1:6" ht="15.75" customHeight="1" x14ac:dyDescent="0.15">
      <c r="A3956" s="12"/>
      <c r="B3956" s="13"/>
      <c r="C3956" t="e">
        <f t="shared" si="3"/>
        <v>#N/A</v>
      </c>
      <c r="F3956" s="13"/>
    </row>
    <row r="3957" spans="1:6" ht="15.75" customHeight="1" x14ac:dyDescent="0.15">
      <c r="A3957" s="12"/>
      <c r="B3957" s="13"/>
      <c r="C3957" t="e">
        <f t="shared" si="3"/>
        <v>#N/A</v>
      </c>
      <c r="F3957" s="13"/>
    </row>
    <row r="3958" spans="1:6" ht="15.75" customHeight="1" x14ac:dyDescent="0.15">
      <c r="A3958" s="12"/>
      <c r="B3958" s="13"/>
      <c r="C3958" t="e">
        <f t="shared" si="3"/>
        <v>#N/A</v>
      </c>
      <c r="F3958" s="13"/>
    </row>
    <row r="3959" spans="1:6" ht="15.75" customHeight="1" x14ac:dyDescent="0.15">
      <c r="A3959" s="12"/>
      <c r="B3959" s="13"/>
      <c r="C3959" t="e">
        <f t="shared" si="3"/>
        <v>#N/A</v>
      </c>
      <c r="F3959" s="13"/>
    </row>
    <row r="3960" spans="1:6" ht="15.75" customHeight="1" x14ac:dyDescent="0.15">
      <c r="A3960" s="12"/>
      <c r="B3960" s="13"/>
      <c r="C3960" t="e">
        <f t="shared" si="3"/>
        <v>#N/A</v>
      </c>
      <c r="F3960" s="13"/>
    </row>
    <row r="3961" spans="1:6" ht="15.75" customHeight="1" x14ac:dyDescent="0.15">
      <c r="A3961" s="12"/>
      <c r="B3961" s="13"/>
      <c r="C3961" t="e">
        <f t="shared" si="3"/>
        <v>#N/A</v>
      </c>
      <c r="F3961" s="13"/>
    </row>
    <row r="3962" spans="1:6" ht="15.75" customHeight="1" x14ac:dyDescent="0.15">
      <c r="A3962" s="12"/>
      <c r="B3962" s="13"/>
      <c r="C3962" t="e">
        <f t="shared" si="3"/>
        <v>#N/A</v>
      </c>
      <c r="F3962" s="13"/>
    </row>
    <row r="3963" spans="1:6" ht="15.75" customHeight="1" x14ac:dyDescent="0.15">
      <c r="A3963" s="12"/>
      <c r="B3963" s="13"/>
      <c r="C3963" t="e">
        <f t="shared" si="3"/>
        <v>#N/A</v>
      </c>
      <c r="F3963" s="13"/>
    </row>
    <row r="3964" spans="1:6" ht="15.75" customHeight="1" x14ac:dyDescent="0.15">
      <c r="A3964" s="12"/>
      <c r="B3964" s="13"/>
      <c r="C3964" t="e">
        <f t="shared" si="3"/>
        <v>#N/A</v>
      </c>
      <c r="F3964" s="13"/>
    </row>
    <row r="3965" spans="1:6" ht="15.75" customHeight="1" x14ac:dyDescent="0.15">
      <c r="A3965" s="12"/>
      <c r="B3965" s="13"/>
      <c r="C3965" t="e">
        <f t="shared" si="3"/>
        <v>#N/A</v>
      </c>
      <c r="F3965" s="13"/>
    </row>
    <row r="3966" spans="1:6" ht="15.75" customHeight="1" x14ac:dyDescent="0.15">
      <c r="A3966" s="12"/>
      <c r="B3966" s="13"/>
      <c r="C3966" t="e">
        <f t="shared" si="3"/>
        <v>#N/A</v>
      </c>
      <c r="F3966" s="13"/>
    </row>
    <row r="3967" spans="1:6" ht="15.75" customHeight="1" x14ac:dyDescent="0.15">
      <c r="A3967" s="12"/>
      <c r="B3967" s="13"/>
      <c r="C3967" t="e">
        <f t="shared" si="3"/>
        <v>#N/A</v>
      </c>
      <c r="F3967" s="13"/>
    </row>
    <row r="3968" spans="1:6" ht="15.75" customHeight="1" x14ac:dyDescent="0.15">
      <c r="A3968" s="12"/>
      <c r="B3968" s="13"/>
      <c r="C3968" t="e">
        <f t="shared" si="3"/>
        <v>#N/A</v>
      </c>
      <c r="F3968" s="13"/>
    </row>
    <row r="3969" spans="1:6" ht="15.75" customHeight="1" x14ac:dyDescent="0.15">
      <c r="A3969" s="12"/>
      <c r="B3969" s="13"/>
      <c r="C3969" t="e">
        <f t="shared" si="3"/>
        <v>#N/A</v>
      </c>
      <c r="F3969" s="13"/>
    </row>
    <row r="3970" spans="1:6" ht="15.75" customHeight="1" x14ac:dyDescent="0.15">
      <c r="A3970" s="12"/>
      <c r="B3970" s="13"/>
      <c r="C3970" t="e">
        <f t="shared" si="3"/>
        <v>#N/A</v>
      </c>
      <c r="F3970" s="13"/>
    </row>
    <row r="3971" spans="1:6" ht="15.75" customHeight="1" x14ac:dyDescent="0.15">
      <c r="A3971" s="12"/>
      <c r="B3971" s="13"/>
      <c r="C3971" t="e">
        <f t="shared" si="3"/>
        <v>#N/A</v>
      </c>
      <c r="F3971" s="13"/>
    </row>
    <row r="3972" spans="1:6" ht="15.75" customHeight="1" x14ac:dyDescent="0.15">
      <c r="A3972" s="12"/>
      <c r="B3972" s="13"/>
      <c r="C3972" t="e">
        <f t="shared" si="3"/>
        <v>#N/A</v>
      </c>
      <c r="F3972" s="13"/>
    </row>
    <row r="3973" spans="1:6" ht="15.75" customHeight="1" x14ac:dyDescent="0.15">
      <c r="A3973" s="12"/>
      <c r="B3973" s="13"/>
      <c r="C3973" t="e">
        <f t="shared" si="3"/>
        <v>#N/A</v>
      </c>
      <c r="F3973" s="13"/>
    </row>
    <row r="3974" spans="1:6" ht="15.75" customHeight="1" x14ac:dyDescent="0.15">
      <c r="A3974" s="12"/>
      <c r="B3974" s="13"/>
      <c r="C3974" t="e">
        <f t="shared" si="3"/>
        <v>#N/A</v>
      </c>
      <c r="F3974" s="13"/>
    </row>
    <row r="3975" spans="1:6" ht="15.75" customHeight="1" x14ac:dyDescent="0.15">
      <c r="A3975" s="12"/>
      <c r="B3975" s="13"/>
      <c r="C3975" t="e">
        <f t="shared" si="3"/>
        <v>#N/A</v>
      </c>
      <c r="F3975" s="13"/>
    </row>
    <row r="3976" spans="1:6" ht="15.75" customHeight="1" x14ac:dyDescent="0.15">
      <c r="A3976" s="12"/>
      <c r="B3976" s="13"/>
      <c r="C3976" t="e">
        <f t="shared" si="3"/>
        <v>#N/A</v>
      </c>
      <c r="F3976" s="13"/>
    </row>
    <row r="3977" spans="1:6" ht="15.75" customHeight="1" x14ac:dyDescent="0.15">
      <c r="A3977" s="12"/>
      <c r="B3977" s="13"/>
      <c r="C3977" t="e">
        <f t="shared" si="3"/>
        <v>#N/A</v>
      </c>
      <c r="F3977" s="13"/>
    </row>
    <row r="3978" spans="1:6" ht="15.75" customHeight="1" x14ac:dyDescent="0.15">
      <c r="A3978" s="12"/>
      <c r="B3978" s="13"/>
      <c r="C3978" t="e">
        <f t="shared" si="3"/>
        <v>#N/A</v>
      </c>
      <c r="F3978" s="13"/>
    </row>
    <row r="3979" spans="1:6" ht="15.75" customHeight="1" x14ac:dyDescent="0.15">
      <c r="A3979" s="12"/>
      <c r="B3979" s="13"/>
      <c r="C3979" t="e">
        <f t="shared" si="3"/>
        <v>#N/A</v>
      </c>
      <c r="F3979" s="13"/>
    </row>
    <row r="3980" spans="1:6" ht="15.75" customHeight="1" x14ac:dyDescent="0.15">
      <c r="A3980" s="12"/>
      <c r="B3980" s="13"/>
      <c r="C3980" t="e">
        <f t="shared" si="3"/>
        <v>#N/A</v>
      </c>
      <c r="F3980" s="13"/>
    </row>
    <row r="3981" spans="1:6" ht="15.75" customHeight="1" x14ac:dyDescent="0.15">
      <c r="A3981" s="12"/>
      <c r="B3981" s="13"/>
      <c r="C3981" t="e">
        <f t="shared" si="3"/>
        <v>#N/A</v>
      </c>
      <c r="F3981" s="13"/>
    </row>
    <row r="3982" spans="1:6" ht="15.75" customHeight="1" x14ac:dyDescent="0.15">
      <c r="A3982" s="12"/>
      <c r="B3982" s="13"/>
      <c r="C3982" t="e">
        <f t="shared" si="3"/>
        <v>#N/A</v>
      </c>
      <c r="F3982" s="13"/>
    </row>
    <row r="3983" spans="1:6" ht="15.75" customHeight="1" x14ac:dyDescent="0.15">
      <c r="A3983" s="12"/>
      <c r="B3983" s="13"/>
      <c r="C3983" t="e">
        <f t="shared" si="3"/>
        <v>#N/A</v>
      </c>
      <c r="F3983" s="13"/>
    </row>
    <row r="3984" spans="1:6" ht="15.75" customHeight="1" x14ac:dyDescent="0.15">
      <c r="A3984" s="12"/>
      <c r="B3984" s="13"/>
      <c r="C3984" t="e">
        <f t="shared" si="3"/>
        <v>#N/A</v>
      </c>
      <c r="F3984" s="13"/>
    </row>
    <row r="3985" spans="1:6" ht="15.75" customHeight="1" x14ac:dyDescent="0.15">
      <c r="A3985" s="12"/>
      <c r="B3985" s="13"/>
      <c r="C3985" t="e">
        <f t="shared" si="3"/>
        <v>#N/A</v>
      </c>
      <c r="F3985" s="13"/>
    </row>
    <row r="3986" spans="1:6" ht="15.75" customHeight="1" x14ac:dyDescent="0.15">
      <c r="A3986" s="12"/>
      <c r="B3986" s="13"/>
      <c r="C3986" t="e">
        <f t="shared" si="3"/>
        <v>#N/A</v>
      </c>
      <c r="F3986" s="13"/>
    </row>
    <row r="3987" spans="1:6" ht="15.75" customHeight="1" x14ac:dyDescent="0.15">
      <c r="A3987" s="12"/>
      <c r="B3987" s="13"/>
      <c r="C3987" t="e">
        <f t="shared" si="3"/>
        <v>#N/A</v>
      </c>
      <c r="F3987" s="13"/>
    </row>
    <row r="3988" spans="1:6" ht="15.75" customHeight="1" x14ac:dyDescent="0.15">
      <c r="A3988" s="12"/>
      <c r="B3988" s="13"/>
      <c r="C3988" t="e">
        <f t="shared" si="3"/>
        <v>#N/A</v>
      </c>
      <c r="F3988" s="13"/>
    </row>
    <row r="3989" spans="1:6" ht="15.75" customHeight="1" x14ac:dyDescent="0.15">
      <c r="A3989" s="12"/>
      <c r="B3989" s="13"/>
      <c r="C3989" t="e">
        <f t="shared" si="3"/>
        <v>#N/A</v>
      </c>
      <c r="F3989" s="13"/>
    </row>
    <row r="3990" spans="1:6" ht="15.75" customHeight="1" x14ac:dyDescent="0.15">
      <c r="A3990" s="12"/>
      <c r="B3990" s="13"/>
      <c r="C3990" t="e">
        <f t="shared" si="3"/>
        <v>#N/A</v>
      </c>
      <c r="F3990" s="13"/>
    </row>
    <row r="3991" spans="1:6" ht="15.75" customHeight="1" x14ac:dyDescent="0.15">
      <c r="A3991" s="12"/>
      <c r="B3991" s="13"/>
      <c r="C3991" t="e">
        <f t="shared" si="3"/>
        <v>#N/A</v>
      </c>
      <c r="F3991" s="13"/>
    </row>
    <row r="3992" spans="1:6" ht="15.75" customHeight="1" x14ac:dyDescent="0.15">
      <c r="A3992" s="12"/>
      <c r="B3992" s="13"/>
      <c r="C3992" t="e">
        <f t="shared" si="3"/>
        <v>#N/A</v>
      </c>
      <c r="F3992" s="13"/>
    </row>
    <row r="3993" spans="1:6" ht="15.75" customHeight="1" x14ac:dyDescent="0.15">
      <c r="A3993" s="12"/>
      <c r="B3993" s="13"/>
      <c r="C3993" t="e">
        <f t="shared" si="3"/>
        <v>#N/A</v>
      </c>
      <c r="F3993" s="13"/>
    </row>
    <row r="3994" spans="1:6" ht="15.75" customHeight="1" x14ac:dyDescent="0.15">
      <c r="A3994" s="12"/>
      <c r="B3994" s="13"/>
      <c r="C3994" t="e">
        <f t="shared" si="3"/>
        <v>#N/A</v>
      </c>
      <c r="F3994" s="13"/>
    </row>
    <row r="3995" spans="1:6" ht="15.75" customHeight="1" x14ac:dyDescent="0.15">
      <c r="A3995" s="12"/>
      <c r="B3995" s="13"/>
      <c r="C3995" t="e">
        <f t="shared" si="3"/>
        <v>#N/A</v>
      </c>
      <c r="F3995" s="13"/>
    </row>
    <row r="3996" spans="1:6" ht="15.75" customHeight="1" x14ac:dyDescent="0.15">
      <c r="A3996" s="12"/>
      <c r="B3996" s="13"/>
      <c r="C3996" t="e">
        <f t="shared" si="3"/>
        <v>#N/A</v>
      </c>
      <c r="F3996" s="13"/>
    </row>
    <row r="3997" spans="1:6" ht="15.75" customHeight="1" x14ac:dyDescent="0.15">
      <c r="A3997" s="12"/>
      <c r="B3997" s="13"/>
      <c r="C3997" t="e">
        <f t="shared" si="3"/>
        <v>#N/A</v>
      </c>
      <c r="F3997" s="13"/>
    </row>
    <row r="3998" spans="1:6" ht="15.75" customHeight="1" x14ac:dyDescent="0.15">
      <c r="A3998" s="12"/>
      <c r="B3998" s="13"/>
      <c r="C3998" t="e">
        <f t="shared" si="3"/>
        <v>#N/A</v>
      </c>
      <c r="F3998" s="13"/>
    </row>
    <row r="3999" spans="1:6" ht="15.75" customHeight="1" x14ac:dyDescent="0.15">
      <c r="A3999" s="12"/>
      <c r="B3999" s="13"/>
      <c r="C3999" t="e">
        <f t="shared" si="3"/>
        <v>#N/A</v>
      </c>
      <c r="F3999" s="13"/>
    </row>
    <row r="4000" spans="1:6" ht="15.75" customHeight="1" x14ac:dyDescent="0.15">
      <c r="A4000" s="12"/>
      <c r="B4000" s="13"/>
      <c r="C4000" t="e">
        <f t="shared" si="3"/>
        <v>#N/A</v>
      </c>
      <c r="F4000" s="13"/>
    </row>
    <row r="4001" spans="1:6" ht="15.75" customHeight="1" x14ac:dyDescent="0.15">
      <c r="A4001" s="12"/>
      <c r="B4001" s="13"/>
      <c r="C4001" t="e">
        <f t="shared" si="3"/>
        <v>#N/A</v>
      </c>
      <c r="F4001" s="13"/>
    </row>
    <row r="4002" spans="1:6" ht="15.75" customHeight="1" x14ac:dyDescent="0.15">
      <c r="A4002" s="12"/>
      <c r="B4002" s="13"/>
      <c r="C4002" t="e">
        <f t="shared" si="3"/>
        <v>#N/A</v>
      </c>
      <c r="F4002" s="13"/>
    </row>
    <row r="4003" spans="1:6" ht="15.75" customHeight="1" x14ac:dyDescent="0.15">
      <c r="A4003" s="12"/>
      <c r="B4003" s="13"/>
      <c r="C4003" t="e">
        <f t="shared" si="3"/>
        <v>#N/A</v>
      </c>
      <c r="F4003" s="13"/>
    </row>
    <row r="4004" spans="1:6" ht="15.75" customHeight="1" x14ac:dyDescent="0.15">
      <c r="A4004" s="12"/>
      <c r="B4004" s="13"/>
      <c r="C4004" t="e">
        <f t="shared" si="3"/>
        <v>#N/A</v>
      </c>
      <c r="F4004" s="13"/>
    </row>
    <row r="4005" spans="1:6" ht="15.75" customHeight="1" x14ac:dyDescent="0.15">
      <c r="A4005" s="12"/>
      <c r="B4005" s="13"/>
      <c r="C4005" t="e">
        <f t="shared" si="3"/>
        <v>#N/A</v>
      </c>
      <c r="F4005" s="13"/>
    </row>
    <row r="4006" spans="1:6" ht="15.75" customHeight="1" x14ac:dyDescent="0.15">
      <c r="A4006" s="12"/>
      <c r="B4006" s="13"/>
      <c r="C4006" t="e">
        <f t="shared" si="3"/>
        <v>#N/A</v>
      </c>
      <c r="F4006" s="13"/>
    </row>
    <row r="4007" spans="1:6" ht="15.75" customHeight="1" x14ac:dyDescent="0.15">
      <c r="A4007" s="12"/>
      <c r="B4007" s="13"/>
      <c r="C4007" t="e">
        <f t="shared" si="3"/>
        <v>#N/A</v>
      </c>
      <c r="F4007" s="13"/>
    </row>
    <row r="4008" spans="1:6" ht="15.75" customHeight="1" x14ac:dyDescent="0.15">
      <c r="A4008" s="12"/>
      <c r="B4008" s="13"/>
      <c r="C4008" t="e">
        <f t="shared" si="3"/>
        <v>#N/A</v>
      </c>
      <c r="F4008" s="13"/>
    </row>
    <row r="4009" spans="1:6" ht="15.75" customHeight="1" x14ac:dyDescent="0.15">
      <c r="A4009" s="12"/>
      <c r="B4009" s="13"/>
      <c r="C4009" t="e">
        <f t="shared" si="3"/>
        <v>#N/A</v>
      </c>
      <c r="F4009" s="13"/>
    </row>
    <row r="4010" spans="1:6" ht="15.75" customHeight="1" x14ac:dyDescent="0.15">
      <c r="A4010" s="12"/>
      <c r="B4010" s="13"/>
      <c r="C4010" t="e">
        <f t="shared" si="3"/>
        <v>#N/A</v>
      </c>
      <c r="F4010" s="13"/>
    </row>
    <row r="4011" spans="1:6" ht="15.75" customHeight="1" x14ac:dyDescent="0.15">
      <c r="A4011" s="12"/>
      <c r="B4011" s="13"/>
      <c r="C4011" t="e">
        <f t="shared" si="3"/>
        <v>#N/A</v>
      </c>
      <c r="F4011" s="13"/>
    </row>
    <row r="4012" spans="1:6" ht="15.75" customHeight="1" x14ac:dyDescent="0.15">
      <c r="A4012" s="12"/>
      <c r="B4012" s="13"/>
      <c r="C4012" t="e">
        <f t="shared" si="3"/>
        <v>#N/A</v>
      </c>
      <c r="F4012" s="13"/>
    </row>
    <row r="4013" spans="1:6" ht="15.75" customHeight="1" x14ac:dyDescent="0.15">
      <c r="A4013" s="12"/>
      <c r="B4013" s="13"/>
      <c r="C4013" t="e">
        <f t="shared" si="3"/>
        <v>#N/A</v>
      </c>
      <c r="F4013" s="13"/>
    </row>
    <row r="4014" spans="1:6" ht="15.75" customHeight="1" x14ac:dyDescent="0.15">
      <c r="A4014" s="12"/>
      <c r="B4014" s="13"/>
      <c r="C4014" t="e">
        <f t="shared" si="3"/>
        <v>#N/A</v>
      </c>
      <c r="F4014" s="13"/>
    </row>
    <row r="4015" spans="1:6" ht="15.75" customHeight="1" x14ac:dyDescent="0.15">
      <c r="A4015" s="12"/>
      <c r="B4015" s="13"/>
      <c r="C4015" t="e">
        <f t="shared" si="3"/>
        <v>#N/A</v>
      </c>
      <c r="F4015" s="13"/>
    </row>
    <row r="4016" spans="1:6" ht="15.75" customHeight="1" x14ac:dyDescent="0.15">
      <c r="A4016" s="12"/>
      <c r="B4016" s="13"/>
      <c r="C4016" t="e">
        <f t="shared" si="3"/>
        <v>#N/A</v>
      </c>
      <c r="F4016" s="13"/>
    </row>
    <row r="4017" spans="1:6" ht="15.75" customHeight="1" x14ac:dyDescent="0.15">
      <c r="A4017" s="12"/>
      <c r="B4017" s="13"/>
      <c r="C4017" t="e">
        <f t="shared" si="3"/>
        <v>#N/A</v>
      </c>
      <c r="F4017" s="13"/>
    </row>
    <row r="4018" spans="1:6" ht="15.75" customHeight="1" x14ac:dyDescent="0.15">
      <c r="A4018" s="12"/>
      <c r="B4018" s="13"/>
      <c r="C4018" t="e">
        <f t="shared" si="3"/>
        <v>#N/A</v>
      </c>
      <c r="F4018" s="13"/>
    </row>
    <row r="4019" spans="1:6" ht="15.75" customHeight="1" x14ac:dyDescent="0.15">
      <c r="A4019" s="12"/>
      <c r="B4019" s="13"/>
      <c r="C4019" t="e">
        <f t="shared" si="3"/>
        <v>#N/A</v>
      </c>
      <c r="F4019" s="13"/>
    </row>
    <row r="4020" spans="1:6" ht="15.75" customHeight="1" x14ac:dyDescent="0.15">
      <c r="A4020" s="12"/>
      <c r="B4020" s="13"/>
      <c r="C4020" t="e">
        <f t="shared" si="3"/>
        <v>#N/A</v>
      </c>
      <c r="F4020" s="13"/>
    </row>
    <row r="4021" spans="1:6" ht="15.75" customHeight="1" x14ac:dyDescent="0.15">
      <c r="A4021" s="12"/>
      <c r="B4021" s="13"/>
      <c r="C4021" t="e">
        <f t="shared" si="3"/>
        <v>#N/A</v>
      </c>
      <c r="F4021" s="13"/>
    </row>
    <row r="4022" spans="1:6" ht="15.75" customHeight="1" x14ac:dyDescent="0.15">
      <c r="A4022" s="12"/>
      <c r="B4022" s="13"/>
      <c r="C4022" t="e">
        <f t="shared" si="3"/>
        <v>#N/A</v>
      </c>
      <c r="F4022" s="13"/>
    </row>
    <row r="4023" spans="1:6" ht="15.75" customHeight="1" x14ac:dyDescent="0.15">
      <c r="A4023" s="12"/>
      <c r="B4023" s="13"/>
      <c r="C4023" t="e">
        <f t="shared" si="3"/>
        <v>#N/A</v>
      </c>
      <c r="F4023" s="13"/>
    </row>
    <row r="4024" spans="1:6" ht="15.75" customHeight="1" x14ac:dyDescent="0.15">
      <c r="A4024" s="12"/>
      <c r="B4024" s="13"/>
      <c r="C4024" t="e">
        <f t="shared" si="3"/>
        <v>#N/A</v>
      </c>
      <c r="F4024" s="13"/>
    </row>
    <row r="4025" spans="1:6" ht="15.75" customHeight="1" x14ac:dyDescent="0.15">
      <c r="A4025" s="12"/>
      <c r="B4025" s="13"/>
      <c r="C4025" t="e">
        <f t="shared" si="3"/>
        <v>#N/A</v>
      </c>
      <c r="F4025" s="13"/>
    </row>
    <row r="4026" spans="1:6" ht="15.75" customHeight="1" x14ac:dyDescent="0.15">
      <c r="A4026" s="12"/>
      <c r="B4026" s="13"/>
      <c r="C4026" t="e">
        <f t="shared" si="3"/>
        <v>#N/A</v>
      </c>
      <c r="F4026" s="13"/>
    </row>
    <row r="4027" spans="1:6" ht="15.75" customHeight="1" x14ac:dyDescent="0.15">
      <c r="A4027" s="12"/>
      <c r="B4027" s="13"/>
      <c r="C4027" t="e">
        <f t="shared" si="3"/>
        <v>#N/A</v>
      </c>
      <c r="F4027" s="13"/>
    </row>
    <row r="4028" spans="1:6" ht="15.75" customHeight="1" x14ac:dyDescent="0.15">
      <c r="A4028" s="12"/>
      <c r="B4028" s="13"/>
      <c r="C4028" t="e">
        <f t="shared" si="3"/>
        <v>#N/A</v>
      </c>
      <c r="F4028" s="13"/>
    </row>
    <row r="4029" spans="1:6" ht="15.75" customHeight="1" x14ac:dyDescent="0.15">
      <c r="A4029" s="12"/>
      <c r="B4029" s="13"/>
      <c r="C4029" t="e">
        <f t="shared" si="3"/>
        <v>#N/A</v>
      </c>
      <c r="F4029" s="13"/>
    </row>
    <row r="4030" spans="1:6" ht="15.75" customHeight="1" x14ac:dyDescent="0.15">
      <c r="A4030" s="12"/>
      <c r="B4030" s="13"/>
      <c r="C4030" t="e">
        <f t="shared" si="3"/>
        <v>#N/A</v>
      </c>
      <c r="F4030" s="13"/>
    </row>
    <row r="4031" spans="1:6" ht="15.75" customHeight="1" x14ac:dyDescent="0.15">
      <c r="A4031" s="12"/>
      <c r="B4031" s="13"/>
      <c r="C4031" t="e">
        <f t="shared" si="3"/>
        <v>#N/A</v>
      </c>
      <c r="F4031" s="13"/>
    </row>
    <row r="4032" spans="1:6" ht="15.75" customHeight="1" x14ac:dyDescent="0.15">
      <c r="A4032" s="12"/>
      <c r="B4032" s="13"/>
      <c r="C4032" t="e">
        <f t="shared" si="3"/>
        <v>#N/A</v>
      </c>
      <c r="F4032" s="13"/>
    </row>
    <row r="4033" spans="1:6" ht="15.75" customHeight="1" x14ac:dyDescent="0.15">
      <c r="A4033" s="12"/>
      <c r="B4033" s="13"/>
      <c r="C4033" t="e">
        <f t="shared" si="3"/>
        <v>#N/A</v>
      </c>
      <c r="F4033" s="13"/>
    </row>
    <row r="4034" spans="1:6" ht="15.75" customHeight="1" x14ac:dyDescent="0.15">
      <c r="A4034" s="12"/>
      <c r="B4034" s="13"/>
      <c r="F4034" s="13"/>
    </row>
    <row r="4035" spans="1:6" ht="15.75" customHeight="1" x14ac:dyDescent="0.15">
      <c r="A4035" s="12"/>
      <c r="B4035" s="13"/>
      <c r="F4035" s="13"/>
    </row>
    <row r="4036" spans="1:6" ht="15.75" customHeight="1" x14ac:dyDescent="0.15">
      <c r="A4036" s="12"/>
      <c r="B4036" s="13"/>
      <c r="F4036" s="13"/>
    </row>
    <row r="4037" spans="1:6" ht="15.75" customHeight="1" x14ac:dyDescent="0.15">
      <c r="A4037" s="12"/>
      <c r="B4037" s="13"/>
      <c r="F4037" s="13"/>
    </row>
    <row r="4038" spans="1:6" ht="15.75" customHeight="1" x14ac:dyDescent="0.15">
      <c r="A4038" s="12"/>
      <c r="B4038" s="13"/>
      <c r="F4038" s="13"/>
    </row>
    <row r="4039" spans="1:6" ht="15.75" customHeight="1" x14ac:dyDescent="0.15">
      <c r="A4039" s="12"/>
      <c r="B4039" s="13"/>
      <c r="F4039" s="13"/>
    </row>
    <row r="4040" spans="1:6" ht="15.75" customHeight="1" x14ac:dyDescent="0.15">
      <c r="A4040" s="12"/>
      <c r="B4040" s="13"/>
      <c r="F4040" s="13"/>
    </row>
    <row r="4041" spans="1:6" ht="15.75" customHeight="1" x14ac:dyDescent="0.15">
      <c r="A4041" s="12"/>
      <c r="B4041" s="13"/>
      <c r="F4041" s="13"/>
    </row>
    <row r="4042" spans="1:6" ht="15.75" customHeight="1" x14ac:dyDescent="0.15">
      <c r="A4042" s="12"/>
      <c r="B4042" s="13"/>
      <c r="F4042" s="13"/>
    </row>
    <row r="4043" spans="1:6" ht="15.75" customHeight="1" x14ac:dyDescent="0.15">
      <c r="A4043" s="12"/>
      <c r="B4043" s="13"/>
      <c r="F4043" s="13"/>
    </row>
    <row r="4044" spans="1:6" ht="15.75" customHeight="1" x14ac:dyDescent="0.15">
      <c r="A4044" s="12"/>
      <c r="B4044" s="13"/>
      <c r="F4044" s="13"/>
    </row>
    <row r="4045" spans="1:6" ht="15.75" customHeight="1" x14ac:dyDescent="0.15">
      <c r="A4045" s="12"/>
      <c r="B4045" s="13"/>
      <c r="F4045" s="13"/>
    </row>
    <row r="4046" spans="1:6" ht="15.75" customHeight="1" x14ac:dyDescent="0.15">
      <c r="A4046" s="12"/>
      <c r="B4046" s="13"/>
      <c r="F4046" s="13"/>
    </row>
    <row r="4047" spans="1:6" ht="15.75" customHeight="1" x14ac:dyDescent="0.15">
      <c r="A4047" s="12"/>
      <c r="B4047" s="13"/>
      <c r="F4047" s="13"/>
    </row>
    <row r="4048" spans="1:6" ht="15.75" customHeight="1" x14ac:dyDescent="0.15">
      <c r="A4048" s="12"/>
      <c r="B4048" s="13"/>
      <c r="F4048" s="13"/>
    </row>
    <row r="4049" spans="1:6" ht="15.75" customHeight="1" x14ac:dyDescent="0.15">
      <c r="A4049" s="12"/>
      <c r="B4049" s="13"/>
      <c r="F4049" s="13"/>
    </row>
    <row r="4050" spans="1:6" ht="15.75" customHeight="1" x14ac:dyDescent="0.15">
      <c r="A4050" s="12"/>
      <c r="B4050" s="13"/>
      <c r="F4050" s="13"/>
    </row>
    <row r="4051" spans="1:6" ht="15.75" customHeight="1" x14ac:dyDescent="0.15">
      <c r="A4051" s="12"/>
      <c r="B4051" s="13"/>
      <c r="F4051" s="13"/>
    </row>
    <row r="4052" spans="1:6" ht="15.75" customHeight="1" x14ac:dyDescent="0.15">
      <c r="A4052" s="12"/>
      <c r="B4052" s="13"/>
      <c r="F4052" s="13"/>
    </row>
    <row r="4053" spans="1:6" ht="15.75" customHeight="1" x14ac:dyDescent="0.15">
      <c r="A4053" s="12"/>
      <c r="B4053" s="13"/>
      <c r="F4053" s="13"/>
    </row>
    <row r="4054" spans="1:6" ht="15.75" customHeight="1" x14ac:dyDescent="0.15">
      <c r="A4054" s="12"/>
      <c r="B4054" s="13"/>
      <c r="F4054" s="13"/>
    </row>
    <row r="4055" spans="1:6" ht="15.75" customHeight="1" x14ac:dyDescent="0.15">
      <c r="A4055" s="12"/>
      <c r="B4055" s="13"/>
      <c r="F4055" s="13"/>
    </row>
    <row r="4056" spans="1:6" ht="15.75" customHeight="1" x14ac:dyDescent="0.15">
      <c r="A4056" s="12"/>
      <c r="B4056" s="13"/>
      <c r="F4056" s="13"/>
    </row>
    <row r="4057" spans="1:6" ht="15.75" customHeight="1" x14ac:dyDescent="0.15">
      <c r="A4057" s="12"/>
      <c r="B4057" s="13"/>
      <c r="F4057" s="13"/>
    </row>
    <row r="4058" spans="1:6" ht="15.75" customHeight="1" x14ac:dyDescent="0.15">
      <c r="A4058" s="12"/>
      <c r="B4058" s="13"/>
      <c r="F4058" s="13"/>
    </row>
    <row r="4059" spans="1:6" ht="15.75" customHeight="1" x14ac:dyDescent="0.15">
      <c r="A4059" s="12"/>
      <c r="B4059" s="13"/>
      <c r="F4059" s="13"/>
    </row>
    <row r="4060" spans="1:6" ht="15.75" customHeight="1" x14ac:dyDescent="0.15">
      <c r="A4060" s="12"/>
      <c r="B4060" s="13"/>
      <c r="F4060" s="13"/>
    </row>
    <row r="4061" spans="1:6" ht="15.75" customHeight="1" x14ac:dyDescent="0.15">
      <c r="A4061" s="12"/>
      <c r="B4061" s="13"/>
      <c r="F4061" s="13"/>
    </row>
    <row r="4062" spans="1:6" ht="15.75" customHeight="1" x14ac:dyDescent="0.15">
      <c r="A4062" s="12"/>
      <c r="B4062" s="13"/>
      <c r="F4062" s="13"/>
    </row>
    <row r="4063" spans="1:6" ht="15.75" customHeight="1" x14ac:dyDescent="0.15">
      <c r="A4063" s="12"/>
      <c r="B4063" s="13"/>
      <c r="F4063" s="13"/>
    </row>
    <row r="4064" spans="1:6" ht="15.75" customHeight="1" x14ac:dyDescent="0.15">
      <c r="A4064" s="12"/>
      <c r="B4064" s="13"/>
      <c r="F4064" s="13"/>
    </row>
    <row r="4065" spans="1:6" ht="15.75" customHeight="1" x14ac:dyDescent="0.15">
      <c r="A4065" s="12"/>
      <c r="B4065" s="13"/>
      <c r="F4065" s="13"/>
    </row>
    <row r="4066" spans="1:6" ht="15.75" customHeight="1" x14ac:dyDescent="0.15">
      <c r="A4066" s="12"/>
      <c r="B4066" s="13"/>
      <c r="F4066" s="13"/>
    </row>
    <row r="4067" spans="1:6" ht="15.75" customHeight="1" x14ac:dyDescent="0.15">
      <c r="A4067" s="12"/>
      <c r="B4067" s="13"/>
      <c r="F4067" s="13"/>
    </row>
    <row r="4068" spans="1:6" ht="15.75" customHeight="1" x14ac:dyDescent="0.15">
      <c r="A4068" s="12"/>
      <c r="B4068" s="13"/>
      <c r="F4068" s="13"/>
    </row>
    <row r="4069" spans="1:6" ht="15.75" customHeight="1" x14ac:dyDescent="0.15">
      <c r="A4069" s="12"/>
      <c r="B4069" s="13"/>
      <c r="F4069" s="13"/>
    </row>
    <row r="4070" spans="1:6" ht="15.75" customHeight="1" x14ac:dyDescent="0.15">
      <c r="A4070" s="12"/>
      <c r="B4070" s="13"/>
      <c r="F4070" s="13"/>
    </row>
    <row r="4071" spans="1:6" ht="15.75" customHeight="1" x14ac:dyDescent="0.15">
      <c r="A4071" s="12"/>
      <c r="B4071" s="13"/>
      <c r="F4071" s="13"/>
    </row>
    <row r="4072" spans="1:6" ht="15.75" customHeight="1" x14ac:dyDescent="0.15">
      <c r="A4072" s="12"/>
      <c r="B4072" s="13"/>
      <c r="F4072" s="13"/>
    </row>
    <row r="4073" spans="1:6" ht="15.75" customHeight="1" x14ac:dyDescent="0.15">
      <c r="A4073" s="12"/>
      <c r="B4073" s="13"/>
      <c r="F4073" s="13"/>
    </row>
    <row r="4074" spans="1:6" ht="15.75" customHeight="1" x14ac:dyDescent="0.15">
      <c r="A4074" s="12"/>
      <c r="B4074" s="13"/>
      <c r="F4074" s="13"/>
    </row>
    <row r="4075" spans="1:6" ht="15.75" customHeight="1" x14ac:dyDescent="0.15">
      <c r="A4075" s="12"/>
      <c r="B4075" s="13"/>
      <c r="F4075" s="13"/>
    </row>
    <row r="4076" spans="1:6" ht="15.75" customHeight="1" x14ac:dyDescent="0.15">
      <c r="A4076" s="12"/>
      <c r="B4076" s="13"/>
      <c r="F4076" s="13"/>
    </row>
    <row r="4077" spans="1:6" ht="15.75" customHeight="1" x14ac:dyDescent="0.15">
      <c r="A4077" s="12"/>
      <c r="B4077" s="13"/>
      <c r="F4077" s="13"/>
    </row>
    <row r="4078" spans="1:6" ht="15.75" customHeight="1" x14ac:dyDescent="0.15">
      <c r="A4078" s="12"/>
      <c r="B4078" s="13"/>
      <c r="F4078" s="13"/>
    </row>
    <row r="4079" spans="1:6" ht="15.75" customHeight="1" x14ac:dyDescent="0.15">
      <c r="A4079" s="12"/>
      <c r="B4079" s="13"/>
      <c r="F4079" s="13"/>
    </row>
    <row r="4080" spans="1:6" ht="15.75" customHeight="1" x14ac:dyDescent="0.15">
      <c r="A4080" s="12"/>
      <c r="B4080" s="13"/>
      <c r="F4080" s="13"/>
    </row>
    <row r="4081" spans="1:6" ht="15.75" customHeight="1" x14ac:dyDescent="0.15">
      <c r="A4081" s="12"/>
      <c r="B4081" s="13"/>
      <c r="F4081" s="13"/>
    </row>
    <row r="4082" spans="1:6" ht="15.75" customHeight="1" x14ac:dyDescent="0.15">
      <c r="A4082" s="12"/>
      <c r="B4082" s="13"/>
      <c r="F4082" s="13"/>
    </row>
    <row r="4083" spans="1:6" ht="15.75" customHeight="1" x14ac:dyDescent="0.15">
      <c r="A4083" s="12"/>
      <c r="B4083" s="13"/>
      <c r="F4083" s="13"/>
    </row>
    <row r="4084" spans="1:6" ht="15.75" customHeight="1" x14ac:dyDescent="0.15">
      <c r="A4084" s="12"/>
      <c r="B4084" s="13"/>
      <c r="F4084" s="13"/>
    </row>
    <row r="4085" spans="1:6" ht="15.75" customHeight="1" x14ac:dyDescent="0.15">
      <c r="A4085" s="12"/>
      <c r="B4085" s="13"/>
      <c r="F4085" s="13"/>
    </row>
    <row r="4086" spans="1:6" ht="15.75" customHeight="1" x14ac:dyDescent="0.15">
      <c r="A4086" s="12"/>
      <c r="B4086" s="13"/>
      <c r="F4086" s="13"/>
    </row>
    <row r="4087" spans="1:6" ht="15.75" customHeight="1" x14ac:dyDescent="0.15">
      <c r="A4087" s="12"/>
      <c r="B4087" s="13"/>
      <c r="F4087" s="13"/>
    </row>
    <row r="4088" spans="1:6" ht="15.75" customHeight="1" x14ac:dyDescent="0.15">
      <c r="A4088" s="12"/>
      <c r="B4088" s="13"/>
      <c r="F4088" s="13"/>
    </row>
    <row r="4089" spans="1:6" ht="15.75" customHeight="1" x14ac:dyDescent="0.15">
      <c r="A4089" s="12"/>
      <c r="B4089" s="13"/>
      <c r="F4089" s="13"/>
    </row>
    <row r="4090" spans="1:6" ht="15.75" customHeight="1" x14ac:dyDescent="0.15">
      <c r="A4090" s="12"/>
      <c r="B4090" s="13"/>
      <c r="F4090" s="13"/>
    </row>
    <row r="4091" spans="1:6" ht="15.75" customHeight="1" x14ac:dyDescent="0.15">
      <c r="A4091" s="12"/>
      <c r="B4091" s="13"/>
      <c r="F4091" s="13"/>
    </row>
    <row r="4092" spans="1:6" ht="15.75" customHeight="1" x14ac:dyDescent="0.15">
      <c r="A4092" s="12"/>
      <c r="B4092" s="13"/>
      <c r="F4092" s="13"/>
    </row>
    <row r="4093" spans="1:6" ht="15.75" customHeight="1" x14ac:dyDescent="0.15">
      <c r="A4093" s="12"/>
      <c r="B4093" s="13"/>
      <c r="F4093" s="13"/>
    </row>
    <row r="4094" spans="1:6" ht="15.75" customHeight="1" x14ac:dyDescent="0.15">
      <c r="A4094" s="12"/>
      <c r="B4094" s="13"/>
      <c r="F4094" s="13"/>
    </row>
    <row r="4095" spans="1:6" ht="15.75" customHeight="1" x14ac:dyDescent="0.15">
      <c r="A4095" s="12"/>
      <c r="B4095" s="13"/>
      <c r="F4095" s="13"/>
    </row>
    <row r="4096" spans="1:6" ht="15.75" customHeight="1" x14ac:dyDescent="0.15">
      <c r="A4096" s="12"/>
      <c r="B4096" s="13"/>
      <c r="F4096" s="13"/>
    </row>
    <row r="4097" spans="1:6" ht="15.75" customHeight="1" x14ac:dyDescent="0.15">
      <c r="A4097" s="12"/>
      <c r="B4097" s="13"/>
      <c r="F4097" s="13"/>
    </row>
    <row r="4098" spans="1:6" ht="15.75" customHeight="1" x14ac:dyDescent="0.15">
      <c r="A4098" s="12"/>
      <c r="B4098" s="13"/>
      <c r="F4098" s="13"/>
    </row>
    <row r="4099" spans="1:6" ht="15.75" customHeight="1" x14ac:dyDescent="0.15">
      <c r="A4099" s="12"/>
      <c r="B4099" s="13"/>
      <c r="F4099" s="13"/>
    </row>
    <row r="4100" spans="1:6" ht="15.75" customHeight="1" x14ac:dyDescent="0.15">
      <c r="A4100" s="12"/>
      <c r="B4100" s="13"/>
      <c r="F4100" s="13"/>
    </row>
    <row r="4101" spans="1:6" ht="15.75" customHeight="1" x14ac:dyDescent="0.15">
      <c r="A4101" s="12"/>
      <c r="B4101" s="13"/>
      <c r="F4101" s="13"/>
    </row>
    <row r="4102" spans="1:6" ht="15.75" customHeight="1" x14ac:dyDescent="0.15">
      <c r="A4102" s="12"/>
      <c r="B4102" s="13"/>
      <c r="F4102" s="13"/>
    </row>
    <row r="4103" spans="1:6" ht="15.75" customHeight="1" x14ac:dyDescent="0.15">
      <c r="A4103" s="12"/>
      <c r="B4103" s="13"/>
      <c r="F4103" s="13"/>
    </row>
    <row r="4104" spans="1:6" ht="15.75" customHeight="1" x14ac:dyDescent="0.15">
      <c r="A4104" s="12"/>
      <c r="B4104" s="13"/>
      <c r="F4104" s="13"/>
    </row>
    <row r="4105" spans="1:6" ht="15.75" customHeight="1" x14ac:dyDescent="0.15">
      <c r="A4105" s="12"/>
      <c r="B4105" s="13"/>
      <c r="F4105" s="13"/>
    </row>
    <row r="4106" spans="1:6" ht="15.75" customHeight="1" x14ac:dyDescent="0.15">
      <c r="A4106" s="12"/>
      <c r="B4106" s="13"/>
      <c r="F4106" s="13"/>
    </row>
    <row r="4107" spans="1:6" ht="15.75" customHeight="1" x14ac:dyDescent="0.15">
      <c r="A4107" s="12"/>
      <c r="B4107" s="13"/>
      <c r="F4107" s="13"/>
    </row>
    <row r="4108" spans="1:6" ht="15.75" customHeight="1" x14ac:dyDescent="0.15">
      <c r="A4108" s="12"/>
      <c r="B4108" s="13"/>
      <c r="F4108" s="13"/>
    </row>
    <row r="4109" spans="1:6" ht="15.75" customHeight="1" x14ac:dyDescent="0.15">
      <c r="A4109" s="12"/>
      <c r="B4109" s="13"/>
      <c r="F4109" s="13"/>
    </row>
    <row r="4110" spans="1:6" ht="15.75" customHeight="1" x14ac:dyDescent="0.15">
      <c r="A4110" s="12"/>
      <c r="B4110" s="13"/>
      <c r="F4110" s="13"/>
    </row>
    <row r="4111" spans="1:6" ht="15.75" customHeight="1" x14ac:dyDescent="0.15">
      <c r="A4111" s="12"/>
      <c r="B4111" s="13"/>
      <c r="F4111" s="13"/>
    </row>
    <row r="4112" spans="1:6" ht="15.75" customHeight="1" x14ac:dyDescent="0.15">
      <c r="A4112" s="12"/>
      <c r="B4112" s="13"/>
      <c r="F4112" s="13"/>
    </row>
    <row r="4113" spans="1:6" ht="15.75" customHeight="1" x14ac:dyDescent="0.15">
      <c r="A4113" s="12"/>
      <c r="B4113" s="13"/>
      <c r="F4113" s="13"/>
    </row>
    <row r="4114" spans="1:6" ht="15.75" customHeight="1" x14ac:dyDescent="0.15">
      <c r="A4114" s="12"/>
      <c r="B4114" s="13"/>
      <c r="F4114" s="13"/>
    </row>
    <row r="4115" spans="1:6" ht="15.75" customHeight="1" x14ac:dyDescent="0.15">
      <c r="A4115" s="12"/>
      <c r="B4115" s="13"/>
      <c r="F4115" s="13"/>
    </row>
    <row r="4116" spans="1:6" ht="15.75" customHeight="1" x14ac:dyDescent="0.15">
      <c r="A4116" s="12"/>
      <c r="B4116" s="13"/>
      <c r="F4116" s="13"/>
    </row>
    <row r="4117" spans="1:6" ht="15.75" customHeight="1" x14ac:dyDescent="0.15">
      <c r="A4117" s="12"/>
      <c r="B4117" s="13"/>
      <c r="F4117" s="13"/>
    </row>
    <row r="4118" spans="1:6" ht="15.75" customHeight="1" x14ac:dyDescent="0.15">
      <c r="A4118" s="12"/>
      <c r="B4118" s="13"/>
      <c r="F4118" s="13"/>
    </row>
    <row r="4119" spans="1:6" ht="15.75" customHeight="1" x14ac:dyDescent="0.15">
      <c r="A4119" s="12"/>
      <c r="B4119" s="13"/>
      <c r="F4119" s="13"/>
    </row>
    <row r="4120" spans="1:6" ht="15.75" customHeight="1" x14ac:dyDescent="0.15">
      <c r="A4120" s="12"/>
      <c r="B4120" s="13"/>
      <c r="F4120" s="13"/>
    </row>
    <row r="4121" spans="1:6" ht="15.75" customHeight="1" x14ac:dyDescent="0.15">
      <c r="A4121" s="12"/>
      <c r="B4121" s="13"/>
      <c r="F4121" s="13"/>
    </row>
    <row r="4122" spans="1:6" ht="15.75" customHeight="1" x14ac:dyDescent="0.15">
      <c r="A4122" s="12"/>
      <c r="B4122" s="13"/>
      <c r="F4122" s="13"/>
    </row>
    <row r="4123" spans="1:6" ht="15.75" customHeight="1" x14ac:dyDescent="0.15">
      <c r="A4123" s="12"/>
      <c r="B4123" s="13"/>
      <c r="F4123" s="13"/>
    </row>
    <row r="4124" spans="1:6" ht="15.75" customHeight="1" x14ac:dyDescent="0.15">
      <c r="A4124" s="12"/>
      <c r="B4124" s="13"/>
      <c r="F4124" s="13"/>
    </row>
    <row r="4125" spans="1:6" ht="15.75" customHeight="1" x14ac:dyDescent="0.15">
      <c r="A4125" s="12"/>
      <c r="B4125" s="13"/>
      <c r="F4125" s="13"/>
    </row>
    <row r="4126" spans="1:6" ht="15.75" customHeight="1" x14ac:dyDescent="0.15">
      <c r="A4126" s="12"/>
      <c r="B4126" s="13"/>
      <c r="F4126" s="13"/>
    </row>
    <row r="4127" spans="1:6" ht="15.75" customHeight="1" x14ac:dyDescent="0.15">
      <c r="A4127" s="12"/>
      <c r="B4127" s="13"/>
      <c r="F4127" s="13"/>
    </row>
    <row r="4128" spans="1:6" ht="15.75" customHeight="1" x14ac:dyDescent="0.15">
      <c r="A4128" s="12"/>
      <c r="B4128" s="13"/>
      <c r="F4128" s="13"/>
    </row>
    <row r="4129" spans="1:6" ht="15.75" customHeight="1" x14ac:dyDescent="0.15">
      <c r="A4129" s="12"/>
      <c r="B4129" s="13"/>
      <c r="F4129" s="13"/>
    </row>
    <row r="4130" spans="1:6" ht="15.75" customHeight="1" x14ac:dyDescent="0.15">
      <c r="A4130" s="12"/>
      <c r="B4130" s="13"/>
      <c r="F4130" s="13"/>
    </row>
    <row r="4131" spans="1:6" ht="15.75" customHeight="1" x14ac:dyDescent="0.15">
      <c r="A4131" s="12"/>
      <c r="B4131" s="13"/>
      <c r="F4131" s="13"/>
    </row>
    <row r="4132" spans="1:6" ht="15.75" customHeight="1" x14ac:dyDescent="0.15">
      <c r="A4132" s="12"/>
      <c r="B4132" s="13"/>
      <c r="F4132" s="13"/>
    </row>
    <row r="4133" spans="1:6" ht="15.75" customHeight="1" x14ac:dyDescent="0.15">
      <c r="A4133" s="12"/>
      <c r="B4133" s="13"/>
      <c r="F4133" s="13"/>
    </row>
    <row r="4134" spans="1:6" ht="15.75" customHeight="1" x14ac:dyDescent="0.15">
      <c r="A4134" s="12"/>
      <c r="B4134" s="13"/>
      <c r="F4134" s="13"/>
    </row>
    <row r="4135" spans="1:6" ht="15.75" customHeight="1" x14ac:dyDescent="0.15">
      <c r="A4135" s="12"/>
      <c r="B4135" s="13"/>
      <c r="F4135" s="13"/>
    </row>
    <row r="4136" spans="1:6" ht="15.75" customHeight="1" x14ac:dyDescent="0.15">
      <c r="A4136" s="12"/>
      <c r="B4136" s="13"/>
      <c r="F4136" s="13"/>
    </row>
    <row r="4137" spans="1:6" ht="15.75" customHeight="1" x14ac:dyDescent="0.15">
      <c r="A4137" s="12"/>
      <c r="B4137" s="13"/>
      <c r="F4137" s="13"/>
    </row>
    <row r="4138" spans="1:6" ht="15.75" customHeight="1" x14ac:dyDescent="0.15">
      <c r="A4138" s="12"/>
      <c r="B4138" s="13"/>
      <c r="F4138" s="13"/>
    </row>
    <row r="4139" spans="1:6" ht="15.75" customHeight="1" x14ac:dyDescent="0.15">
      <c r="A4139" s="12"/>
      <c r="B4139" s="13"/>
      <c r="F4139" s="13"/>
    </row>
    <row r="4140" spans="1:6" ht="15.75" customHeight="1" x14ac:dyDescent="0.15">
      <c r="A4140" s="12"/>
      <c r="B4140" s="13"/>
      <c r="F4140" s="13"/>
    </row>
    <row r="4141" spans="1:6" ht="15.75" customHeight="1" x14ac:dyDescent="0.15">
      <c r="A4141" s="12"/>
      <c r="B4141" s="13"/>
      <c r="F4141" s="13"/>
    </row>
    <row r="4142" spans="1:6" ht="15.75" customHeight="1" x14ac:dyDescent="0.15">
      <c r="A4142" s="12"/>
      <c r="B4142" s="13"/>
      <c r="F4142" s="13"/>
    </row>
    <row r="4143" spans="1:6" ht="15.75" customHeight="1" x14ac:dyDescent="0.15">
      <c r="A4143" s="12"/>
      <c r="B4143" s="13"/>
      <c r="F4143" s="13"/>
    </row>
    <row r="4144" spans="1:6" ht="15.75" customHeight="1" x14ac:dyDescent="0.15">
      <c r="A4144" s="12"/>
      <c r="B4144" s="13"/>
      <c r="F4144" s="13"/>
    </row>
    <row r="4145" spans="1:6" ht="15.75" customHeight="1" x14ac:dyDescent="0.15">
      <c r="A4145" s="12"/>
      <c r="B4145" s="13"/>
      <c r="F4145" s="13"/>
    </row>
    <row r="4146" spans="1:6" ht="15.75" customHeight="1" x14ac:dyDescent="0.15">
      <c r="A4146" s="12"/>
      <c r="B4146" s="13"/>
      <c r="F4146" s="13"/>
    </row>
    <row r="4147" spans="1:6" ht="15.75" customHeight="1" x14ac:dyDescent="0.15">
      <c r="A4147" s="12"/>
      <c r="B4147" s="13"/>
      <c r="F4147" s="13"/>
    </row>
    <row r="4148" spans="1:6" ht="15.75" customHeight="1" x14ac:dyDescent="0.15">
      <c r="A4148" s="12"/>
      <c r="B4148" s="13"/>
      <c r="F4148" s="13"/>
    </row>
    <row r="4149" spans="1:6" ht="15.75" customHeight="1" x14ac:dyDescent="0.15">
      <c r="A4149" s="12"/>
      <c r="B4149" s="13"/>
      <c r="F4149" s="13"/>
    </row>
    <row r="4150" spans="1:6" ht="15.75" customHeight="1" x14ac:dyDescent="0.15">
      <c r="A4150" s="12"/>
      <c r="B4150" s="13"/>
      <c r="F4150" s="13"/>
    </row>
    <row r="4151" spans="1:6" ht="15.75" customHeight="1" x14ac:dyDescent="0.15">
      <c r="A4151" s="12"/>
      <c r="B4151" s="13"/>
      <c r="F4151" s="13"/>
    </row>
    <row r="4152" spans="1:6" ht="15.75" customHeight="1" x14ac:dyDescent="0.15">
      <c r="A4152" s="12"/>
      <c r="B4152" s="13"/>
      <c r="F4152" s="13"/>
    </row>
    <row r="4153" spans="1:6" ht="15.75" customHeight="1" x14ac:dyDescent="0.15">
      <c r="A4153" s="12"/>
      <c r="B4153" s="13"/>
      <c r="F4153" s="13"/>
    </row>
    <row r="4154" spans="1:6" ht="15.75" customHeight="1" x14ac:dyDescent="0.15">
      <c r="A4154" s="12"/>
      <c r="B4154" s="13"/>
      <c r="F4154" s="13"/>
    </row>
    <row r="4155" spans="1:6" ht="15.75" customHeight="1" x14ac:dyDescent="0.15">
      <c r="A4155" s="12"/>
      <c r="B4155" s="13"/>
      <c r="F4155" s="13"/>
    </row>
    <row r="4156" spans="1:6" ht="15.75" customHeight="1" x14ac:dyDescent="0.15">
      <c r="A4156" s="12"/>
      <c r="B4156" s="13"/>
      <c r="F4156" s="13"/>
    </row>
    <row r="4157" spans="1:6" ht="15.75" customHeight="1" x14ac:dyDescent="0.15">
      <c r="A4157" s="12"/>
      <c r="B4157" s="13"/>
      <c r="F4157" s="13"/>
    </row>
    <row r="4158" spans="1:6" ht="15.75" customHeight="1" x14ac:dyDescent="0.15">
      <c r="A4158" s="12"/>
      <c r="B4158" s="13"/>
      <c r="F4158" s="13"/>
    </row>
    <row r="4159" spans="1:6" ht="15.75" customHeight="1" x14ac:dyDescent="0.15">
      <c r="A4159" s="12"/>
      <c r="B4159" s="13"/>
      <c r="F4159" s="13"/>
    </row>
    <row r="4160" spans="1:6" ht="15.75" customHeight="1" x14ac:dyDescent="0.15">
      <c r="A4160" s="12"/>
      <c r="B4160" s="13"/>
      <c r="F4160" s="13"/>
    </row>
    <row r="4161" spans="1:6" ht="15.75" customHeight="1" x14ac:dyDescent="0.15">
      <c r="A4161" s="12"/>
      <c r="B4161" s="13"/>
      <c r="F4161" s="13"/>
    </row>
    <row r="4162" spans="1:6" ht="15.75" customHeight="1" x14ac:dyDescent="0.15">
      <c r="A4162" s="12"/>
      <c r="B4162" s="13"/>
      <c r="F4162" s="13"/>
    </row>
    <row r="4163" spans="1:6" ht="15.75" customHeight="1" x14ac:dyDescent="0.15">
      <c r="A4163" s="12"/>
      <c r="B4163" s="13"/>
      <c r="F4163" s="13"/>
    </row>
    <row r="4164" spans="1:6" ht="15.75" customHeight="1" x14ac:dyDescent="0.15">
      <c r="A4164" s="12"/>
      <c r="B4164" s="13"/>
      <c r="F4164" s="13"/>
    </row>
    <row r="4165" spans="1:6" ht="15.75" customHeight="1" x14ac:dyDescent="0.15">
      <c r="A4165" s="12"/>
      <c r="B4165" s="13"/>
      <c r="F4165" s="13"/>
    </row>
    <row r="4166" spans="1:6" ht="15.75" customHeight="1" x14ac:dyDescent="0.15">
      <c r="A4166" s="12"/>
      <c r="B4166" s="13"/>
      <c r="F4166" s="13"/>
    </row>
    <row r="4167" spans="1:6" ht="15.75" customHeight="1" x14ac:dyDescent="0.15">
      <c r="A4167" s="12"/>
      <c r="B4167" s="13"/>
      <c r="F4167" s="13"/>
    </row>
    <row r="4168" spans="1:6" ht="15.75" customHeight="1" x14ac:dyDescent="0.15">
      <c r="A4168" s="12"/>
      <c r="B4168" s="13"/>
      <c r="F4168" s="13"/>
    </row>
    <row r="4169" spans="1:6" ht="15.75" customHeight="1" x14ac:dyDescent="0.15">
      <c r="A4169" s="12"/>
      <c r="B4169" s="13"/>
      <c r="F4169" s="13"/>
    </row>
    <row r="4170" spans="1:6" ht="15.75" customHeight="1" x14ac:dyDescent="0.15">
      <c r="A4170" s="12"/>
      <c r="B4170" s="13"/>
      <c r="F4170" s="13"/>
    </row>
    <row r="4171" spans="1:6" ht="15.75" customHeight="1" x14ac:dyDescent="0.15">
      <c r="A4171" s="12"/>
      <c r="B4171" s="13"/>
      <c r="F4171" s="13"/>
    </row>
    <row r="4172" spans="1:6" ht="15.75" customHeight="1" x14ac:dyDescent="0.15">
      <c r="A4172" s="12"/>
      <c r="B4172" s="13"/>
      <c r="F4172" s="13"/>
    </row>
    <row r="4173" spans="1:6" ht="15.75" customHeight="1" x14ac:dyDescent="0.15">
      <c r="A4173" s="12"/>
      <c r="B4173" s="13"/>
      <c r="F4173" s="13"/>
    </row>
    <row r="4174" spans="1:6" ht="15.75" customHeight="1" x14ac:dyDescent="0.15">
      <c r="A4174" s="12"/>
      <c r="B4174" s="13"/>
      <c r="F4174" s="13"/>
    </row>
    <row r="4175" spans="1:6" ht="15.75" customHeight="1" x14ac:dyDescent="0.15">
      <c r="A4175" s="12"/>
      <c r="B4175" s="13"/>
      <c r="F4175" s="13"/>
    </row>
    <row r="4176" spans="1:6" ht="15.75" customHeight="1" x14ac:dyDescent="0.15">
      <c r="A4176" s="12"/>
      <c r="B4176" s="13"/>
      <c r="F4176" s="13"/>
    </row>
    <row r="4177" spans="1:6" ht="15.75" customHeight="1" x14ac:dyDescent="0.15">
      <c r="A4177" s="12"/>
      <c r="B4177" s="13"/>
      <c r="F4177" s="13"/>
    </row>
    <row r="4178" spans="1:6" ht="15.75" customHeight="1" x14ac:dyDescent="0.15">
      <c r="A4178" s="12"/>
      <c r="B4178" s="13"/>
      <c r="F4178" s="13"/>
    </row>
    <row r="4179" spans="1:6" ht="15.75" customHeight="1" x14ac:dyDescent="0.15">
      <c r="A4179" s="12"/>
      <c r="B4179" s="13"/>
      <c r="F4179" s="13"/>
    </row>
    <row r="4180" spans="1:6" ht="15.75" customHeight="1" x14ac:dyDescent="0.15">
      <c r="A4180" s="12"/>
      <c r="B4180" s="13"/>
      <c r="F4180" s="13"/>
    </row>
    <row r="4181" spans="1:6" ht="15.75" customHeight="1" x14ac:dyDescent="0.15">
      <c r="A4181" s="12"/>
      <c r="B4181" s="13"/>
      <c r="F4181" s="13"/>
    </row>
    <row r="4182" spans="1:6" ht="15.75" customHeight="1" x14ac:dyDescent="0.15">
      <c r="A4182" s="12"/>
      <c r="B4182" s="13"/>
      <c r="F4182" s="13"/>
    </row>
    <row r="4183" spans="1:6" ht="15.75" customHeight="1" x14ac:dyDescent="0.15">
      <c r="A4183" s="12"/>
      <c r="B4183" s="13"/>
      <c r="F4183" s="13"/>
    </row>
    <row r="4184" spans="1:6" ht="15.75" customHeight="1" x14ac:dyDescent="0.15">
      <c r="A4184" s="12"/>
      <c r="B4184" s="13"/>
      <c r="F4184" s="13"/>
    </row>
    <row r="4185" spans="1:6" ht="15.75" customHeight="1" x14ac:dyDescent="0.15">
      <c r="A4185" s="12"/>
      <c r="B4185" s="13"/>
      <c r="F4185" s="13"/>
    </row>
    <row r="4186" spans="1:6" ht="15.75" customHeight="1" x14ac:dyDescent="0.15">
      <c r="A4186" s="12"/>
      <c r="B4186" s="13"/>
      <c r="F4186" s="13"/>
    </row>
    <row r="4187" spans="1:6" ht="15.75" customHeight="1" x14ac:dyDescent="0.15">
      <c r="A4187" s="12"/>
      <c r="B4187" s="13"/>
      <c r="F4187" s="13"/>
    </row>
    <row r="4188" spans="1:6" ht="15.75" customHeight="1" x14ac:dyDescent="0.15">
      <c r="A4188" s="12"/>
      <c r="B4188" s="13"/>
      <c r="F4188" s="13"/>
    </row>
    <row r="4189" spans="1:6" ht="15.75" customHeight="1" x14ac:dyDescent="0.15">
      <c r="A4189" s="12"/>
      <c r="B4189" s="13"/>
      <c r="F4189" s="13"/>
    </row>
    <row r="4190" spans="1:6" ht="15.75" customHeight="1" x14ac:dyDescent="0.15">
      <c r="A4190" s="12"/>
      <c r="B4190" s="13"/>
      <c r="F4190" s="13"/>
    </row>
    <row r="4191" spans="1:6" ht="15.75" customHeight="1" x14ac:dyDescent="0.15">
      <c r="A4191" s="12"/>
      <c r="B4191" s="13"/>
      <c r="F4191" s="13"/>
    </row>
    <row r="4192" spans="1:6" ht="15.75" customHeight="1" x14ac:dyDescent="0.15">
      <c r="A4192" s="12"/>
      <c r="B4192" s="13"/>
      <c r="F4192" s="13"/>
    </row>
    <row r="4193" spans="1:6" ht="15.75" customHeight="1" x14ac:dyDescent="0.15">
      <c r="A4193" s="12"/>
      <c r="B4193" s="13"/>
      <c r="F4193" s="13"/>
    </row>
    <row r="4194" spans="1:6" ht="15.75" customHeight="1" x14ac:dyDescent="0.15">
      <c r="A4194" s="12"/>
      <c r="B4194" s="13"/>
      <c r="F4194" s="13"/>
    </row>
    <row r="4195" spans="1:6" ht="15.75" customHeight="1" x14ac:dyDescent="0.15">
      <c r="A4195" s="12"/>
      <c r="B4195" s="13"/>
      <c r="F4195" s="13"/>
    </row>
    <row r="4196" spans="1:6" ht="15.75" customHeight="1" x14ac:dyDescent="0.15">
      <c r="A4196" s="12"/>
      <c r="B4196" s="13"/>
      <c r="F4196" s="13"/>
    </row>
    <row r="4197" spans="1:6" ht="15.75" customHeight="1" x14ac:dyDescent="0.15">
      <c r="A4197" s="12"/>
      <c r="B4197" s="13"/>
      <c r="F4197" s="13"/>
    </row>
    <row r="4198" spans="1:6" ht="15.75" customHeight="1" x14ac:dyDescent="0.15">
      <c r="A4198" s="12"/>
      <c r="B4198" s="13"/>
      <c r="F4198" s="13"/>
    </row>
    <row r="4199" spans="1:6" ht="15.75" customHeight="1" x14ac:dyDescent="0.15">
      <c r="A4199" s="12"/>
      <c r="B4199" s="13"/>
      <c r="F4199" s="13"/>
    </row>
    <row r="4200" spans="1:6" ht="15.75" customHeight="1" x14ac:dyDescent="0.15">
      <c r="A4200" s="12"/>
      <c r="B4200" s="13"/>
      <c r="F4200" s="13"/>
    </row>
    <row r="4201" spans="1:6" ht="15.75" customHeight="1" x14ac:dyDescent="0.15">
      <c r="A4201" s="12"/>
      <c r="B4201" s="13"/>
      <c r="F4201" s="13"/>
    </row>
    <row r="4202" spans="1:6" ht="15.75" customHeight="1" x14ac:dyDescent="0.15">
      <c r="A4202" s="12"/>
      <c r="B4202" s="13"/>
      <c r="F4202" s="13"/>
    </row>
    <row r="4203" spans="1:6" ht="15.75" customHeight="1" x14ac:dyDescent="0.15">
      <c r="A4203" s="12"/>
      <c r="B4203" s="13"/>
      <c r="F4203" s="13"/>
    </row>
    <row r="4204" spans="1:6" ht="15.75" customHeight="1" x14ac:dyDescent="0.15">
      <c r="A4204" s="12"/>
      <c r="B4204" s="13"/>
      <c r="F4204" s="13"/>
    </row>
    <row r="4205" spans="1:6" ht="15.75" customHeight="1" x14ac:dyDescent="0.15">
      <c r="A4205" s="12"/>
      <c r="B4205" s="13"/>
      <c r="F4205" s="13"/>
    </row>
    <row r="4206" spans="1:6" ht="15.75" customHeight="1" x14ac:dyDescent="0.15">
      <c r="A4206" s="12"/>
      <c r="B4206" s="13"/>
      <c r="F4206" s="13"/>
    </row>
    <row r="4207" spans="1:6" ht="15.75" customHeight="1" x14ac:dyDescent="0.15">
      <c r="A4207" s="12"/>
      <c r="B4207" s="13"/>
      <c r="F4207" s="13"/>
    </row>
    <row r="4208" spans="1:6" ht="15.75" customHeight="1" x14ac:dyDescent="0.15">
      <c r="A4208" s="12"/>
      <c r="B4208" s="13"/>
      <c r="F4208" s="13"/>
    </row>
    <row r="4209" spans="1:6" ht="15.75" customHeight="1" x14ac:dyDescent="0.15">
      <c r="A4209" s="12"/>
      <c r="B4209" s="13"/>
      <c r="F4209" s="13"/>
    </row>
    <row r="4210" spans="1:6" ht="15.75" customHeight="1" x14ac:dyDescent="0.15">
      <c r="A4210" s="12"/>
      <c r="B4210" s="13"/>
      <c r="F4210" s="13"/>
    </row>
    <row r="4211" spans="1:6" ht="15.75" customHeight="1" x14ac:dyDescent="0.15">
      <c r="A4211" s="12"/>
      <c r="B4211" s="13"/>
      <c r="F4211" s="13"/>
    </row>
    <row r="4212" spans="1:6" ht="15.75" customHeight="1" x14ac:dyDescent="0.15">
      <c r="A4212" s="12"/>
      <c r="B4212" s="13"/>
      <c r="F4212" s="13"/>
    </row>
    <row r="4213" spans="1:6" ht="15.75" customHeight="1" x14ac:dyDescent="0.15">
      <c r="A4213" s="12"/>
      <c r="B4213" s="13"/>
      <c r="F4213" s="13"/>
    </row>
    <row r="4214" spans="1:6" ht="15.75" customHeight="1" x14ac:dyDescent="0.15">
      <c r="A4214" s="12"/>
      <c r="B4214" s="13"/>
      <c r="F4214" s="13"/>
    </row>
    <row r="4215" spans="1:6" ht="15.75" customHeight="1" x14ac:dyDescent="0.15">
      <c r="A4215" s="12"/>
      <c r="B4215" s="13"/>
      <c r="F4215" s="13"/>
    </row>
    <row r="4216" spans="1:6" ht="15.75" customHeight="1" x14ac:dyDescent="0.15">
      <c r="A4216" s="12"/>
      <c r="B4216" s="13"/>
      <c r="F4216" s="13"/>
    </row>
    <row r="4217" spans="1:6" ht="15.75" customHeight="1" x14ac:dyDescent="0.15">
      <c r="A4217" s="12"/>
      <c r="B4217" s="13"/>
      <c r="F4217" s="13"/>
    </row>
    <row r="4218" spans="1:6" ht="15.75" customHeight="1" x14ac:dyDescent="0.15">
      <c r="A4218" s="12"/>
      <c r="B4218" s="13"/>
      <c r="F4218" s="13"/>
    </row>
    <row r="4219" spans="1:6" ht="15.75" customHeight="1" x14ac:dyDescent="0.15">
      <c r="A4219" s="12"/>
      <c r="B4219" s="13"/>
      <c r="F4219" s="13"/>
    </row>
    <row r="4220" spans="1:6" ht="15.75" customHeight="1" x14ac:dyDescent="0.15">
      <c r="A4220" s="12"/>
      <c r="B4220" s="13"/>
      <c r="F4220" s="13"/>
    </row>
    <row r="4221" spans="1:6" ht="15.75" customHeight="1" x14ac:dyDescent="0.15">
      <c r="A4221" s="12"/>
      <c r="B4221" s="13"/>
      <c r="F4221" s="13"/>
    </row>
    <row r="4222" spans="1:6" ht="15.75" customHeight="1" x14ac:dyDescent="0.15">
      <c r="A4222" s="12"/>
      <c r="B4222" s="13"/>
      <c r="F4222" s="13"/>
    </row>
    <row r="4223" spans="1:6" ht="15.75" customHeight="1" x14ac:dyDescent="0.15">
      <c r="A4223" s="12"/>
      <c r="B4223" s="13"/>
      <c r="F4223" s="13"/>
    </row>
    <row r="4224" spans="1:6" ht="15.75" customHeight="1" x14ac:dyDescent="0.15">
      <c r="A4224" s="12"/>
      <c r="B4224" s="13"/>
      <c r="F4224" s="13"/>
    </row>
    <row r="4225" spans="1:6" ht="15.75" customHeight="1" x14ac:dyDescent="0.15">
      <c r="A4225" s="12"/>
      <c r="B4225" s="13"/>
      <c r="F4225" s="13"/>
    </row>
    <row r="4226" spans="1:6" ht="15.75" customHeight="1" x14ac:dyDescent="0.15">
      <c r="A4226" s="12"/>
      <c r="B4226" s="13"/>
      <c r="F4226" s="13"/>
    </row>
    <row r="4227" spans="1:6" ht="15.75" customHeight="1" x14ac:dyDescent="0.15">
      <c r="A4227" s="12"/>
      <c r="B4227" s="13"/>
      <c r="F4227" s="13"/>
    </row>
    <row r="4228" spans="1:6" ht="15.75" customHeight="1" x14ac:dyDescent="0.15">
      <c r="A4228" s="12"/>
      <c r="B4228" s="13"/>
      <c r="F4228" s="13"/>
    </row>
    <row r="4229" spans="1:6" ht="15.75" customHeight="1" x14ac:dyDescent="0.15">
      <c r="A4229" s="12"/>
      <c r="B4229" s="13"/>
      <c r="F4229" s="13"/>
    </row>
    <row r="4230" spans="1:6" ht="15.75" customHeight="1" x14ac:dyDescent="0.15">
      <c r="A4230" s="12"/>
      <c r="B4230" s="13"/>
      <c r="F4230" s="13"/>
    </row>
    <row r="4231" spans="1:6" ht="15.75" customHeight="1" x14ac:dyDescent="0.15">
      <c r="A4231" s="12"/>
      <c r="B4231" s="13"/>
      <c r="F4231" s="13"/>
    </row>
    <row r="4232" spans="1:6" ht="15.75" customHeight="1" x14ac:dyDescent="0.15">
      <c r="A4232" s="12"/>
      <c r="B4232" s="13"/>
      <c r="F4232" s="13"/>
    </row>
    <row r="4233" spans="1:6" ht="15.75" customHeight="1" x14ac:dyDescent="0.15">
      <c r="A4233" s="12"/>
      <c r="B4233" s="13"/>
      <c r="F4233" s="13"/>
    </row>
    <row r="4234" spans="1:6" ht="15.75" customHeight="1" x14ac:dyDescent="0.15">
      <c r="A4234" s="12"/>
      <c r="B4234" s="13"/>
      <c r="F4234" s="13"/>
    </row>
    <row r="4235" spans="1:6" ht="15.75" customHeight="1" x14ac:dyDescent="0.15">
      <c r="A4235" s="12"/>
      <c r="B4235" s="13"/>
      <c r="F4235" s="13"/>
    </row>
    <row r="4236" spans="1:6" ht="15.75" customHeight="1" x14ac:dyDescent="0.15">
      <c r="A4236" s="12"/>
      <c r="B4236" s="13"/>
      <c r="F4236" s="13"/>
    </row>
    <row r="4237" spans="1:6" ht="15.75" customHeight="1" x14ac:dyDescent="0.15">
      <c r="A4237" s="12"/>
      <c r="B4237" s="13"/>
      <c r="F4237" s="13"/>
    </row>
    <row r="4238" spans="1:6" ht="15.75" customHeight="1" x14ac:dyDescent="0.15">
      <c r="A4238" s="12"/>
      <c r="B4238" s="13"/>
      <c r="F4238" s="13"/>
    </row>
    <row r="4239" spans="1:6" ht="15.75" customHeight="1" x14ac:dyDescent="0.15">
      <c r="A4239" s="12"/>
      <c r="B4239" s="13"/>
      <c r="F4239" s="13"/>
    </row>
    <row r="4240" spans="1:6" ht="15.75" customHeight="1" x14ac:dyDescent="0.15">
      <c r="A4240" s="12"/>
      <c r="B4240" s="13"/>
      <c r="F4240" s="13"/>
    </row>
    <row r="4241" spans="1:6" ht="15.75" customHeight="1" x14ac:dyDescent="0.15">
      <c r="A4241" s="12"/>
      <c r="B4241" s="13"/>
      <c r="F4241" s="13"/>
    </row>
    <row r="4242" spans="1:6" ht="15.75" customHeight="1" x14ac:dyDescent="0.15">
      <c r="A4242" s="12"/>
      <c r="B4242" s="13"/>
      <c r="F4242" s="13"/>
    </row>
    <row r="4243" spans="1:6" ht="15.75" customHeight="1" x14ac:dyDescent="0.15">
      <c r="A4243" s="12"/>
      <c r="B4243" s="13"/>
      <c r="F4243" s="13"/>
    </row>
    <row r="4244" spans="1:6" ht="15.75" customHeight="1" x14ac:dyDescent="0.15">
      <c r="A4244" s="12"/>
      <c r="B4244" s="13"/>
      <c r="F4244" s="13"/>
    </row>
    <row r="4245" spans="1:6" ht="15.75" customHeight="1" x14ac:dyDescent="0.15">
      <c r="A4245" s="12"/>
      <c r="B4245" s="13"/>
      <c r="F4245" s="13"/>
    </row>
    <row r="4246" spans="1:6" ht="15.75" customHeight="1" x14ac:dyDescent="0.15">
      <c r="A4246" s="12"/>
      <c r="B4246" s="13"/>
      <c r="F4246" s="13"/>
    </row>
    <row r="4247" spans="1:6" ht="15.75" customHeight="1" x14ac:dyDescent="0.15">
      <c r="A4247" s="12"/>
      <c r="B4247" s="13"/>
      <c r="F4247" s="13"/>
    </row>
    <row r="4248" spans="1:6" ht="15.75" customHeight="1" x14ac:dyDescent="0.15">
      <c r="A4248" s="12"/>
      <c r="B4248" s="13"/>
      <c r="F4248" s="13"/>
    </row>
    <row r="4249" spans="1:6" ht="15.75" customHeight="1" x14ac:dyDescent="0.15">
      <c r="A4249" s="12"/>
      <c r="B4249" s="13"/>
      <c r="F4249" s="13"/>
    </row>
    <row r="4250" spans="1:6" ht="15.75" customHeight="1" x14ac:dyDescent="0.15">
      <c r="A4250" s="12"/>
      <c r="B4250" s="13"/>
      <c r="F4250" s="13"/>
    </row>
    <row r="4251" spans="1:6" ht="15.75" customHeight="1" x14ac:dyDescent="0.15">
      <c r="A4251" s="12"/>
      <c r="B4251" s="13"/>
      <c r="F4251" s="13"/>
    </row>
    <row r="4252" spans="1:6" ht="15.75" customHeight="1" x14ac:dyDescent="0.15">
      <c r="A4252" s="12"/>
      <c r="B4252" s="13"/>
      <c r="F4252" s="13"/>
    </row>
    <row r="4253" spans="1:6" ht="15.75" customHeight="1" x14ac:dyDescent="0.15">
      <c r="A4253" s="12"/>
      <c r="B4253" s="13"/>
      <c r="F4253" s="13"/>
    </row>
    <row r="4254" spans="1:6" ht="15.75" customHeight="1" x14ac:dyDescent="0.15">
      <c r="A4254" s="12"/>
      <c r="B4254" s="13"/>
      <c r="F4254" s="13"/>
    </row>
    <row r="4255" spans="1:6" ht="15.75" customHeight="1" x14ac:dyDescent="0.15">
      <c r="A4255" s="12"/>
      <c r="B4255" s="13"/>
      <c r="F4255" s="13"/>
    </row>
    <row r="4256" spans="1:6" ht="15.75" customHeight="1" x14ac:dyDescent="0.15">
      <c r="A4256" s="12"/>
      <c r="B4256" s="13"/>
      <c r="F4256" s="13"/>
    </row>
    <row r="4257" spans="1:6" ht="15.75" customHeight="1" x14ac:dyDescent="0.15">
      <c r="A4257" s="12"/>
      <c r="B4257" s="13"/>
      <c r="F4257" s="13"/>
    </row>
    <row r="4258" spans="1:6" ht="15.75" customHeight="1" x14ac:dyDescent="0.15">
      <c r="A4258" s="12"/>
      <c r="B4258" s="13"/>
      <c r="F4258" s="13"/>
    </row>
    <row r="4259" spans="1:6" ht="15.75" customHeight="1" x14ac:dyDescent="0.15">
      <c r="A4259" s="12"/>
      <c r="B4259" s="13"/>
      <c r="F4259" s="13"/>
    </row>
    <row r="4260" spans="1:6" ht="15.75" customHeight="1" x14ac:dyDescent="0.15">
      <c r="A4260" s="12"/>
      <c r="B4260" s="13"/>
      <c r="F4260" s="13"/>
    </row>
    <row r="4261" spans="1:6" ht="15.75" customHeight="1" x14ac:dyDescent="0.15">
      <c r="A4261" s="12"/>
      <c r="B4261" s="13"/>
      <c r="F4261" s="13"/>
    </row>
    <row r="4262" spans="1:6" ht="15.75" customHeight="1" x14ac:dyDescent="0.15">
      <c r="A4262" s="12"/>
      <c r="B4262" s="13"/>
      <c r="F4262" s="13"/>
    </row>
    <row r="4263" spans="1:6" ht="15.75" customHeight="1" x14ac:dyDescent="0.15">
      <c r="A4263" s="12"/>
      <c r="B4263" s="13"/>
      <c r="F4263" s="13"/>
    </row>
    <row r="4264" spans="1:6" ht="15.75" customHeight="1" x14ac:dyDescent="0.15">
      <c r="A4264" s="12"/>
      <c r="B4264" s="13"/>
      <c r="F4264" s="13"/>
    </row>
    <row r="4265" spans="1:6" ht="15.75" customHeight="1" x14ac:dyDescent="0.15">
      <c r="A4265" s="12"/>
      <c r="B4265" s="13"/>
      <c r="F4265" s="13"/>
    </row>
    <row r="4266" spans="1:6" ht="15.75" customHeight="1" x14ac:dyDescent="0.15">
      <c r="A4266" s="12"/>
      <c r="B4266" s="13"/>
      <c r="F4266" s="13"/>
    </row>
    <row r="4267" spans="1:6" ht="15.75" customHeight="1" x14ac:dyDescent="0.15">
      <c r="A4267" s="12"/>
      <c r="B4267" s="13"/>
      <c r="F4267" s="13"/>
    </row>
    <row r="4268" spans="1:6" ht="15.75" customHeight="1" x14ac:dyDescent="0.15">
      <c r="A4268" s="12"/>
      <c r="B4268" s="13"/>
      <c r="F4268" s="13"/>
    </row>
    <row r="4269" spans="1:6" ht="15.75" customHeight="1" x14ac:dyDescent="0.15">
      <c r="A4269" s="12"/>
      <c r="B4269" s="13"/>
      <c r="F4269" s="13"/>
    </row>
    <row r="4270" spans="1:6" ht="15.75" customHeight="1" x14ac:dyDescent="0.15">
      <c r="A4270" s="12"/>
      <c r="B4270" s="13"/>
      <c r="F4270" s="13"/>
    </row>
    <row r="4271" spans="1:6" ht="15.75" customHeight="1" x14ac:dyDescent="0.15">
      <c r="A4271" s="12"/>
      <c r="B4271" s="13"/>
      <c r="F4271" s="13"/>
    </row>
    <row r="4272" spans="1:6" ht="15.75" customHeight="1" x14ac:dyDescent="0.15">
      <c r="A4272" s="12"/>
      <c r="B4272" s="13"/>
      <c r="F4272" s="13"/>
    </row>
    <row r="4273" spans="1:6" ht="15.75" customHeight="1" x14ac:dyDescent="0.15">
      <c r="A4273" s="12"/>
      <c r="B4273" s="13"/>
      <c r="F4273" s="13"/>
    </row>
    <row r="4274" spans="1:6" ht="15.75" customHeight="1" x14ac:dyDescent="0.15">
      <c r="A4274" s="12"/>
      <c r="B4274" s="13"/>
      <c r="F4274" s="13"/>
    </row>
    <row r="4275" spans="1:6" ht="15.75" customHeight="1" x14ac:dyDescent="0.15">
      <c r="A4275" s="12"/>
      <c r="B4275" s="13"/>
      <c r="F4275" s="13"/>
    </row>
    <row r="4276" spans="1:6" ht="15.75" customHeight="1" x14ac:dyDescent="0.15">
      <c r="A4276" s="12"/>
      <c r="B4276" s="13"/>
      <c r="F4276" s="13"/>
    </row>
    <row r="4277" spans="1:6" ht="15.75" customHeight="1" x14ac:dyDescent="0.15">
      <c r="A4277" s="12"/>
      <c r="B4277" s="13"/>
      <c r="F4277" s="13"/>
    </row>
    <row r="4278" spans="1:6" ht="15.75" customHeight="1" x14ac:dyDescent="0.15">
      <c r="A4278" s="12"/>
      <c r="B4278" s="13"/>
      <c r="F4278" s="13"/>
    </row>
    <row r="4279" spans="1:6" ht="15.75" customHeight="1" x14ac:dyDescent="0.15">
      <c r="A4279" s="12"/>
      <c r="B4279" s="13"/>
      <c r="F4279" s="13"/>
    </row>
    <row r="4280" spans="1:6" ht="15.75" customHeight="1" x14ac:dyDescent="0.15">
      <c r="A4280" s="12"/>
      <c r="B4280" s="13"/>
      <c r="F4280" s="13"/>
    </row>
    <row r="4281" spans="1:6" ht="15.75" customHeight="1" x14ac:dyDescent="0.15">
      <c r="A4281" s="12"/>
      <c r="B4281" s="13"/>
      <c r="F4281" s="13"/>
    </row>
    <row r="4282" spans="1:6" ht="15.75" customHeight="1" x14ac:dyDescent="0.15">
      <c r="A4282" s="12"/>
      <c r="B4282" s="13"/>
      <c r="F4282" s="13"/>
    </row>
    <row r="4283" spans="1:6" ht="15.75" customHeight="1" x14ac:dyDescent="0.15">
      <c r="A4283" s="12"/>
      <c r="B4283" s="13"/>
      <c r="F4283" s="13"/>
    </row>
    <row r="4284" spans="1:6" ht="15.75" customHeight="1" x14ac:dyDescent="0.15">
      <c r="A4284" s="12"/>
      <c r="B4284" s="13"/>
      <c r="F4284" s="13"/>
    </row>
    <row r="4285" spans="1:6" ht="15.75" customHeight="1" x14ac:dyDescent="0.15">
      <c r="A4285" s="12"/>
      <c r="B4285" s="13"/>
      <c r="F4285" s="13"/>
    </row>
    <row r="4286" spans="1:6" ht="15.75" customHeight="1" x14ac:dyDescent="0.15">
      <c r="A4286" s="12"/>
      <c r="B4286" s="13"/>
      <c r="F4286" s="13"/>
    </row>
    <row r="4287" spans="1:6" ht="15.75" customHeight="1" x14ac:dyDescent="0.15">
      <c r="A4287" s="12"/>
      <c r="B4287" s="13"/>
      <c r="F4287" s="13"/>
    </row>
    <row r="4288" spans="1:6" ht="15.75" customHeight="1" x14ac:dyDescent="0.15">
      <c r="A4288" s="12"/>
      <c r="B4288" s="13"/>
      <c r="F4288" s="13"/>
    </row>
    <row r="4289" spans="1:6" ht="15.75" customHeight="1" x14ac:dyDescent="0.15">
      <c r="A4289" s="12"/>
      <c r="B4289" s="13"/>
      <c r="F4289" s="13"/>
    </row>
    <row r="4290" spans="1:6" ht="15.75" customHeight="1" x14ac:dyDescent="0.15">
      <c r="A4290" s="12"/>
      <c r="B4290" s="13"/>
      <c r="F4290" s="13"/>
    </row>
    <row r="4291" spans="1:6" ht="15.75" customHeight="1" x14ac:dyDescent="0.15">
      <c r="A4291" s="12"/>
      <c r="B4291" s="13"/>
      <c r="F4291" s="13"/>
    </row>
    <row r="4292" spans="1:6" ht="15.75" customHeight="1" x14ac:dyDescent="0.15">
      <c r="A4292" s="12"/>
      <c r="B4292" s="13"/>
      <c r="F4292" s="13"/>
    </row>
    <row r="4293" spans="1:6" ht="15.75" customHeight="1" x14ac:dyDescent="0.15">
      <c r="A4293" s="12"/>
      <c r="B4293" s="13"/>
      <c r="F4293" s="13"/>
    </row>
    <row r="4294" spans="1:6" ht="15.75" customHeight="1" x14ac:dyDescent="0.15">
      <c r="A4294" s="12"/>
      <c r="B4294" s="13"/>
      <c r="F4294" s="13"/>
    </row>
    <row r="4295" spans="1:6" ht="15.75" customHeight="1" x14ac:dyDescent="0.15">
      <c r="A4295" s="12"/>
      <c r="B4295" s="13"/>
      <c r="F4295" s="13"/>
    </row>
    <row r="4296" spans="1:6" ht="15.75" customHeight="1" x14ac:dyDescent="0.15">
      <c r="A4296" s="12"/>
      <c r="B4296" s="13"/>
      <c r="F4296" s="13"/>
    </row>
    <row r="4297" spans="1:6" ht="15.75" customHeight="1" x14ac:dyDescent="0.15">
      <c r="A4297" s="12"/>
      <c r="B4297" s="13"/>
      <c r="F4297" s="13"/>
    </row>
    <row r="4298" spans="1:6" ht="15.75" customHeight="1" x14ac:dyDescent="0.15">
      <c r="A4298" s="12"/>
      <c r="B4298" s="13"/>
      <c r="F4298" s="13"/>
    </row>
    <row r="4299" spans="1:6" ht="15.75" customHeight="1" x14ac:dyDescent="0.15">
      <c r="A4299" s="12"/>
      <c r="B4299" s="13"/>
      <c r="F4299" s="13"/>
    </row>
    <row r="4300" spans="1:6" ht="15.75" customHeight="1" x14ac:dyDescent="0.15">
      <c r="A4300" s="12"/>
      <c r="B4300" s="13"/>
      <c r="F4300" s="13"/>
    </row>
    <row r="4301" spans="1:6" ht="15.75" customHeight="1" x14ac:dyDescent="0.15">
      <c r="A4301" s="12"/>
      <c r="B4301" s="13"/>
      <c r="F4301" s="13"/>
    </row>
    <row r="4302" spans="1:6" ht="15.75" customHeight="1" x14ac:dyDescent="0.15">
      <c r="A4302" s="12"/>
      <c r="B4302" s="13"/>
      <c r="F4302" s="13"/>
    </row>
    <row r="4303" spans="1:6" ht="15.75" customHeight="1" x14ac:dyDescent="0.15">
      <c r="A4303" s="12"/>
      <c r="B4303" s="13"/>
      <c r="F4303" s="13"/>
    </row>
    <row r="4304" spans="1:6" ht="15.75" customHeight="1" x14ac:dyDescent="0.15">
      <c r="A4304" s="12"/>
      <c r="B4304" s="13"/>
      <c r="F4304" s="13"/>
    </row>
    <row r="4305" spans="1:6" ht="15.75" customHeight="1" x14ac:dyDescent="0.15">
      <c r="A4305" s="12"/>
      <c r="B4305" s="13"/>
      <c r="F4305" s="13"/>
    </row>
    <row r="4306" spans="1:6" ht="15.75" customHeight="1" x14ac:dyDescent="0.15">
      <c r="A4306" s="12"/>
      <c r="B4306" s="13"/>
      <c r="F4306" s="13"/>
    </row>
    <row r="4307" spans="1:6" ht="15.75" customHeight="1" x14ac:dyDescent="0.15">
      <c r="A4307" s="12"/>
      <c r="B4307" s="13"/>
      <c r="F4307" s="13"/>
    </row>
    <row r="4308" spans="1:6" ht="15.75" customHeight="1" x14ac:dyDescent="0.15">
      <c r="A4308" s="12"/>
      <c r="B4308" s="13"/>
      <c r="F4308" s="13"/>
    </row>
    <row r="4309" spans="1:6" ht="15.75" customHeight="1" x14ac:dyDescent="0.15">
      <c r="A4309" s="12"/>
      <c r="B4309" s="13"/>
      <c r="F4309" s="13"/>
    </row>
    <row r="4310" spans="1:6" ht="15.75" customHeight="1" x14ac:dyDescent="0.15">
      <c r="A4310" s="12"/>
      <c r="B4310" s="13"/>
      <c r="F4310" s="13"/>
    </row>
    <row r="4311" spans="1:6" ht="15.75" customHeight="1" x14ac:dyDescent="0.15">
      <c r="A4311" s="12"/>
      <c r="B4311" s="13"/>
      <c r="F4311" s="13"/>
    </row>
    <row r="4312" spans="1:6" ht="15.75" customHeight="1" x14ac:dyDescent="0.15">
      <c r="A4312" s="12"/>
      <c r="B4312" s="13"/>
      <c r="F4312" s="13"/>
    </row>
    <row r="4313" spans="1:6" ht="15.75" customHeight="1" x14ac:dyDescent="0.15">
      <c r="A4313" s="12"/>
      <c r="B4313" s="13"/>
      <c r="F4313" s="13"/>
    </row>
    <row r="4314" spans="1:6" ht="15.75" customHeight="1" x14ac:dyDescent="0.15">
      <c r="A4314" s="12"/>
      <c r="B4314" s="13"/>
      <c r="F4314" s="13"/>
    </row>
    <row r="4315" spans="1:6" ht="15.75" customHeight="1" x14ac:dyDescent="0.15">
      <c r="A4315" s="12"/>
      <c r="B4315" s="13"/>
      <c r="F4315" s="13"/>
    </row>
    <row r="4316" spans="1:6" ht="15.75" customHeight="1" x14ac:dyDescent="0.15">
      <c r="A4316" s="12"/>
      <c r="B4316" s="13"/>
      <c r="F4316" s="13"/>
    </row>
    <row r="4317" spans="1:6" ht="15.75" customHeight="1" x14ac:dyDescent="0.15">
      <c r="A4317" s="12"/>
      <c r="B4317" s="13"/>
      <c r="F4317" s="13"/>
    </row>
    <row r="4318" spans="1:6" ht="15.75" customHeight="1" x14ac:dyDescent="0.15">
      <c r="A4318" s="12"/>
      <c r="B4318" s="13"/>
      <c r="F4318" s="13"/>
    </row>
    <row r="4319" spans="1:6" ht="15.75" customHeight="1" x14ac:dyDescent="0.15">
      <c r="A4319" s="12"/>
      <c r="B4319" s="13"/>
      <c r="F4319" s="13"/>
    </row>
    <row r="4320" spans="1:6" ht="15.75" customHeight="1" x14ac:dyDescent="0.15">
      <c r="A4320" s="12"/>
      <c r="B4320" s="13"/>
      <c r="F4320" s="13"/>
    </row>
    <row r="4321" spans="1:6" ht="15.75" customHeight="1" x14ac:dyDescent="0.15">
      <c r="A4321" s="12"/>
      <c r="B4321" s="13"/>
      <c r="F4321" s="13"/>
    </row>
    <row r="4322" spans="1:6" ht="15.75" customHeight="1" x14ac:dyDescent="0.15">
      <c r="A4322" s="12"/>
      <c r="B4322" s="13"/>
      <c r="F4322" s="13"/>
    </row>
    <row r="4323" spans="1:6" ht="15.75" customHeight="1" x14ac:dyDescent="0.15">
      <c r="A4323" s="12"/>
      <c r="B4323" s="13"/>
      <c r="F4323" s="13"/>
    </row>
    <row r="4324" spans="1:6" ht="15.75" customHeight="1" x14ac:dyDescent="0.15">
      <c r="A4324" s="12"/>
      <c r="B4324" s="13"/>
      <c r="F4324" s="13"/>
    </row>
    <row r="4325" spans="1:6" ht="15.75" customHeight="1" x14ac:dyDescent="0.15">
      <c r="A4325" s="12"/>
      <c r="B4325" s="13"/>
      <c r="F4325" s="13"/>
    </row>
    <row r="4326" spans="1:6" ht="15.75" customHeight="1" x14ac:dyDescent="0.15">
      <c r="A4326" s="12"/>
      <c r="B4326" s="13"/>
      <c r="F4326" s="13"/>
    </row>
    <row r="4327" spans="1:6" ht="15.75" customHeight="1" x14ac:dyDescent="0.15">
      <c r="A4327" s="12"/>
      <c r="B4327" s="13"/>
      <c r="F4327" s="13"/>
    </row>
    <row r="4328" spans="1:6" ht="15.75" customHeight="1" x14ac:dyDescent="0.15">
      <c r="A4328" s="12"/>
      <c r="B4328" s="13"/>
      <c r="F4328" s="13"/>
    </row>
    <row r="4329" spans="1:6" ht="15.75" customHeight="1" x14ac:dyDescent="0.15">
      <c r="A4329" s="12"/>
      <c r="B4329" s="13"/>
      <c r="F4329" s="13"/>
    </row>
    <row r="4330" spans="1:6" ht="15.75" customHeight="1" x14ac:dyDescent="0.15">
      <c r="A4330" s="12"/>
      <c r="B4330" s="13"/>
      <c r="F4330" s="13"/>
    </row>
    <row r="4331" spans="1:6" ht="15.75" customHeight="1" x14ac:dyDescent="0.15">
      <c r="A4331" s="12"/>
      <c r="B4331" s="13"/>
      <c r="F4331" s="13"/>
    </row>
    <row r="4332" spans="1:6" ht="15.75" customHeight="1" x14ac:dyDescent="0.15">
      <c r="A4332" s="12"/>
      <c r="B4332" s="13"/>
      <c r="F4332" s="13"/>
    </row>
    <row r="4333" spans="1:6" ht="15.75" customHeight="1" x14ac:dyDescent="0.15">
      <c r="A4333" s="12"/>
      <c r="B4333" s="13"/>
      <c r="F4333" s="13"/>
    </row>
    <row r="4334" spans="1:6" ht="15.75" customHeight="1" x14ac:dyDescent="0.15">
      <c r="A4334" s="12"/>
      <c r="B4334" s="13"/>
      <c r="F4334" s="13"/>
    </row>
    <row r="4335" spans="1:6" ht="15.75" customHeight="1" x14ac:dyDescent="0.15">
      <c r="A4335" s="12"/>
      <c r="B4335" s="13"/>
      <c r="F4335" s="13"/>
    </row>
    <row r="4336" spans="1:6" ht="15.75" customHeight="1" x14ac:dyDescent="0.15">
      <c r="A4336" s="12"/>
      <c r="B4336" s="13"/>
      <c r="F4336" s="13"/>
    </row>
    <row r="4337" spans="1:6" ht="15.75" customHeight="1" x14ac:dyDescent="0.15">
      <c r="A4337" s="12"/>
      <c r="B4337" s="13"/>
      <c r="F4337" s="13"/>
    </row>
    <row r="4338" spans="1:6" ht="15.75" customHeight="1" x14ac:dyDescent="0.15">
      <c r="A4338" s="12"/>
      <c r="B4338" s="13"/>
      <c r="F4338" s="13"/>
    </row>
    <row r="4339" spans="1:6" ht="15.75" customHeight="1" x14ac:dyDescent="0.15">
      <c r="A4339" s="12"/>
      <c r="B4339" s="13"/>
      <c r="F4339" s="13"/>
    </row>
    <row r="4340" spans="1:6" ht="15.75" customHeight="1" x14ac:dyDescent="0.15">
      <c r="A4340" s="12"/>
      <c r="B4340" s="13"/>
      <c r="F4340" s="13"/>
    </row>
    <row r="4341" spans="1:6" ht="15.75" customHeight="1" x14ac:dyDescent="0.15">
      <c r="A4341" s="12"/>
      <c r="B4341" s="13"/>
      <c r="F4341" s="13"/>
    </row>
    <row r="4342" spans="1:6" ht="15.75" customHeight="1" x14ac:dyDescent="0.15">
      <c r="A4342" s="12"/>
      <c r="B4342" s="13"/>
      <c r="F4342" s="13"/>
    </row>
    <row r="4343" spans="1:6" ht="15.75" customHeight="1" x14ac:dyDescent="0.15">
      <c r="A4343" s="12"/>
      <c r="B4343" s="13"/>
      <c r="F4343" s="13"/>
    </row>
    <row r="4344" spans="1:6" ht="15.75" customHeight="1" x14ac:dyDescent="0.15">
      <c r="A4344" s="12"/>
      <c r="B4344" s="13"/>
      <c r="F4344" s="13"/>
    </row>
    <row r="4345" spans="1:6" ht="15.75" customHeight="1" x14ac:dyDescent="0.15">
      <c r="A4345" s="12"/>
      <c r="B4345" s="13"/>
      <c r="F4345" s="13"/>
    </row>
    <row r="4346" spans="1:6" ht="15.75" customHeight="1" x14ac:dyDescent="0.15">
      <c r="A4346" s="12"/>
      <c r="B4346" s="13"/>
      <c r="F4346" s="13"/>
    </row>
    <row r="4347" spans="1:6" ht="15.75" customHeight="1" x14ac:dyDescent="0.15">
      <c r="A4347" s="12"/>
      <c r="B4347" s="13"/>
      <c r="F4347" s="13"/>
    </row>
    <row r="4348" spans="1:6" ht="15.75" customHeight="1" x14ac:dyDescent="0.15">
      <c r="A4348" s="12"/>
      <c r="B4348" s="13"/>
      <c r="F4348" s="13"/>
    </row>
    <row r="4349" spans="1:6" ht="15.75" customHeight="1" x14ac:dyDescent="0.15">
      <c r="A4349" s="12"/>
      <c r="B4349" s="13"/>
      <c r="F4349" s="13"/>
    </row>
    <row r="4350" spans="1:6" ht="15.75" customHeight="1" x14ac:dyDescent="0.15">
      <c r="A4350" s="12"/>
      <c r="B4350" s="13"/>
      <c r="F4350" s="13"/>
    </row>
    <row r="4351" spans="1:6" ht="15.75" customHeight="1" x14ac:dyDescent="0.15">
      <c r="A4351" s="12"/>
      <c r="B4351" s="13"/>
      <c r="F4351" s="13"/>
    </row>
    <row r="4352" spans="1:6" ht="15.75" customHeight="1" x14ac:dyDescent="0.15">
      <c r="A4352" s="12"/>
      <c r="B4352" s="13"/>
      <c r="F4352" s="13"/>
    </row>
    <row r="4353" spans="1:6" ht="15.75" customHeight="1" x14ac:dyDescent="0.15">
      <c r="A4353" s="12"/>
      <c r="B4353" s="13"/>
      <c r="F4353" s="13"/>
    </row>
    <row r="4354" spans="1:6" ht="15.75" customHeight="1" x14ac:dyDescent="0.15">
      <c r="A4354" s="12"/>
      <c r="B4354" s="13"/>
      <c r="F4354" s="13"/>
    </row>
    <row r="4355" spans="1:6" ht="15.75" customHeight="1" x14ac:dyDescent="0.15">
      <c r="A4355" s="12"/>
      <c r="B4355" s="13"/>
      <c r="F4355" s="13"/>
    </row>
    <row r="4356" spans="1:6" ht="15.75" customHeight="1" x14ac:dyDescent="0.15">
      <c r="A4356" s="12"/>
      <c r="B4356" s="13"/>
      <c r="F4356" s="13"/>
    </row>
    <row r="4357" spans="1:6" ht="15.75" customHeight="1" x14ac:dyDescent="0.15">
      <c r="A4357" s="12"/>
      <c r="B4357" s="13"/>
      <c r="F4357" s="13"/>
    </row>
    <row r="4358" spans="1:6" ht="15.75" customHeight="1" x14ac:dyDescent="0.15">
      <c r="A4358" s="12"/>
      <c r="B4358" s="13"/>
      <c r="F4358" s="13"/>
    </row>
    <row r="4359" spans="1:6" ht="15.75" customHeight="1" x14ac:dyDescent="0.15">
      <c r="A4359" s="12"/>
      <c r="B4359" s="13"/>
      <c r="F4359" s="13"/>
    </row>
    <row r="4360" spans="1:6" ht="15.75" customHeight="1" x14ac:dyDescent="0.15">
      <c r="A4360" s="12"/>
      <c r="B4360" s="13"/>
      <c r="F4360" s="13"/>
    </row>
    <row r="4361" spans="1:6" ht="15.75" customHeight="1" x14ac:dyDescent="0.15">
      <c r="A4361" s="12"/>
      <c r="B4361" s="13"/>
      <c r="F4361" s="13"/>
    </row>
    <row r="4362" spans="1:6" ht="15.75" customHeight="1" x14ac:dyDescent="0.15">
      <c r="A4362" s="12"/>
      <c r="B4362" s="13"/>
      <c r="F4362" s="13"/>
    </row>
    <row r="4363" spans="1:6" ht="15.75" customHeight="1" x14ac:dyDescent="0.15">
      <c r="A4363" s="12"/>
      <c r="B4363" s="13"/>
      <c r="F4363" s="13"/>
    </row>
    <row r="4364" spans="1:6" ht="15.75" customHeight="1" x14ac:dyDescent="0.15">
      <c r="A4364" s="12"/>
      <c r="B4364" s="13"/>
      <c r="F4364" s="13"/>
    </row>
    <row r="4365" spans="1:6" ht="15.75" customHeight="1" x14ac:dyDescent="0.15">
      <c r="A4365" s="12"/>
      <c r="B4365" s="13"/>
      <c r="F4365" s="13"/>
    </row>
    <row r="4366" spans="1:6" ht="15.75" customHeight="1" x14ac:dyDescent="0.15">
      <c r="A4366" s="12"/>
      <c r="B4366" s="13"/>
      <c r="F4366" s="13"/>
    </row>
    <row r="4367" spans="1:6" ht="15.75" customHeight="1" x14ac:dyDescent="0.15">
      <c r="A4367" s="12"/>
      <c r="B4367" s="13"/>
      <c r="F4367" s="13"/>
    </row>
    <row r="4368" spans="1:6" ht="15.75" customHeight="1" x14ac:dyDescent="0.15">
      <c r="A4368" s="12"/>
      <c r="B4368" s="13"/>
      <c r="F4368" s="13"/>
    </row>
    <row r="4369" spans="1:6" ht="15.75" customHeight="1" x14ac:dyDescent="0.15">
      <c r="A4369" s="12"/>
      <c r="B4369" s="13"/>
      <c r="F4369" s="13"/>
    </row>
    <row r="4370" spans="1:6" ht="15.75" customHeight="1" x14ac:dyDescent="0.15">
      <c r="A4370" s="12"/>
      <c r="B4370" s="13"/>
      <c r="F4370" s="13"/>
    </row>
    <row r="4371" spans="1:6" ht="15.75" customHeight="1" x14ac:dyDescent="0.15">
      <c r="A4371" s="12"/>
      <c r="B4371" s="13"/>
      <c r="F4371" s="13"/>
    </row>
    <row r="4372" spans="1:6" ht="15.75" customHeight="1" x14ac:dyDescent="0.15">
      <c r="A4372" s="12"/>
      <c r="B4372" s="13"/>
      <c r="F4372" s="13"/>
    </row>
    <row r="4373" spans="1:6" ht="15.75" customHeight="1" x14ac:dyDescent="0.15">
      <c r="A4373" s="12"/>
      <c r="B4373" s="13"/>
      <c r="F4373" s="13"/>
    </row>
    <row r="4374" spans="1:6" ht="15.75" customHeight="1" x14ac:dyDescent="0.15">
      <c r="A4374" s="12"/>
      <c r="B4374" s="13"/>
      <c r="F4374" s="13"/>
    </row>
    <row r="4375" spans="1:6" ht="15.75" customHeight="1" x14ac:dyDescent="0.15">
      <c r="A4375" s="12"/>
      <c r="B4375" s="13"/>
      <c r="F4375" s="13"/>
    </row>
    <row r="4376" spans="1:6" ht="15.75" customHeight="1" x14ac:dyDescent="0.15">
      <c r="A4376" s="12"/>
      <c r="B4376" s="13"/>
      <c r="F4376" s="13"/>
    </row>
    <row r="4377" spans="1:6" ht="15.75" customHeight="1" x14ac:dyDescent="0.15">
      <c r="A4377" s="12"/>
      <c r="B4377" s="13"/>
      <c r="F4377" s="13"/>
    </row>
    <row r="4378" spans="1:6" ht="15.75" customHeight="1" x14ac:dyDescent="0.15">
      <c r="A4378" s="12"/>
      <c r="B4378" s="13"/>
      <c r="F4378" s="13"/>
    </row>
    <row r="4379" spans="1:6" ht="15.75" customHeight="1" x14ac:dyDescent="0.15">
      <c r="A4379" s="12"/>
      <c r="B4379" s="13"/>
      <c r="F4379" s="13"/>
    </row>
    <row r="4380" spans="1:6" ht="15.75" customHeight="1" x14ac:dyDescent="0.15">
      <c r="A4380" s="12"/>
      <c r="B4380" s="13"/>
      <c r="F4380" s="13"/>
    </row>
    <row r="4381" spans="1:6" ht="15.75" customHeight="1" x14ac:dyDescent="0.15">
      <c r="A4381" s="12"/>
      <c r="B4381" s="13"/>
      <c r="F4381" s="13"/>
    </row>
    <row r="4382" spans="1:6" ht="15.75" customHeight="1" x14ac:dyDescent="0.15">
      <c r="A4382" s="12"/>
      <c r="B4382" s="13"/>
      <c r="F4382" s="13"/>
    </row>
    <row r="4383" spans="1:6" ht="15.75" customHeight="1" x14ac:dyDescent="0.15">
      <c r="A4383" s="12"/>
      <c r="B4383" s="13"/>
      <c r="F4383" s="13"/>
    </row>
    <row r="4384" spans="1:6" ht="15.75" customHeight="1" x14ac:dyDescent="0.15">
      <c r="A4384" s="12"/>
      <c r="B4384" s="13"/>
      <c r="F4384" s="13"/>
    </row>
    <row r="4385" spans="1:6" ht="15.75" customHeight="1" x14ac:dyDescent="0.15">
      <c r="A4385" s="12"/>
      <c r="B4385" s="13"/>
      <c r="F4385" s="13"/>
    </row>
    <row r="4386" spans="1:6" ht="15.75" customHeight="1" x14ac:dyDescent="0.15">
      <c r="A4386" s="12"/>
      <c r="B4386" s="13"/>
      <c r="F4386" s="13"/>
    </row>
    <row r="4387" spans="1:6" ht="15.75" customHeight="1" x14ac:dyDescent="0.15">
      <c r="A4387" s="12"/>
      <c r="B4387" s="13"/>
      <c r="F4387" s="13"/>
    </row>
    <row r="4388" spans="1:6" ht="15.75" customHeight="1" x14ac:dyDescent="0.15">
      <c r="A4388" s="12"/>
      <c r="B4388" s="13"/>
      <c r="F4388" s="13"/>
    </row>
    <row r="4389" spans="1:6" ht="15.75" customHeight="1" x14ac:dyDescent="0.15">
      <c r="A4389" s="12"/>
      <c r="B4389" s="13"/>
      <c r="F4389" s="13"/>
    </row>
    <row r="4390" spans="1:6" ht="15.75" customHeight="1" x14ac:dyDescent="0.15">
      <c r="A4390" s="12"/>
      <c r="B4390" s="13"/>
      <c r="F4390" s="13"/>
    </row>
    <row r="4391" spans="1:6" ht="15.75" customHeight="1" x14ac:dyDescent="0.15">
      <c r="A4391" s="12"/>
      <c r="B4391" s="13"/>
      <c r="F4391" s="13"/>
    </row>
    <row r="4392" spans="1:6" ht="15.75" customHeight="1" x14ac:dyDescent="0.15">
      <c r="A4392" s="12"/>
      <c r="B4392" s="13"/>
      <c r="F4392" s="13"/>
    </row>
    <row r="4393" spans="1:6" ht="15.75" customHeight="1" x14ac:dyDescent="0.15">
      <c r="A4393" s="12"/>
      <c r="B4393" s="13"/>
      <c r="F4393" s="13"/>
    </row>
    <row r="4394" spans="1:6" ht="15.75" customHeight="1" x14ac:dyDescent="0.15">
      <c r="A4394" s="12"/>
      <c r="B4394" s="13"/>
      <c r="F4394" s="13"/>
    </row>
    <row r="4395" spans="1:6" ht="15.75" customHeight="1" x14ac:dyDescent="0.15">
      <c r="A4395" s="12"/>
      <c r="B4395" s="13"/>
      <c r="F4395" s="13"/>
    </row>
    <row r="4396" spans="1:6" ht="15.75" customHeight="1" x14ac:dyDescent="0.15">
      <c r="A4396" s="12"/>
      <c r="B4396" s="13"/>
      <c r="F4396" s="13"/>
    </row>
    <row r="4397" spans="1:6" ht="15.75" customHeight="1" x14ac:dyDescent="0.15">
      <c r="A4397" s="12"/>
      <c r="B4397" s="13"/>
      <c r="F4397" s="13"/>
    </row>
    <row r="4398" spans="1:6" ht="15.75" customHeight="1" x14ac:dyDescent="0.15">
      <c r="A4398" s="12"/>
      <c r="B4398" s="13"/>
      <c r="F4398" s="13"/>
    </row>
    <row r="4399" spans="1:6" ht="15.75" customHeight="1" x14ac:dyDescent="0.15">
      <c r="A4399" s="12"/>
      <c r="B4399" s="13"/>
      <c r="F4399" s="13"/>
    </row>
    <row r="4400" spans="1:6" ht="15.75" customHeight="1" x14ac:dyDescent="0.15">
      <c r="A4400" s="12"/>
      <c r="B4400" s="13"/>
      <c r="F4400" s="13"/>
    </row>
    <row r="4401" spans="1:6" ht="15.75" customHeight="1" x14ac:dyDescent="0.15">
      <c r="A4401" s="12"/>
      <c r="B4401" s="13"/>
      <c r="F4401" s="13"/>
    </row>
    <row r="4402" spans="1:6" ht="15.75" customHeight="1" x14ac:dyDescent="0.15">
      <c r="A4402" s="12"/>
      <c r="B4402" s="13"/>
      <c r="F4402" s="13"/>
    </row>
    <row r="4403" spans="1:6" ht="15.75" customHeight="1" x14ac:dyDescent="0.15">
      <c r="A4403" s="12"/>
      <c r="B4403" s="13"/>
      <c r="F4403" s="13"/>
    </row>
    <row r="4404" spans="1:6" ht="15.75" customHeight="1" x14ac:dyDescent="0.15">
      <c r="A4404" s="12"/>
      <c r="B4404" s="13"/>
      <c r="F4404" s="13"/>
    </row>
    <row r="4405" spans="1:6" ht="15.75" customHeight="1" x14ac:dyDescent="0.15">
      <c r="A4405" s="12"/>
      <c r="B4405" s="13"/>
      <c r="F4405" s="13"/>
    </row>
    <row r="4406" spans="1:6" ht="15.75" customHeight="1" x14ac:dyDescent="0.15">
      <c r="A4406" s="12"/>
      <c r="B4406" s="13"/>
      <c r="F4406" s="13"/>
    </row>
    <row r="4407" spans="1:6" ht="15.75" customHeight="1" x14ac:dyDescent="0.15">
      <c r="A4407" s="12"/>
      <c r="B4407" s="13"/>
      <c r="F4407" s="13"/>
    </row>
    <row r="4408" spans="1:6" ht="15.75" customHeight="1" x14ac:dyDescent="0.15">
      <c r="A4408" s="12"/>
      <c r="B4408" s="13"/>
      <c r="F4408" s="13"/>
    </row>
    <row r="4409" spans="1:6" ht="15.75" customHeight="1" x14ac:dyDescent="0.15">
      <c r="A4409" s="12"/>
      <c r="B4409" s="13"/>
      <c r="F4409" s="13"/>
    </row>
    <row r="4410" spans="1:6" ht="15.75" customHeight="1" x14ac:dyDescent="0.15">
      <c r="A4410" s="12"/>
      <c r="B4410" s="13"/>
      <c r="F4410" s="13"/>
    </row>
    <row r="4411" spans="1:6" ht="15.75" customHeight="1" x14ac:dyDescent="0.15">
      <c r="A4411" s="12"/>
      <c r="B4411" s="13"/>
      <c r="F4411" s="13"/>
    </row>
    <row r="4412" spans="1:6" ht="15.75" customHeight="1" x14ac:dyDescent="0.15">
      <c r="A4412" s="12"/>
      <c r="B4412" s="13"/>
      <c r="F4412" s="13"/>
    </row>
    <row r="4413" spans="1:6" ht="15.75" customHeight="1" x14ac:dyDescent="0.15">
      <c r="A4413" s="12"/>
      <c r="B4413" s="13"/>
      <c r="F4413" s="13"/>
    </row>
    <row r="4414" spans="1:6" ht="15.75" customHeight="1" x14ac:dyDescent="0.15">
      <c r="A4414" s="12"/>
      <c r="B4414" s="13"/>
      <c r="F4414" s="13"/>
    </row>
    <row r="4415" spans="1:6" ht="15.75" customHeight="1" x14ac:dyDescent="0.15">
      <c r="A4415" s="12"/>
      <c r="B4415" s="13"/>
      <c r="F4415" s="13"/>
    </row>
    <row r="4416" spans="1:6" ht="15.75" customHeight="1" x14ac:dyDescent="0.15">
      <c r="A4416" s="12"/>
      <c r="B4416" s="13"/>
      <c r="F4416" s="13"/>
    </row>
    <row r="4417" spans="1:6" ht="15.75" customHeight="1" x14ac:dyDescent="0.15">
      <c r="A4417" s="12"/>
      <c r="B4417" s="13"/>
      <c r="F4417" s="13"/>
    </row>
    <row r="4418" spans="1:6" ht="15.75" customHeight="1" x14ac:dyDescent="0.15">
      <c r="A4418" s="12"/>
      <c r="B4418" s="13"/>
      <c r="F4418" s="13"/>
    </row>
    <row r="4419" spans="1:6" ht="15.75" customHeight="1" x14ac:dyDescent="0.15">
      <c r="A4419" s="12"/>
      <c r="B4419" s="13"/>
      <c r="F4419" s="13"/>
    </row>
    <row r="4420" spans="1:6" ht="15.75" customHeight="1" x14ac:dyDescent="0.15">
      <c r="A4420" s="12"/>
      <c r="B4420" s="13"/>
      <c r="F4420" s="13"/>
    </row>
    <row r="4421" spans="1:6" ht="15.75" customHeight="1" x14ac:dyDescent="0.15">
      <c r="A4421" s="12"/>
      <c r="B4421" s="13"/>
      <c r="F4421" s="13"/>
    </row>
    <row r="4422" spans="1:6" ht="15.75" customHeight="1" x14ac:dyDescent="0.15">
      <c r="A4422" s="12"/>
      <c r="B4422" s="13"/>
      <c r="F4422" s="13"/>
    </row>
    <row r="4423" spans="1:6" ht="15.75" customHeight="1" x14ac:dyDescent="0.15">
      <c r="A4423" s="12"/>
      <c r="B4423" s="13"/>
      <c r="F4423" s="13"/>
    </row>
    <row r="4424" spans="1:6" ht="15.75" customHeight="1" x14ac:dyDescent="0.15">
      <c r="A4424" s="12"/>
      <c r="B4424" s="13"/>
      <c r="F4424" s="13"/>
    </row>
    <row r="4425" spans="1:6" ht="15.75" customHeight="1" x14ac:dyDescent="0.15">
      <c r="A4425" s="12"/>
      <c r="B4425" s="13"/>
      <c r="F4425" s="13"/>
    </row>
    <row r="4426" spans="1:6" ht="15.75" customHeight="1" x14ac:dyDescent="0.15">
      <c r="A4426" s="12"/>
      <c r="B4426" s="13"/>
      <c r="F4426" s="13"/>
    </row>
    <row r="4427" spans="1:6" ht="15.75" customHeight="1" x14ac:dyDescent="0.15">
      <c r="A4427" s="12"/>
      <c r="B4427" s="13"/>
      <c r="F4427" s="13"/>
    </row>
    <row r="4428" spans="1:6" ht="15.75" customHeight="1" x14ac:dyDescent="0.15">
      <c r="A4428" s="12"/>
      <c r="B4428" s="13"/>
      <c r="F4428" s="13"/>
    </row>
    <row r="4429" spans="1:6" ht="15.75" customHeight="1" x14ac:dyDescent="0.15">
      <c r="A4429" s="12"/>
      <c r="B4429" s="13"/>
      <c r="F4429" s="13"/>
    </row>
    <row r="4430" spans="1:6" ht="15.75" customHeight="1" x14ac:dyDescent="0.15">
      <c r="A4430" s="12"/>
      <c r="B4430" s="13"/>
      <c r="F4430" s="13"/>
    </row>
    <row r="4431" spans="1:6" ht="15.75" customHeight="1" x14ac:dyDescent="0.15">
      <c r="A4431" s="12"/>
      <c r="B4431" s="13"/>
      <c r="F4431" s="13"/>
    </row>
    <row r="4432" spans="1:6" ht="15.75" customHeight="1" x14ac:dyDescent="0.15">
      <c r="A4432" s="12"/>
      <c r="B4432" s="13"/>
      <c r="F4432" s="13"/>
    </row>
    <row r="4433" spans="1:6" ht="15.75" customHeight="1" x14ac:dyDescent="0.15">
      <c r="A4433" s="12"/>
      <c r="B4433" s="13"/>
      <c r="F4433" s="13"/>
    </row>
    <row r="4434" spans="1:6" ht="15.75" customHeight="1" x14ac:dyDescent="0.15">
      <c r="A4434" s="12"/>
      <c r="B4434" s="13"/>
      <c r="F4434" s="13"/>
    </row>
    <row r="4435" spans="1:6" ht="15.75" customHeight="1" x14ac:dyDescent="0.15">
      <c r="A4435" s="12"/>
      <c r="B4435" s="13"/>
      <c r="F4435" s="13"/>
    </row>
    <row r="4436" spans="1:6" ht="15.75" customHeight="1" x14ac:dyDescent="0.15">
      <c r="A4436" s="12"/>
      <c r="B4436" s="13"/>
      <c r="F4436" s="13"/>
    </row>
    <row r="4437" spans="1:6" ht="15.75" customHeight="1" x14ac:dyDescent="0.15">
      <c r="A4437" s="12"/>
      <c r="B4437" s="13"/>
      <c r="F4437" s="13"/>
    </row>
    <row r="4438" spans="1:6" ht="15.75" customHeight="1" x14ac:dyDescent="0.15">
      <c r="A4438" s="12"/>
      <c r="B4438" s="13"/>
      <c r="F4438" s="13"/>
    </row>
    <row r="4439" spans="1:6" ht="15.75" customHeight="1" x14ac:dyDescent="0.15">
      <c r="A4439" s="12"/>
      <c r="B4439" s="13"/>
      <c r="F4439" s="13"/>
    </row>
    <row r="4440" spans="1:6" ht="15.75" customHeight="1" x14ac:dyDescent="0.15">
      <c r="A4440" s="12"/>
      <c r="B4440" s="13"/>
      <c r="F4440" s="13"/>
    </row>
    <row r="4441" spans="1:6" ht="15.75" customHeight="1" x14ac:dyDescent="0.15">
      <c r="A4441" s="12"/>
      <c r="B4441" s="13"/>
      <c r="F4441" s="13"/>
    </row>
    <row r="4442" spans="1:6" ht="15.75" customHeight="1" x14ac:dyDescent="0.15">
      <c r="A4442" s="12"/>
      <c r="B4442" s="13"/>
      <c r="F4442" s="13"/>
    </row>
    <row r="4443" spans="1:6" ht="15.75" customHeight="1" x14ac:dyDescent="0.15">
      <c r="A4443" s="12"/>
      <c r="B4443" s="13"/>
      <c r="F4443" s="13"/>
    </row>
    <row r="4444" spans="1:6" ht="15.75" customHeight="1" x14ac:dyDescent="0.15">
      <c r="A4444" s="12"/>
      <c r="B4444" s="13"/>
      <c r="F4444" s="13"/>
    </row>
    <row r="4445" spans="1:6" ht="15.75" customHeight="1" x14ac:dyDescent="0.15">
      <c r="A4445" s="12"/>
      <c r="B4445" s="13"/>
      <c r="F4445" s="13"/>
    </row>
    <row r="4446" spans="1:6" ht="15.75" customHeight="1" x14ac:dyDescent="0.15">
      <c r="A4446" s="12"/>
      <c r="B4446" s="13"/>
      <c r="F4446" s="13"/>
    </row>
    <row r="4447" spans="1:6" ht="15.75" customHeight="1" x14ac:dyDescent="0.15">
      <c r="A4447" s="12"/>
      <c r="B4447" s="13"/>
      <c r="F4447" s="13"/>
    </row>
    <row r="4448" spans="1:6" ht="15.75" customHeight="1" x14ac:dyDescent="0.15">
      <c r="A4448" s="12"/>
      <c r="B4448" s="13"/>
      <c r="F4448" s="13"/>
    </row>
    <row r="4449" spans="1:6" ht="15.75" customHeight="1" x14ac:dyDescent="0.15">
      <c r="A4449" s="12"/>
      <c r="B4449" s="13"/>
      <c r="F4449" s="13"/>
    </row>
    <row r="4450" spans="1:6" ht="15.75" customHeight="1" x14ac:dyDescent="0.15">
      <c r="A4450" s="12"/>
      <c r="B4450" s="13"/>
      <c r="F4450" s="13"/>
    </row>
    <row r="4451" spans="1:6" ht="15.75" customHeight="1" x14ac:dyDescent="0.15">
      <c r="A4451" s="12"/>
      <c r="B4451" s="13"/>
      <c r="F4451" s="13"/>
    </row>
    <row r="4452" spans="1:6" ht="15.75" customHeight="1" x14ac:dyDescent="0.15">
      <c r="A4452" s="12"/>
      <c r="B4452" s="13"/>
      <c r="F4452" s="13"/>
    </row>
    <row r="4453" spans="1:6" ht="15.75" customHeight="1" x14ac:dyDescent="0.15">
      <c r="A4453" s="12"/>
      <c r="B4453" s="13"/>
      <c r="F4453" s="13"/>
    </row>
    <row r="4454" spans="1:6" ht="15.75" customHeight="1" x14ac:dyDescent="0.15">
      <c r="A4454" s="12"/>
      <c r="B4454" s="13"/>
      <c r="F4454" s="13"/>
    </row>
    <row r="4455" spans="1:6" ht="15.75" customHeight="1" x14ac:dyDescent="0.15">
      <c r="A4455" s="12"/>
      <c r="B4455" s="13"/>
      <c r="F4455" s="13"/>
    </row>
    <row r="4456" spans="1:6" ht="15.75" customHeight="1" x14ac:dyDescent="0.15">
      <c r="A4456" s="12"/>
      <c r="B4456" s="13"/>
      <c r="F4456" s="13"/>
    </row>
    <row r="4457" spans="1:6" ht="15.75" customHeight="1" x14ac:dyDescent="0.15">
      <c r="A4457" s="12"/>
      <c r="B4457" s="13"/>
      <c r="F4457" s="13"/>
    </row>
    <row r="4458" spans="1:6" ht="15.75" customHeight="1" x14ac:dyDescent="0.15">
      <c r="A4458" s="12"/>
      <c r="B4458" s="13"/>
      <c r="F4458" s="13"/>
    </row>
    <row r="4459" spans="1:6" ht="15.75" customHeight="1" x14ac:dyDescent="0.15">
      <c r="A4459" s="12"/>
      <c r="B4459" s="13"/>
      <c r="F4459" s="13"/>
    </row>
    <row r="4460" spans="1:6" ht="15.75" customHeight="1" x14ac:dyDescent="0.15">
      <c r="A4460" s="12"/>
      <c r="B4460" s="13"/>
      <c r="F4460" s="13"/>
    </row>
    <row r="4461" spans="1:6" ht="15.75" customHeight="1" x14ac:dyDescent="0.15">
      <c r="A4461" s="12"/>
      <c r="B4461" s="13"/>
      <c r="F4461" s="13"/>
    </row>
    <row r="4462" spans="1:6" ht="15.75" customHeight="1" x14ac:dyDescent="0.15">
      <c r="A4462" s="12"/>
      <c r="B4462" s="13"/>
      <c r="F4462" s="13"/>
    </row>
    <row r="4463" spans="1:6" ht="15.75" customHeight="1" x14ac:dyDescent="0.15">
      <c r="A4463" s="12"/>
      <c r="B4463" s="13"/>
      <c r="F4463" s="13"/>
    </row>
    <row r="4464" spans="1:6" ht="15.75" customHeight="1" x14ac:dyDescent="0.15">
      <c r="A4464" s="12"/>
      <c r="B4464" s="13"/>
      <c r="F4464" s="13"/>
    </row>
    <row r="4465" spans="1:6" ht="15.75" customHeight="1" x14ac:dyDescent="0.15">
      <c r="A4465" s="12"/>
      <c r="B4465" s="13"/>
      <c r="F4465" s="13"/>
    </row>
    <row r="4466" spans="1:6" ht="15.75" customHeight="1" x14ac:dyDescent="0.15">
      <c r="A4466" s="12"/>
      <c r="B4466" s="13"/>
      <c r="F4466" s="13"/>
    </row>
    <row r="4467" spans="1:6" ht="15.75" customHeight="1" x14ac:dyDescent="0.15">
      <c r="A4467" s="12"/>
      <c r="B4467" s="13"/>
      <c r="F4467" s="13"/>
    </row>
    <row r="4468" spans="1:6" ht="15.75" customHeight="1" x14ac:dyDescent="0.15">
      <c r="A4468" s="12"/>
      <c r="B4468" s="13"/>
      <c r="F4468" s="13"/>
    </row>
    <row r="4469" spans="1:6" ht="15.75" customHeight="1" x14ac:dyDescent="0.15">
      <c r="A4469" s="12"/>
      <c r="B4469" s="13"/>
      <c r="F4469" s="13"/>
    </row>
    <row r="4470" spans="1:6" ht="15.75" customHeight="1" x14ac:dyDescent="0.15">
      <c r="A4470" s="12"/>
      <c r="B4470" s="13"/>
      <c r="F4470" s="13"/>
    </row>
    <row r="4471" spans="1:6" ht="15.75" customHeight="1" x14ac:dyDescent="0.15">
      <c r="A4471" s="12"/>
      <c r="B4471" s="13"/>
      <c r="F4471" s="13"/>
    </row>
    <row r="4472" spans="1:6" ht="15.75" customHeight="1" x14ac:dyDescent="0.15">
      <c r="A4472" s="12"/>
      <c r="B4472" s="13"/>
      <c r="F4472" s="13"/>
    </row>
    <row r="4473" spans="1:6" ht="15.75" customHeight="1" x14ac:dyDescent="0.15">
      <c r="A4473" s="12"/>
      <c r="B4473" s="13"/>
      <c r="F4473" s="13"/>
    </row>
    <row r="4474" spans="1:6" ht="15.75" customHeight="1" x14ac:dyDescent="0.15">
      <c r="A4474" s="12"/>
      <c r="B4474" s="13"/>
      <c r="F4474" s="13"/>
    </row>
    <row r="4475" spans="1:6" ht="15.75" customHeight="1" x14ac:dyDescent="0.15">
      <c r="A4475" s="12"/>
      <c r="B4475" s="13"/>
      <c r="F4475" s="13"/>
    </row>
    <row r="4476" spans="1:6" ht="15.75" customHeight="1" x14ac:dyDescent="0.15">
      <c r="A4476" s="12"/>
      <c r="B4476" s="13"/>
      <c r="F4476" s="13"/>
    </row>
    <row r="4477" spans="1:6" ht="15.75" customHeight="1" x14ac:dyDescent="0.15">
      <c r="A4477" s="12"/>
      <c r="B4477" s="13"/>
      <c r="F4477" s="13"/>
    </row>
    <row r="4478" spans="1:6" ht="15.75" customHeight="1" x14ac:dyDescent="0.15">
      <c r="A4478" s="12"/>
      <c r="B4478" s="13"/>
      <c r="F4478" s="13"/>
    </row>
    <row r="4479" spans="1:6" ht="15.75" customHeight="1" x14ac:dyDescent="0.15">
      <c r="A4479" s="12"/>
      <c r="B4479" s="13"/>
      <c r="F4479" s="13"/>
    </row>
    <row r="4480" spans="1:6" ht="15.75" customHeight="1" x14ac:dyDescent="0.15">
      <c r="A4480" s="12"/>
      <c r="B4480" s="13"/>
      <c r="F4480" s="13"/>
    </row>
    <row r="4481" spans="1:6" ht="15.75" customHeight="1" x14ac:dyDescent="0.15">
      <c r="A4481" s="12"/>
      <c r="B4481" s="13"/>
      <c r="F4481" s="13"/>
    </row>
    <row r="4482" spans="1:6" ht="15.75" customHeight="1" x14ac:dyDescent="0.15">
      <c r="A4482" s="12"/>
      <c r="B4482" s="13"/>
      <c r="F4482" s="13"/>
    </row>
    <row r="4483" spans="1:6" ht="15.75" customHeight="1" x14ac:dyDescent="0.15">
      <c r="A4483" s="12"/>
      <c r="B4483" s="13"/>
      <c r="F4483" s="13"/>
    </row>
    <row r="4484" spans="1:6" ht="15.75" customHeight="1" x14ac:dyDescent="0.15">
      <c r="A4484" s="12"/>
      <c r="B4484" s="13"/>
      <c r="F4484" s="13"/>
    </row>
    <row r="4485" spans="1:6" ht="15.75" customHeight="1" x14ac:dyDescent="0.15">
      <c r="A4485" s="12"/>
      <c r="B4485" s="13"/>
      <c r="F4485" s="13"/>
    </row>
    <row r="4486" spans="1:6" ht="15.75" customHeight="1" x14ac:dyDescent="0.15">
      <c r="A4486" s="12"/>
      <c r="B4486" s="13"/>
      <c r="F4486" s="13"/>
    </row>
    <row r="4487" spans="1:6" ht="15.75" customHeight="1" x14ac:dyDescent="0.15">
      <c r="A4487" s="12"/>
      <c r="B4487" s="13"/>
      <c r="F4487" s="13"/>
    </row>
    <row r="4488" spans="1:6" ht="15.75" customHeight="1" x14ac:dyDescent="0.15">
      <c r="A4488" s="12"/>
      <c r="B4488" s="13"/>
      <c r="F4488" s="13"/>
    </row>
    <row r="4489" spans="1:6" ht="15.75" customHeight="1" x14ac:dyDescent="0.15">
      <c r="A4489" s="12"/>
      <c r="B4489" s="13"/>
      <c r="F4489" s="13"/>
    </row>
    <row r="4490" spans="1:6" ht="15.75" customHeight="1" x14ac:dyDescent="0.15">
      <c r="A4490" s="12"/>
      <c r="B4490" s="13"/>
      <c r="F4490" s="13"/>
    </row>
    <row r="4491" spans="1:6" ht="15.75" customHeight="1" x14ac:dyDescent="0.15">
      <c r="A4491" s="12"/>
      <c r="B4491" s="13"/>
      <c r="F4491" s="13"/>
    </row>
    <row r="4492" spans="1:6" ht="15.75" customHeight="1" x14ac:dyDescent="0.15">
      <c r="A4492" s="12"/>
      <c r="B4492" s="13"/>
      <c r="F4492" s="13"/>
    </row>
    <row r="4493" spans="1:6" ht="15.75" customHeight="1" x14ac:dyDescent="0.15">
      <c r="A4493" s="12"/>
      <c r="B4493" s="13"/>
      <c r="F4493" s="13"/>
    </row>
    <row r="4494" spans="1:6" ht="15.75" customHeight="1" x14ac:dyDescent="0.15">
      <c r="A4494" s="12"/>
      <c r="B4494" s="13"/>
      <c r="F4494" s="13"/>
    </row>
    <row r="4495" spans="1:6" ht="15.75" customHeight="1" x14ac:dyDescent="0.15">
      <c r="A4495" s="12"/>
      <c r="B4495" s="13"/>
      <c r="F4495" s="13"/>
    </row>
    <row r="4496" spans="1:6" ht="15.75" customHeight="1" x14ac:dyDescent="0.15">
      <c r="A4496" s="12"/>
      <c r="B4496" s="13"/>
      <c r="F4496" s="13"/>
    </row>
    <row r="4497" spans="1:6" ht="15.75" customHeight="1" x14ac:dyDescent="0.15">
      <c r="A4497" s="12"/>
      <c r="B4497" s="13"/>
      <c r="F4497" s="13"/>
    </row>
    <row r="4498" spans="1:6" ht="15.75" customHeight="1" x14ac:dyDescent="0.15">
      <c r="A4498" s="12"/>
      <c r="B4498" s="13"/>
      <c r="F4498" s="13"/>
    </row>
    <row r="4499" spans="1:6" ht="15.75" customHeight="1" x14ac:dyDescent="0.15">
      <c r="A4499" s="12"/>
      <c r="B4499" s="13"/>
      <c r="F4499" s="13"/>
    </row>
    <row r="4500" spans="1:6" ht="15.75" customHeight="1" x14ac:dyDescent="0.15">
      <c r="A4500" s="12"/>
      <c r="B4500" s="13"/>
      <c r="F4500" s="13"/>
    </row>
    <row r="4501" spans="1:6" ht="15.75" customHeight="1" x14ac:dyDescent="0.15">
      <c r="A4501" s="12"/>
      <c r="B4501" s="13"/>
      <c r="F4501" s="13"/>
    </row>
    <row r="4502" spans="1:6" ht="15.75" customHeight="1" x14ac:dyDescent="0.15">
      <c r="A4502" s="12"/>
      <c r="B4502" s="13"/>
      <c r="F4502" s="13"/>
    </row>
    <row r="4503" spans="1:6" ht="15.75" customHeight="1" x14ac:dyDescent="0.15">
      <c r="A4503" s="12"/>
      <c r="B4503" s="13"/>
      <c r="F4503" s="13"/>
    </row>
    <row r="4504" spans="1:6" ht="15.75" customHeight="1" x14ac:dyDescent="0.15">
      <c r="A4504" s="12"/>
      <c r="B4504" s="13"/>
      <c r="F4504" s="13"/>
    </row>
    <row r="4505" spans="1:6" ht="15.75" customHeight="1" x14ac:dyDescent="0.15">
      <c r="A4505" s="12"/>
      <c r="B4505" s="13"/>
      <c r="F4505" s="13"/>
    </row>
    <row r="4506" spans="1:6" ht="15.75" customHeight="1" x14ac:dyDescent="0.15">
      <c r="A4506" s="12"/>
      <c r="B4506" s="13"/>
      <c r="F4506" s="13"/>
    </row>
    <row r="4507" spans="1:6" ht="15.75" customHeight="1" x14ac:dyDescent="0.15">
      <c r="A4507" s="12"/>
      <c r="B4507" s="13"/>
      <c r="F4507" s="13"/>
    </row>
    <row r="4508" spans="1:6" ht="15.75" customHeight="1" x14ac:dyDescent="0.15">
      <c r="A4508" s="12"/>
      <c r="B4508" s="13"/>
      <c r="F4508" s="13"/>
    </row>
    <row r="4509" spans="1:6" ht="15.75" customHeight="1" x14ac:dyDescent="0.15">
      <c r="A4509" s="12"/>
      <c r="B4509" s="13"/>
      <c r="F4509" s="13"/>
    </row>
    <row r="4510" spans="1:6" ht="15.75" customHeight="1" x14ac:dyDescent="0.15">
      <c r="A4510" s="12"/>
      <c r="B4510" s="13"/>
      <c r="F4510" s="13"/>
    </row>
    <row r="4511" spans="1:6" ht="15.75" customHeight="1" x14ac:dyDescent="0.15">
      <c r="A4511" s="12"/>
      <c r="B4511" s="13"/>
      <c r="F4511" s="13"/>
    </row>
    <row r="4512" spans="1:6" ht="15.75" customHeight="1" x14ac:dyDescent="0.15">
      <c r="A4512" s="12"/>
      <c r="B4512" s="13"/>
      <c r="F4512" s="13"/>
    </row>
    <row r="4513" spans="1:6" ht="15.75" customHeight="1" x14ac:dyDescent="0.15">
      <c r="A4513" s="12"/>
      <c r="B4513" s="13"/>
      <c r="F4513" s="13"/>
    </row>
    <row r="4514" spans="1:6" ht="15.75" customHeight="1" x14ac:dyDescent="0.15">
      <c r="A4514" s="12"/>
      <c r="B4514" s="13"/>
      <c r="F4514" s="13"/>
    </row>
    <row r="4515" spans="1:6" ht="15.75" customHeight="1" x14ac:dyDescent="0.15">
      <c r="A4515" s="12"/>
      <c r="B4515" s="13"/>
      <c r="F4515" s="13"/>
    </row>
    <row r="4516" spans="1:6" ht="15.75" customHeight="1" x14ac:dyDescent="0.15">
      <c r="A4516" s="12"/>
      <c r="B4516" s="13"/>
      <c r="F4516" s="13"/>
    </row>
    <row r="4517" spans="1:6" ht="15.75" customHeight="1" x14ac:dyDescent="0.15">
      <c r="A4517" s="12"/>
      <c r="B4517" s="13"/>
      <c r="F4517" s="13"/>
    </row>
    <row r="4518" spans="1:6" ht="15.75" customHeight="1" x14ac:dyDescent="0.15">
      <c r="A4518" s="12"/>
      <c r="B4518" s="13"/>
      <c r="F4518" s="13"/>
    </row>
    <row r="4519" spans="1:6" ht="15.75" customHeight="1" x14ac:dyDescent="0.15">
      <c r="A4519" s="12"/>
      <c r="B4519" s="13"/>
      <c r="F4519" s="13"/>
    </row>
    <row r="4520" spans="1:6" ht="15.75" customHeight="1" x14ac:dyDescent="0.15">
      <c r="A4520" s="12"/>
      <c r="B4520" s="13"/>
      <c r="F4520" s="13"/>
    </row>
    <row r="4521" spans="1:6" ht="15.75" customHeight="1" x14ac:dyDescent="0.15">
      <c r="A4521" s="12"/>
      <c r="B4521" s="13"/>
      <c r="F4521" s="13"/>
    </row>
    <row r="4522" spans="1:6" ht="15.75" customHeight="1" x14ac:dyDescent="0.15">
      <c r="A4522" s="12"/>
      <c r="B4522" s="13"/>
      <c r="F4522" s="13"/>
    </row>
    <row r="4523" spans="1:6" ht="15.75" customHeight="1" x14ac:dyDescent="0.15">
      <c r="A4523" s="12"/>
      <c r="B4523" s="13"/>
      <c r="F4523" s="13"/>
    </row>
    <row r="4524" spans="1:6" ht="15.75" customHeight="1" x14ac:dyDescent="0.15">
      <c r="A4524" s="12"/>
      <c r="B4524" s="13"/>
      <c r="F4524" s="13"/>
    </row>
    <row r="4525" spans="1:6" ht="15.75" customHeight="1" x14ac:dyDescent="0.15">
      <c r="A4525" s="12"/>
      <c r="B4525" s="13"/>
      <c r="F4525" s="13"/>
    </row>
    <row r="4526" spans="1:6" ht="15.75" customHeight="1" x14ac:dyDescent="0.15">
      <c r="A4526" s="12"/>
      <c r="B4526" s="13"/>
      <c r="F4526" s="13"/>
    </row>
    <row r="4527" spans="1:6" ht="15.75" customHeight="1" x14ac:dyDescent="0.15">
      <c r="A4527" s="12"/>
      <c r="B4527" s="13"/>
      <c r="F4527" s="13"/>
    </row>
    <row r="4528" spans="1:6" ht="15.75" customHeight="1" x14ac:dyDescent="0.15">
      <c r="A4528" s="12"/>
      <c r="B4528" s="13"/>
      <c r="F4528" s="13"/>
    </row>
    <row r="4529" spans="1:6" ht="15.75" customHeight="1" x14ac:dyDescent="0.15">
      <c r="A4529" s="12"/>
      <c r="B4529" s="13"/>
      <c r="F4529" s="13"/>
    </row>
    <row r="4530" spans="1:6" ht="15.75" customHeight="1" x14ac:dyDescent="0.15">
      <c r="A4530" s="12"/>
      <c r="B4530" s="13"/>
      <c r="F4530" s="13"/>
    </row>
    <row r="4531" spans="1:6" ht="15.75" customHeight="1" x14ac:dyDescent="0.15">
      <c r="A4531" s="12"/>
      <c r="B4531" s="13"/>
      <c r="F4531" s="13"/>
    </row>
    <row r="4532" spans="1:6" ht="15.75" customHeight="1" x14ac:dyDescent="0.15">
      <c r="A4532" s="12"/>
      <c r="B4532" s="13"/>
      <c r="F4532" s="13"/>
    </row>
    <row r="4533" spans="1:6" ht="15.75" customHeight="1" x14ac:dyDescent="0.15">
      <c r="A4533" s="12"/>
      <c r="B4533" s="13"/>
      <c r="F4533" s="13"/>
    </row>
    <row r="4534" spans="1:6" ht="15.75" customHeight="1" x14ac:dyDescent="0.15">
      <c r="A4534" s="12"/>
      <c r="B4534" s="13"/>
      <c r="F4534" s="13"/>
    </row>
    <row r="4535" spans="1:6" ht="15.75" customHeight="1" x14ac:dyDescent="0.15">
      <c r="A4535" s="12"/>
      <c r="B4535" s="13"/>
      <c r="F4535" s="13"/>
    </row>
    <row r="4536" spans="1:6" ht="15.75" customHeight="1" x14ac:dyDescent="0.15">
      <c r="A4536" s="12"/>
      <c r="B4536" s="13"/>
      <c r="F4536" s="13"/>
    </row>
    <row r="4537" spans="1:6" ht="15.75" customHeight="1" x14ac:dyDescent="0.15">
      <c r="A4537" s="12"/>
      <c r="B4537" s="13"/>
      <c r="F4537" s="13"/>
    </row>
    <row r="4538" spans="1:6" ht="15.75" customHeight="1" x14ac:dyDescent="0.15">
      <c r="A4538" s="12"/>
      <c r="B4538" s="13"/>
      <c r="F4538" s="13"/>
    </row>
    <row r="4539" spans="1:6" ht="15.75" customHeight="1" x14ac:dyDescent="0.15">
      <c r="A4539" s="12"/>
      <c r="B4539" s="13"/>
      <c r="F4539" s="13"/>
    </row>
    <row r="4540" spans="1:6" ht="15.75" customHeight="1" x14ac:dyDescent="0.15">
      <c r="A4540" s="12"/>
      <c r="B4540" s="13"/>
      <c r="F4540" s="13"/>
    </row>
    <row r="4541" spans="1:6" ht="15.75" customHeight="1" x14ac:dyDescent="0.15">
      <c r="A4541" s="12"/>
      <c r="B4541" s="13"/>
      <c r="F4541" s="13"/>
    </row>
    <row r="4542" spans="1:6" ht="15.75" customHeight="1" x14ac:dyDescent="0.15">
      <c r="A4542" s="12"/>
      <c r="B4542" s="13"/>
      <c r="F4542" s="13"/>
    </row>
    <row r="4543" spans="1:6" ht="15.75" customHeight="1" x14ac:dyDescent="0.15">
      <c r="A4543" s="12"/>
      <c r="B4543" s="13"/>
      <c r="F4543" s="13"/>
    </row>
    <row r="4544" spans="1:6" ht="15.75" customHeight="1" x14ac:dyDescent="0.15">
      <c r="A4544" s="12"/>
      <c r="B4544" s="13"/>
      <c r="F4544" s="13"/>
    </row>
    <row r="4545" spans="1:6" ht="15.75" customHeight="1" x14ac:dyDescent="0.15">
      <c r="A4545" s="12"/>
      <c r="B4545" s="13"/>
      <c r="F4545" s="13"/>
    </row>
    <row r="4546" spans="1:6" ht="15.75" customHeight="1" x14ac:dyDescent="0.15">
      <c r="A4546" s="12"/>
      <c r="B4546" s="13"/>
      <c r="F4546" s="13"/>
    </row>
    <row r="4547" spans="1:6" ht="15.75" customHeight="1" x14ac:dyDescent="0.15">
      <c r="A4547" s="12"/>
      <c r="B4547" s="13"/>
      <c r="F4547" s="13"/>
    </row>
    <row r="4548" spans="1:6" ht="15.75" customHeight="1" x14ac:dyDescent="0.15">
      <c r="A4548" s="12"/>
      <c r="B4548" s="13"/>
      <c r="F4548" s="13"/>
    </row>
    <row r="4549" spans="1:6" ht="15.75" customHeight="1" x14ac:dyDescent="0.15">
      <c r="A4549" s="12"/>
      <c r="B4549" s="13"/>
      <c r="F4549" s="13"/>
    </row>
    <row r="4550" spans="1:6" ht="15.75" customHeight="1" x14ac:dyDescent="0.15">
      <c r="A4550" s="12"/>
      <c r="B4550" s="13"/>
      <c r="F4550" s="13"/>
    </row>
    <row r="4551" spans="1:6" ht="15.75" customHeight="1" x14ac:dyDescent="0.15">
      <c r="A4551" s="12"/>
      <c r="B4551" s="13"/>
      <c r="F4551" s="13"/>
    </row>
    <row r="4552" spans="1:6" ht="15.75" customHeight="1" x14ac:dyDescent="0.15">
      <c r="A4552" s="12"/>
      <c r="B4552" s="13"/>
      <c r="F4552" s="13"/>
    </row>
    <row r="4553" spans="1:6" ht="15.75" customHeight="1" x14ac:dyDescent="0.15">
      <c r="A4553" s="12"/>
      <c r="B4553" s="13"/>
      <c r="F4553" s="13"/>
    </row>
    <row r="4554" spans="1:6" ht="15.75" customHeight="1" x14ac:dyDescent="0.15">
      <c r="A4554" s="12"/>
      <c r="B4554" s="13"/>
      <c r="F4554" s="13"/>
    </row>
    <row r="4555" spans="1:6" ht="15.75" customHeight="1" x14ac:dyDescent="0.15">
      <c r="A4555" s="12"/>
      <c r="B4555" s="13"/>
      <c r="F4555" s="13"/>
    </row>
    <row r="4556" spans="1:6" ht="15.75" customHeight="1" x14ac:dyDescent="0.15">
      <c r="A4556" s="12"/>
      <c r="B4556" s="13"/>
      <c r="F4556" s="13"/>
    </row>
    <row r="4557" spans="1:6" ht="15.75" customHeight="1" x14ac:dyDescent="0.15">
      <c r="A4557" s="12"/>
      <c r="B4557" s="13"/>
      <c r="F4557" s="13"/>
    </row>
    <row r="4558" spans="1:6" ht="15.75" customHeight="1" x14ac:dyDescent="0.15">
      <c r="A4558" s="12"/>
      <c r="B4558" s="13"/>
      <c r="F4558" s="13"/>
    </row>
    <row r="4559" spans="1:6" ht="15.75" customHeight="1" x14ac:dyDescent="0.15">
      <c r="A4559" s="12"/>
      <c r="B4559" s="13"/>
      <c r="F4559" s="13"/>
    </row>
    <row r="4560" spans="1:6" ht="15.75" customHeight="1" x14ac:dyDescent="0.15">
      <c r="A4560" s="12"/>
      <c r="B4560" s="13"/>
      <c r="F4560" s="13"/>
    </row>
    <row r="4561" spans="1:6" ht="15.75" customHeight="1" x14ac:dyDescent="0.15">
      <c r="A4561" s="12"/>
      <c r="B4561" s="13"/>
      <c r="F4561" s="13"/>
    </row>
    <row r="4562" spans="1:6" ht="15.75" customHeight="1" x14ac:dyDescent="0.15">
      <c r="A4562" s="12"/>
      <c r="B4562" s="13"/>
      <c r="F4562" s="13"/>
    </row>
    <row r="4563" spans="1:6" ht="15.75" customHeight="1" x14ac:dyDescent="0.15">
      <c r="A4563" s="12"/>
      <c r="B4563" s="13"/>
      <c r="F4563" s="13"/>
    </row>
    <row r="4564" spans="1:6" ht="15.75" customHeight="1" x14ac:dyDescent="0.15">
      <c r="A4564" s="12"/>
      <c r="B4564" s="13"/>
      <c r="F4564" s="13"/>
    </row>
    <row r="4565" spans="1:6" ht="15.75" customHeight="1" x14ac:dyDescent="0.15">
      <c r="A4565" s="12"/>
      <c r="B4565" s="13"/>
      <c r="F4565" s="13"/>
    </row>
    <row r="4566" spans="1:6" ht="15.75" customHeight="1" x14ac:dyDescent="0.15">
      <c r="A4566" s="12"/>
      <c r="B4566" s="13"/>
      <c r="F4566" s="13"/>
    </row>
    <row r="4567" spans="1:6" ht="15.75" customHeight="1" x14ac:dyDescent="0.15">
      <c r="A4567" s="12"/>
      <c r="B4567" s="13"/>
      <c r="F4567" s="13"/>
    </row>
    <row r="4568" spans="1:6" ht="15.75" customHeight="1" x14ac:dyDescent="0.15">
      <c r="A4568" s="12"/>
      <c r="B4568" s="13"/>
      <c r="F4568" s="13"/>
    </row>
    <row r="4569" spans="1:6" ht="15.75" customHeight="1" x14ac:dyDescent="0.15">
      <c r="A4569" s="12"/>
      <c r="B4569" s="13"/>
      <c r="F4569" s="13"/>
    </row>
    <row r="4570" spans="1:6" ht="15.75" customHeight="1" x14ac:dyDescent="0.15">
      <c r="A4570" s="12"/>
      <c r="B4570" s="13"/>
      <c r="F4570" s="13"/>
    </row>
    <row r="4571" spans="1:6" ht="15.75" customHeight="1" x14ac:dyDescent="0.15">
      <c r="A4571" s="12"/>
      <c r="B4571" s="13"/>
      <c r="F4571" s="13"/>
    </row>
    <row r="4572" spans="1:6" ht="15.75" customHeight="1" x14ac:dyDescent="0.15">
      <c r="A4572" s="12"/>
      <c r="B4572" s="13"/>
      <c r="F4572" s="13"/>
    </row>
    <row r="4573" spans="1:6" ht="15.75" customHeight="1" x14ac:dyDescent="0.15">
      <c r="A4573" s="12"/>
      <c r="B4573" s="13"/>
      <c r="F4573" s="13"/>
    </row>
    <row r="4574" spans="1:6" ht="15.75" customHeight="1" x14ac:dyDescent="0.15">
      <c r="A4574" s="12"/>
      <c r="B4574" s="13"/>
      <c r="F4574" s="13"/>
    </row>
    <row r="4575" spans="1:6" ht="15.75" customHeight="1" x14ac:dyDescent="0.15">
      <c r="A4575" s="12"/>
      <c r="B4575" s="13"/>
      <c r="F4575" s="13"/>
    </row>
    <row r="4576" spans="1:6" ht="15.75" customHeight="1" x14ac:dyDescent="0.15">
      <c r="A4576" s="12"/>
      <c r="B4576" s="13"/>
      <c r="F4576" s="13"/>
    </row>
    <row r="4577" spans="1:6" ht="15.75" customHeight="1" x14ac:dyDescent="0.15">
      <c r="A4577" s="12"/>
      <c r="B4577" s="13"/>
      <c r="F4577" s="13"/>
    </row>
    <row r="4578" spans="1:6" ht="15.75" customHeight="1" x14ac:dyDescent="0.15">
      <c r="A4578" s="12"/>
      <c r="B4578" s="13"/>
      <c r="F4578" s="13"/>
    </row>
    <row r="4579" spans="1:6" ht="15.75" customHeight="1" x14ac:dyDescent="0.15">
      <c r="A4579" s="12"/>
      <c r="B4579" s="13"/>
      <c r="F4579" s="13"/>
    </row>
    <row r="4580" spans="1:6" ht="15.75" customHeight="1" x14ac:dyDescent="0.15">
      <c r="A4580" s="12"/>
      <c r="B4580" s="13"/>
      <c r="F4580" s="13"/>
    </row>
    <row r="4581" spans="1:6" ht="15.75" customHeight="1" x14ac:dyDescent="0.15">
      <c r="A4581" s="12"/>
      <c r="B4581" s="13"/>
      <c r="F4581" s="13"/>
    </row>
    <row r="4582" spans="1:6" ht="15.75" customHeight="1" x14ac:dyDescent="0.15">
      <c r="A4582" s="12"/>
      <c r="B4582" s="13"/>
      <c r="F4582" s="13"/>
    </row>
    <row r="4583" spans="1:6" ht="15.75" customHeight="1" x14ac:dyDescent="0.15">
      <c r="A4583" s="12"/>
      <c r="B4583" s="13"/>
      <c r="F4583" s="13"/>
    </row>
    <row r="4584" spans="1:6" ht="15.75" customHeight="1" x14ac:dyDescent="0.15">
      <c r="A4584" s="12"/>
      <c r="B4584" s="13"/>
      <c r="F4584" s="13"/>
    </row>
    <row r="4585" spans="1:6" ht="15.75" customHeight="1" x14ac:dyDescent="0.15">
      <c r="A4585" s="12"/>
      <c r="B4585" s="13"/>
      <c r="F4585" s="13"/>
    </row>
    <row r="4586" spans="1:6" ht="15.75" customHeight="1" x14ac:dyDescent="0.15">
      <c r="A4586" s="12"/>
      <c r="B4586" s="13"/>
      <c r="F4586" s="13"/>
    </row>
    <row r="4587" spans="1:6" ht="15.75" customHeight="1" x14ac:dyDescent="0.15">
      <c r="A4587" s="12"/>
      <c r="B4587" s="13"/>
      <c r="F4587" s="13"/>
    </row>
    <row r="4588" spans="1:6" ht="15.75" customHeight="1" x14ac:dyDescent="0.15">
      <c r="A4588" s="12"/>
      <c r="B4588" s="13"/>
      <c r="F4588" s="13"/>
    </row>
    <row r="4589" spans="1:6" ht="15.75" customHeight="1" x14ac:dyDescent="0.15">
      <c r="A4589" s="12"/>
      <c r="B4589" s="13"/>
      <c r="F4589" s="13"/>
    </row>
    <row r="4590" spans="1:6" ht="15.75" customHeight="1" x14ac:dyDescent="0.15">
      <c r="A4590" s="12"/>
      <c r="B4590" s="13"/>
      <c r="F4590" s="13"/>
    </row>
    <row r="4591" spans="1:6" ht="15.75" customHeight="1" x14ac:dyDescent="0.15">
      <c r="A4591" s="12"/>
      <c r="B4591" s="13"/>
      <c r="F4591" s="13"/>
    </row>
    <row r="4592" spans="1:6" ht="15.75" customHeight="1" x14ac:dyDescent="0.15">
      <c r="A4592" s="12"/>
      <c r="B4592" s="13"/>
      <c r="F4592" s="13"/>
    </row>
    <row r="4593" spans="1:6" ht="15.75" customHeight="1" x14ac:dyDescent="0.15">
      <c r="A4593" s="12"/>
      <c r="B4593" s="13"/>
      <c r="F4593" s="13"/>
    </row>
    <row r="4594" spans="1:6" ht="15.75" customHeight="1" x14ac:dyDescent="0.15">
      <c r="A4594" s="12"/>
      <c r="B4594" s="13"/>
      <c r="F4594" s="13"/>
    </row>
    <row r="4595" spans="1:6" ht="15.75" customHeight="1" x14ac:dyDescent="0.15">
      <c r="A4595" s="12"/>
      <c r="B4595" s="13"/>
      <c r="F4595" s="13"/>
    </row>
    <row r="4596" spans="1:6" ht="15.75" customHeight="1" x14ac:dyDescent="0.15">
      <c r="A4596" s="12"/>
      <c r="B4596" s="13"/>
      <c r="F4596" s="13"/>
    </row>
    <row r="4597" spans="1:6" ht="15.75" customHeight="1" x14ac:dyDescent="0.15">
      <c r="A4597" s="12"/>
      <c r="B4597" s="13"/>
      <c r="F4597" s="13"/>
    </row>
    <row r="4598" spans="1:6" ht="15.75" customHeight="1" x14ac:dyDescent="0.15">
      <c r="A4598" s="12"/>
      <c r="B4598" s="13"/>
      <c r="F4598" s="13"/>
    </row>
    <row r="4599" spans="1:6" ht="15.75" customHeight="1" x14ac:dyDescent="0.15">
      <c r="A4599" s="12"/>
      <c r="B4599" s="13"/>
      <c r="F4599" s="13"/>
    </row>
    <row r="4600" spans="1:6" ht="15.75" customHeight="1" x14ac:dyDescent="0.15">
      <c r="A4600" s="12"/>
      <c r="B4600" s="13"/>
      <c r="F4600" s="13"/>
    </row>
    <row r="4601" spans="1:6" ht="15.75" customHeight="1" x14ac:dyDescent="0.15">
      <c r="A4601" s="12"/>
      <c r="B4601" s="13"/>
      <c r="F4601" s="13"/>
    </row>
    <row r="4602" spans="1:6" ht="15.75" customHeight="1" x14ac:dyDescent="0.15">
      <c r="A4602" s="12"/>
      <c r="B4602" s="13"/>
      <c r="F4602" s="13"/>
    </row>
    <row r="4603" spans="1:6" ht="15.75" customHeight="1" x14ac:dyDescent="0.15">
      <c r="A4603" s="12"/>
      <c r="B4603" s="13"/>
      <c r="F4603" s="13"/>
    </row>
    <row r="4604" spans="1:6" ht="15.75" customHeight="1" x14ac:dyDescent="0.15">
      <c r="A4604" s="12"/>
      <c r="B4604" s="13"/>
      <c r="F4604" s="13"/>
    </row>
    <row r="4605" spans="1:6" ht="15.75" customHeight="1" x14ac:dyDescent="0.15">
      <c r="A4605" s="12"/>
      <c r="B4605" s="13"/>
      <c r="F4605" s="13"/>
    </row>
    <row r="4606" spans="1:6" ht="15.75" customHeight="1" x14ac:dyDescent="0.15">
      <c r="A4606" s="12"/>
      <c r="B4606" s="13"/>
      <c r="F4606" s="13"/>
    </row>
    <row r="4607" spans="1:6" ht="15.75" customHeight="1" x14ac:dyDescent="0.15">
      <c r="A4607" s="12"/>
      <c r="B4607" s="13"/>
      <c r="F4607" s="13"/>
    </row>
    <row r="4608" spans="1:6" ht="15.75" customHeight="1" x14ac:dyDescent="0.15">
      <c r="A4608" s="12"/>
      <c r="B4608" s="13"/>
      <c r="F4608" s="13"/>
    </row>
    <row r="4609" spans="1:6" ht="15.75" customHeight="1" x14ac:dyDescent="0.15">
      <c r="A4609" s="12"/>
      <c r="B4609" s="13"/>
      <c r="F4609" s="13"/>
    </row>
    <row r="4610" spans="1:6" ht="15.75" customHeight="1" x14ac:dyDescent="0.15">
      <c r="A4610" s="12"/>
      <c r="B4610" s="13"/>
      <c r="F4610" s="13"/>
    </row>
    <row r="4611" spans="1:6" ht="15.75" customHeight="1" x14ac:dyDescent="0.15">
      <c r="A4611" s="12"/>
      <c r="B4611" s="13"/>
      <c r="F4611" s="13"/>
    </row>
    <row r="4612" spans="1:6" ht="15.75" customHeight="1" x14ac:dyDescent="0.15">
      <c r="A4612" s="12"/>
      <c r="B4612" s="13"/>
      <c r="F4612" s="13"/>
    </row>
    <row r="4613" spans="1:6" ht="15.75" customHeight="1" x14ac:dyDescent="0.15">
      <c r="A4613" s="12"/>
      <c r="B4613" s="13"/>
      <c r="F4613" s="13"/>
    </row>
    <row r="4614" spans="1:6" ht="15.75" customHeight="1" x14ac:dyDescent="0.15">
      <c r="A4614" s="12"/>
      <c r="B4614" s="13"/>
      <c r="F4614" s="13"/>
    </row>
    <row r="4615" spans="1:6" ht="15.75" customHeight="1" x14ac:dyDescent="0.15">
      <c r="A4615" s="12"/>
      <c r="B4615" s="13"/>
      <c r="F4615" s="13"/>
    </row>
    <row r="4616" spans="1:6" ht="15.75" customHeight="1" x14ac:dyDescent="0.15">
      <c r="A4616" s="12"/>
      <c r="B4616" s="13"/>
      <c r="F4616" s="13"/>
    </row>
    <row r="4617" spans="1:6" ht="15.75" customHeight="1" x14ac:dyDescent="0.15">
      <c r="A4617" s="12"/>
      <c r="B4617" s="13"/>
      <c r="F4617" s="13"/>
    </row>
    <row r="4618" spans="1:6" ht="15.75" customHeight="1" x14ac:dyDescent="0.15">
      <c r="A4618" s="12"/>
      <c r="B4618" s="13"/>
      <c r="F4618" s="13"/>
    </row>
    <row r="4619" spans="1:6" ht="15.75" customHeight="1" x14ac:dyDescent="0.15">
      <c r="A4619" s="12"/>
      <c r="B4619" s="13"/>
      <c r="F4619" s="13"/>
    </row>
    <row r="4620" spans="1:6" ht="15.75" customHeight="1" x14ac:dyDescent="0.15">
      <c r="A4620" s="12"/>
      <c r="B4620" s="13"/>
      <c r="F4620" s="13"/>
    </row>
    <row r="4621" spans="1:6" ht="15.75" customHeight="1" x14ac:dyDescent="0.15">
      <c r="A4621" s="12"/>
      <c r="B4621" s="13"/>
      <c r="F4621" s="13"/>
    </row>
    <row r="4622" spans="1:6" ht="15.75" customHeight="1" x14ac:dyDescent="0.15">
      <c r="A4622" s="12"/>
      <c r="B4622" s="13"/>
      <c r="F4622" s="13"/>
    </row>
    <row r="4623" spans="1:6" ht="15.75" customHeight="1" x14ac:dyDescent="0.15">
      <c r="A4623" s="12"/>
      <c r="B4623" s="13"/>
      <c r="F4623" s="13"/>
    </row>
    <row r="4624" spans="1:6" ht="15.75" customHeight="1" x14ac:dyDescent="0.15">
      <c r="A4624" s="12"/>
      <c r="B4624" s="13"/>
      <c r="F4624" s="13"/>
    </row>
    <row r="4625" spans="1:6" ht="15.75" customHeight="1" x14ac:dyDescent="0.15">
      <c r="A4625" s="12"/>
      <c r="B4625" s="13"/>
      <c r="F4625" s="13"/>
    </row>
    <row r="4626" spans="1:6" ht="15.75" customHeight="1" x14ac:dyDescent="0.15">
      <c r="A4626" s="12"/>
      <c r="B4626" s="13"/>
      <c r="F4626" s="13"/>
    </row>
    <row r="4627" spans="1:6" ht="15.75" customHeight="1" x14ac:dyDescent="0.15">
      <c r="A4627" s="12"/>
      <c r="B4627" s="13"/>
      <c r="F4627" s="13"/>
    </row>
    <row r="4628" spans="1:6" ht="15.75" customHeight="1" x14ac:dyDescent="0.15">
      <c r="A4628" s="12"/>
      <c r="B4628" s="13"/>
      <c r="F4628" s="13"/>
    </row>
    <row r="4629" spans="1:6" ht="15.75" customHeight="1" x14ac:dyDescent="0.15">
      <c r="A4629" s="12"/>
      <c r="B4629" s="13"/>
      <c r="F4629" s="13"/>
    </row>
    <row r="4630" spans="1:6" ht="15.75" customHeight="1" x14ac:dyDescent="0.15">
      <c r="A4630" s="12"/>
      <c r="B4630" s="13"/>
      <c r="F4630" s="13"/>
    </row>
    <row r="4631" spans="1:6" ht="15.75" customHeight="1" x14ac:dyDescent="0.15">
      <c r="A4631" s="12"/>
      <c r="B4631" s="13"/>
      <c r="F4631" s="13"/>
    </row>
    <row r="4632" spans="1:6" ht="15.75" customHeight="1" x14ac:dyDescent="0.15">
      <c r="A4632" s="12"/>
      <c r="B4632" s="13"/>
      <c r="F4632" s="13"/>
    </row>
    <row r="4633" spans="1:6" ht="15.75" customHeight="1" x14ac:dyDescent="0.15">
      <c r="A4633" s="12"/>
      <c r="B4633" s="13"/>
      <c r="F4633" s="13"/>
    </row>
    <row r="4634" spans="1:6" ht="15.75" customHeight="1" x14ac:dyDescent="0.15">
      <c r="A4634" s="12"/>
      <c r="B4634" s="13"/>
      <c r="F4634" s="13"/>
    </row>
    <row r="4635" spans="1:6" ht="15.75" customHeight="1" x14ac:dyDescent="0.15">
      <c r="A4635" s="12"/>
      <c r="B4635" s="13"/>
      <c r="F4635" s="13"/>
    </row>
    <row r="4636" spans="1:6" ht="15.75" customHeight="1" x14ac:dyDescent="0.15">
      <c r="A4636" s="12"/>
      <c r="B4636" s="13"/>
      <c r="F4636" s="13"/>
    </row>
    <row r="4637" spans="1:6" ht="15.75" customHeight="1" x14ac:dyDescent="0.15">
      <c r="A4637" s="12"/>
      <c r="B4637" s="13"/>
      <c r="F4637" s="13"/>
    </row>
    <row r="4638" spans="1:6" ht="15.75" customHeight="1" x14ac:dyDescent="0.15">
      <c r="A4638" s="12"/>
      <c r="B4638" s="13"/>
      <c r="F4638" s="13"/>
    </row>
    <row r="4639" spans="1:6" ht="15.75" customHeight="1" x14ac:dyDescent="0.15">
      <c r="A4639" s="12"/>
      <c r="B4639" s="13"/>
      <c r="F4639" s="13"/>
    </row>
    <row r="4640" spans="1:6" ht="15.75" customHeight="1" x14ac:dyDescent="0.15">
      <c r="A4640" s="12"/>
      <c r="B4640" s="13"/>
      <c r="F4640" s="13"/>
    </row>
    <row r="4641" spans="1:6" ht="15.75" customHeight="1" x14ac:dyDescent="0.15">
      <c r="A4641" s="12"/>
      <c r="B4641" s="13"/>
      <c r="F4641" s="13"/>
    </row>
    <row r="4642" spans="1:6" ht="15.75" customHeight="1" x14ac:dyDescent="0.15">
      <c r="A4642" s="12"/>
      <c r="B4642" s="13"/>
      <c r="F4642" s="13"/>
    </row>
    <row r="4643" spans="1:6" ht="15.75" customHeight="1" x14ac:dyDescent="0.15">
      <c r="A4643" s="12"/>
      <c r="B4643" s="13"/>
      <c r="F4643" s="13"/>
    </row>
    <row r="4644" spans="1:6" ht="15.75" customHeight="1" x14ac:dyDescent="0.15">
      <c r="A4644" s="12"/>
      <c r="B4644" s="13"/>
      <c r="F4644" s="13"/>
    </row>
    <row r="4645" spans="1:6" ht="15.75" customHeight="1" x14ac:dyDescent="0.15">
      <c r="A4645" s="12"/>
      <c r="B4645" s="13"/>
      <c r="F4645" s="13"/>
    </row>
    <row r="4646" spans="1:6" ht="15.75" customHeight="1" x14ac:dyDescent="0.15">
      <c r="A4646" s="12"/>
      <c r="B4646" s="13"/>
      <c r="F4646" s="13"/>
    </row>
    <row r="4647" spans="1:6" ht="15.75" customHeight="1" x14ac:dyDescent="0.15">
      <c r="A4647" s="12"/>
      <c r="B4647" s="13"/>
      <c r="F4647" s="13"/>
    </row>
    <row r="4648" spans="1:6" ht="15.75" customHeight="1" x14ac:dyDescent="0.15">
      <c r="A4648" s="12"/>
      <c r="B4648" s="13"/>
      <c r="F4648" s="13"/>
    </row>
    <row r="4649" spans="1:6" ht="15.75" customHeight="1" x14ac:dyDescent="0.15">
      <c r="A4649" s="12"/>
      <c r="B4649" s="13"/>
      <c r="F4649" s="13"/>
    </row>
    <row r="4650" spans="1:6" ht="15.75" customHeight="1" x14ac:dyDescent="0.15">
      <c r="A4650" s="12"/>
      <c r="B4650" s="13"/>
      <c r="F4650" s="13"/>
    </row>
    <row r="4651" spans="1:6" ht="15.75" customHeight="1" x14ac:dyDescent="0.15">
      <c r="A4651" s="12"/>
      <c r="B4651" s="13"/>
      <c r="F4651" s="13"/>
    </row>
    <row r="4652" spans="1:6" ht="15.75" customHeight="1" x14ac:dyDescent="0.15">
      <c r="A4652" s="12"/>
      <c r="B4652" s="13"/>
      <c r="F4652" s="13"/>
    </row>
    <row r="4653" spans="1:6" ht="15.75" customHeight="1" x14ac:dyDescent="0.15">
      <c r="A4653" s="12"/>
      <c r="B4653" s="13"/>
      <c r="F4653" s="13"/>
    </row>
    <row r="4654" spans="1:6" ht="15.75" customHeight="1" x14ac:dyDescent="0.15">
      <c r="A4654" s="12"/>
      <c r="B4654" s="13"/>
      <c r="F4654" s="13"/>
    </row>
    <row r="4655" spans="1:6" ht="15.75" customHeight="1" x14ac:dyDescent="0.15">
      <c r="A4655" s="12"/>
      <c r="B4655" s="13"/>
      <c r="F4655" s="13"/>
    </row>
    <row r="4656" spans="1:6" ht="15.75" customHeight="1" x14ac:dyDescent="0.15">
      <c r="A4656" s="12"/>
      <c r="B4656" s="13"/>
      <c r="F4656" s="13"/>
    </row>
    <row r="4657" spans="1:6" ht="15.75" customHeight="1" x14ac:dyDescent="0.15">
      <c r="A4657" s="12"/>
      <c r="B4657" s="13"/>
      <c r="F4657" s="13"/>
    </row>
    <row r="4658" spans="1:6" ht="15.75" customHeight="1" x14ac:dyDescent="0.15">
      <c r="A4658" s="12"/>
      <c r="B4658" s="13"/>
      <c r="F4658" s="13"/>
    </row>
    <row r="4659" spans="1:6" ht="15.75" customHeight="1" x14ac:dyDescent="0.15">
      <c r="A4659" s="12"/>
      <c r="B4659" s="13"/>
      <c r="F4659" s="13"/>
    </row>
    <row r="4660" spans="1:6" ht="15.75" customHeight="1" x14ac:dyDescent="0.15">
      <c r="A4660" s="12"/>
      <c r="B4660" s="13"/>
      <c r="F4660" s="13"/>
    </row>
    <row r="4661" spans="1:6" ht="15.75" customHeight="1" x14ac:dyDescent="0.15">
      <c r="A4661" s="12"/>
      <c r="B4661" s="13"/>
      <c r="F4661" s="13"/>
    </row>
    <row r="4662" spans="1:6" ht="15.75" customHeight="1" x14ac:dyDescent="0.15">
      <c r="A4662" s="12"/>
      <c r="B4662" s="13"/>
      <c r="F4662" s="13"/>
    </row>
    <row r="4663" spans="1:6" ht="15.75" customHeight="1" x14ac:dyDescent="0.15">
      <c r="A4663" s="12"/>
      <c r="B4663" s="13"/>
      <c r="F4663" s="13"/>
    </row>
    <row r="4664" spans="1:6" ht="15.75" customHeight="1" x14ac:dyDescent="0.15">
      <c r="A4664" s="12"/>
      <c r="B4664" s="13"/>
      <c r="F4664" s="13"/>
    </row>
    <row r="4665" spans="1:6" ht="15.75" customHeight="1" x14ac:dyDescent="0.15">
      <c r="A4665" s="12"/>
      <c r="B4665" s="13"/>
      <c r="F4665" s="13"/>
    </row>
    <row r="4666" spans="1:6" ht="15.75" customHeight="1" x14ac:dyDescent="0.15">
      <c r="A4666" s="12"/>
      <c r="B4666" s="13"/>
      <c r="F4666" s="13"/>
    </row>
    <row r="4667" spans="1:6" ht="15.75" customHeight="1" x14ac:dyDescent="0.15">
      <c r="A4667" s="12"/>
      <c r="B4667" s="13"/>
      <c r="F4667" s="13"/>
    </row>
    <row r="4668" spans="1:6" ht="15.75" customHeight="1" x14ac:dyDescent="0.15">
      <c r="A4668" s="12"/>
      <c r="B4668" s="13"/>
      <c r="F4668" s="13"/>
    </row>
    <row r="4669" spans="1:6" ht="15.75" customHeight="1" x14ac:dyDescent="0.15">
      <c r="A4669" s="12"/>
      <c r="B4669" s="13"/>
      <c r="F4669" s="13"/>
    </row>
    <row r="4670" spans="1:6" ht="15.75" customHeight="1" x14ac:dyDescent="0.15">
      <c r="A4670" s="12"/>
      <c r="B4670" s="13"/>
      <c r="F4670" s="13"/>
    </row>
    <row r="4671" spans="1:6" ht="15.75" customHeight="1" x14ac:dyDescent="0.15">
      <c r="A4671" s="12"/>
      <c r="B4671" s="13"/>
      <c r="F4671" s="13"/>
    </row>
    <row r="4672" spans="1:6" ht="15.75" customHeight="1" x14ac:dyDescent="0.15">
      <c r="A4672" s="12"/>
      <c r="B4672" s="13"/>
      <c r="F4672" s="13"/>
    </row>
    <row r="4673" spans="1:6" ht="15.75" customHeight="1" x14ac:dyDescent="0.15">
      <c r="A4673" s="12"/>
      <c r="B4673" s="13"/>
      <c r="F4673" s="13"/>
    </row>
    <row r="4674" spans="1:6" ht="15.75" customHeight="1" x14ac:dyDescent="0.15">
      <c r="A4674" s="12"/>
      <c r="B4674" s="13"/>
      <c r="F4674" s="13"/>
    </row>
    <row r="4675" spans="1:6" ht="15.75" customHeight="1" x14ac:dyDescent="0.15">
      <c r="A4675" s="12"/>
      <c r="B4675" s="13"/>
      <c r="F4675" s="13"/>
    </row>
    <row r="4676" spans="1:6" ht="15.75" customHeight="1" x14ac:dyDescent="0.15">
      <c r="A4676" s="12"/>
      <c r="B4676" s="13"/>
      <c r="F4676" s="13"/>
    </row>
    <row r="4677" spans="1:6" ht="15.75" customHeight="1" x14ac:dyDescent="0.15">
      <c r="A4677" s="12"/>
      <c r="B4677" s="13"/>
      <c r="F4677" s="13"/>
    </row>
    <row r="4678" spans="1:6" ht="15.75" customHeight="1" x14ac:dyDescent="0.15">
      <c r="A4678" s="12"/>
      <c r="B4678" s="13"/>
      <c r="F4678" s="13"/>
    </row>
    <row r="4679" spans="1:6" ht="15.75" customHeight="1" x14ac:dyDescent="0.15">
      <c r="A4679" s="12"/>
      <c r="B4679" s="13"/>
      <c r="F4679" s="13"/>
    </row>
    <row r="4680" spans="1:6" ht="15.75" customHeight="1" x14ac:dyDescent="0.15">
      <c r="A4680" s="12"/>
      <c r="B4680" s="13"/>
      <c r="F4680" s="13"/>
    </row>
    <row r="4681" spans="1:6" ht="15.75" customHeight="1" x14ac:dyDescent="0.15">
      <c r="A4681" s="12"/>
      <c r="B4681" s="13"/>
      <c r="F4681" s="13"/>
    </row>
    <row r="4682" spans="1:6" ht="15.75" customHeight="1" x14ac:dyDescent="0.15">
      <c r="A4682" s="12"/>
      <c r="B4682" s="13"/>
      <c r="F4682" s="13"/>
    </row>
    <row r="4683" spans="1:6" ht="15.75" customHeight="1" x14ac:dyDescent="0.15">
      <c r="A4683" s="12"/>
      <c r="B4683" s="13"/>
      <c r="F4683" s="13"/>
    </row>
    <row r="4684" spans="1:6" ht="15.75" customHeight="1" x14ac:dyDescent="0.15">
      <c r="A4684" s="12"/>
      <c r="B4684" s="13"/>
      <c r="F4684" s="13"/>
    </row>
    <row r="4685" spans="1:6" ht="15.75" customHeight="1" x14ac:dyDescent="0.15">
      <c r="A4685" s="12"/>
      <c r="B4685" s="13"/>
      <c r="F4685" s="13"/>
    </row>
    <row r="4686" spans="1:6" ht="15.75" customHeight="1" x14ac:dyDescent="0.15">
      <c r="A4686" s="12"/>
      <c r="B4686" s="13"/>
      <c r="F4686" s="13"/>
    </row>
    <row r="4687" spans="1:6" ht="15.75" customHeight="1" x14ac:dyDescent="0.15">
      <c r="A4687" s="12"/>
      <c r="B4687" s="13"/>
      <c r="F4687" s="13"/>
    </row>
    <row r="4688" spans="1:6" ht="15.75" customHeight="1" x14ac:dyDescent="0.15">
      <c r="A4688" s="12"/>
      <c r="B4688" s="13"/>
      <c r="F4688" s="13"/>
    </row>
    <row r="4689" spans="1:6" ht="15.75" customHeight="1" x14ac:dyDescent="0.15">
      <c r="A4689" s="12"/>
      <c r="B4689" s="13"/>
      <c r="F4689" s="13"/>
    </row>
    <row r="4690" spans="1:6" ht="15.75" customHeight="1" x14ac:dyDescent="0.15">
      <c r="A4690" s="12"/>
      <c r="B4690" s="13"/>
      <c r="F4690" s="13"/>
    </row>
    <row r="4691" spans="1:6" ht="15.75" customHeight="1" x14ac:dyDescent="0.15">
      <c r="A4691" s="12"/>
      <c r="B4691" s="13"/>
      <c r="F4691" s="13"/>
    </row>
    <row r="4692" spans="1:6" ht="15.75" customHeight="1" x14ac:dyDescent="0.15">
      <c r="A4692" s="12"/>
      <c r="B4692" s="13"/>
      <c r="F4692" s="13"/>
    </row>
    <row r="4693" spans="1:6" ht="15.75" customHeight="1" x14ac:dyDescent="0.15">
      <c r="A4693" s="12"/>
      <c r="B4693" s="13"/>
      <c r="F4693" s="13"/>
    </row>
    <row r="4694" spans="1:6" ht="15.75" customHeight="1" x14ac:dyDescent="0.15">
      <c r="A4694" s="12"/>
      <c r="B4694" s="13"/>
      <c r="F4694" s="13"/>
    </row>
    <row r="4695" spans="1:6" ht="15.75" customHeight="1" x14ac:dyDescent="0.15">
      <c r="A4695" s="12"/>
      <c r="B4695" s="13"/>
      <c r="F4695" s="13"/>
    </row>
    <row r="4696" spans="1:6" ht="15.75" customHeight="1" x14ac:dyDescent="0.15">
      <c r="A4696" s="12"/>
      <c r="B4696" s="13"/>
      <c r="F4696" s="13"/>
    </row>
    <row r="4697" spans="1:6" ht="15.75" customHeight="1" x14ac:dyDescent="0.15">
      <c r="A4697" s="12"/>
      <c r="B4697" s="13"/>
      <c r="F4697" s="13"/>
    </row>
    <row r="4698" spans="1:6" ht="15.75" customHeight="1" x14ac:dyDescent="0.15">
      <c r="A4698" s="12"/>
      <c r="B4698" s="13"/>
      <c r="F4698" s="13"/>
    </row>
    <row r="4699" spans="1:6" ht="15.75" customHeight="1" x14ac:dyDescent="0.15">
      <c r="A4699" s="12"/>
      <c r="B4699" s="13"/>
      <c r="F4699" s="13"/>
    </row>
    <row r="4700" spans="1:6" ht="15.75" customHeight="1" x14ac:dyDescent="0.15">
      <c r="A4700" s="12"/>
      <c r="B4700" s="13"/>
      <c r="F4700" s="13"/>
    </row>
    <row r="4701" spans="1:6" ht="15.75" customHeight="1" x14ac:dyDescent="0.15">
      <c r="A4701" s="12"/>
      <c r="B4701" s="13"/>
      <c r="F4701" s="13"/>
    </row>
    <row r="4702" spans="1:6" ht="15.75" customHeight="1" x14ac:dyDescent="0.15">
      <c r="A4702" s="12"/>
      <c r="B4702" s="13"/>
      <c r="F4702" s="13"/>
    </row>
    <row r="4703" spans="1:6" ht="15.75" customHeight="1" x14ac:dyDescent="0.15">
      <c r="A4703" s="12"/>
      <c r="B4703" s="13"/>
      <c r="F4703" s="13"/>
    </row>
    <row r="4704" spans="1:6" ht="15.75" customHeight="1" x14ac:dyDescent="0.15">
      <c r="A4704" s="12"/>
      <c r="B4704" s="13"/>
      <c r="F4704" s="13"/>
    </row>
    <row r="4705" spans="1:6" ht="15.75" customHeight="1" x14ac:dyDescent="0.15">
      <c r="A4705" s="12"/>
      <c r="B4705" s="13"/>
      <c r="F4705" s="13"/>
    </row>
    <row r="4706" spans="1:6" ht="15.75" customHeight="1" x14ac:dyDescent="0.15">
      <c r="A4706" s="12"/>
      <c r="B4706" s="13"/>
      <c r="F4706" s="13"/>
    </row>
    <row r="4707" spans="1:6" ht="15.75" customHeight="1" x14ac:dyDescent="0.15">
      <c r="A4707" s="12"/>
      <c r="B4707" s="13"/>
      <c r="F4707" s="13"/>
    </row>
    <row r="4708" spans="1:6" ht="15.75" customHeight="1" x14ac:dyDescent="0.15">
      <c r="A4708" s="12"/>
      <c r="B4708" s="13"/>
      <c r="F4708" s="13"/>
    </row>
    <row r="4709" spans="1:6" ht="15.75" customHeight="1" x14ac:dyDescent="0.15">
      <c r="A4709" s="12"/>
      <c r="B4709" s="13"/>
      <c r="F4709" s="13"/>
    </row>
    <row r="4710" spans="1:6" ht="15.75" customHeight="1" x14ac:dyDescent="0.15">
      <c r="A4710" s="12"/>
      <c r="B4710" s="13"/>
      <c r="F4710" s="13"/>
    </row>
    <row r="4711" spans="1:6" ht="15.75" customHeight="1" x14ac:dyDescent="0.15">
      <c r="A4711" s="12"/>
      <c r="B4711" s="13"/>
      <c r="F4711" s="13"/>
    </row>
    <row r="4712" spans="1:6" ht="15.75" customHeight="1" x14ac:dyDescent="0.15">
      <c r="A4712" s="12"/>
      <c r="B4712" s="13"/>
      <c r="F4712" s="13"/>
    </row>
    <row r="4713" spans="1:6" ht="15.75" customHeight="1" x14ac:dyDescent="0.15">
      <c r="A4713" s="12"/>
      <c r="B4713" s="13"/>
      <c r="F4713" s="13"/>
    </row>
    <row r="4714" spans="1:6" ht="15.75" customHeight="1" x14ac:dyDescent="0.15">
      <c r="A4714" s="12"/>
      <c r="B4714" s="13"/>
      <c r="F4714" s="13"/>
    </row>
    <row r="4715" spans="1:6" ht="15.75" customHeight="1" x14ac:dyDescent="0.15">
      <c r="A4715" s="12"/>
      <c r="B4715" s="13"/>
      <c r="F4715" s="13"/>
    </row>
    <row r="4716" spans="1:6" ht="15.75" customHeight="1" x14ac:dyDescent="0.15">
      <c r="A4716" s="12"/>
      <c r="B4716" s="13"/>
      <c r="F4716" s="13"/>
    </row>
    <row r="4717" spans="1:6" ht="15.75" customHeight="1" x14ac:dyDescent="0.15">
      <c r="A4717" s="12"/>
      <c r="B4717" s="13"/>
      <c r="F4717" s="13"/>
    </row>
    <row r="4718" spans="1:6" ht="15.75" customHeight="1" x14ac:dyDescent="0.15">
      <c r="A4718" s="12"/>
      <c r="B4718" s="13"/>
      <c r="F4718" s="13"/>
    </row>
    <row r="4719" spans="1:6" ht="15.75" customHeight="1" x14ac:dyDescent="0.15">
      <c r="A4719" s="12"/>
      <c r="B4719" s="13"/>
      <c r="F4719" s="13"/>
    </row>
    <row r="4720" spans="1:6" ht="15.75" customHeight="1" x14ac:dyDescent="0.15">
      <c r="A4720" s="12"/>
      <c r="B4720" s="13"/>
      <c r="F4720" s="13"/>
    </row>
    <row r="4721" spans="1:6" ht="15.75" customHeight="1" x14ac:dyDescent="0.15">
      <c r="A4721" s="12"/>
      <c r="B4721" s="13"/>
      <c r="F4721" s="13"/>
    </row>
    <row r="4722" spans="1:6" ht="15.75" customHeight="1" x14ac:dyDescent="0.15">
      <c r="A4722" s="12"/>
      <c r="B4722" s="13"/>
      <c r="F4722" s="13"/>
    </row>
    <row r="4723" spans="1:6" ht="15.75" customHeight="1" x14ac:dyDescent="0.15">
      <c r="A4723" s="12"/>
      <c r="B4723" s="13"/>
      <c r="F4723" s="13"/>
    </row>
    <row r="4724" spans="1:6" ht="15.75" customHeight="1" x14ac:dyDescent="0.15">
      <c r="A4724" s="12"/>
      <c r="B4724" s="13"/>
      <c r="F4724" s="13"/>
    </row>
    <row r="4725" spans="1:6" ht="15.75" customHeight="1" x14ac:dyDescent="0.15">
      <c r="A4725" s="12"/>
      <c r="B4725" s="13"/>
      <c r="F4725" s="13"/>
    </row>
    <row r="4726" spans="1:6" ht="15.75" customHeight="1" x14ac:dyDescent="0.15">
      <c r="A4726" s="12"/>
      <c r="B4726" s="13"/>
      <c r="F4726" s="13"/>
    </row>
    <row r="4727" spans="1:6" ht="15.75" customHeight="1" x14ac:dyDescent="0.15">
      <c r="A4727" s="12"/>
      <c r="B4727" s="13"/>
      <c r="F4727" s="13"/>
    </row>
    <row r="4728" spans="1:6" ht="15.75" customHeight="1" x14ac:dyDescent="0.15">
      <c r="A4728" s="12"/>
      <c r="B4728" s="13"/>
      <c r="F4728" s="13"/>
    </row>
    <row r="4729" spans="1:6" ht="15.75" customHeight="1" x14ac:dyDescent="0.15">
      <c r="A4729" s="12"/>
      <c r="B4729" s="13"/>
      <c r="F4729" s="13"/>
    </row>
    <row r="4730" spans="1:6" ht="15.75" customHeight="1" x14ac:dyDescent="0.15">
      <c r="A4730" s="12"/>
      <c r="B4730" s="13"/>
      <c r="F4730" s="13"/>
    </row>
    <row r="4731" spans="1:6" ht="15.75" customHeight="1" x14ac:dyDescent="0.15">
      <c r="A4731" s="12"/>
      <c r="B4731" s="13"/>
      <c r="F4731" s="13"/>
    </row>
    <row r="4732" spans="1:6" ht="15.75" customHeight="1" x14ac:dyDescent="0.15">
      <c r="A4732" s="12"/>
      <c r="B4732" s="13"/>
      <c r="F4732" s="13"/>
    </row>
    <row r="4733" spans="1:6" ht="15.75" customHeight="1" x14ac:dyDescent="0.15">
      <c r="A4733" s="12"/>
      <c r="B4733" s="13"/>
      <c r="F4733" s="13"/>
    </row>
    <row r="4734" spans="1:6" ht="15.75" customHeight="1" x14ac:dyDescent="0.15">
      <c r="A4734" s="12"/>
      <c r="B4734" s="13"/>
      <c r="F4734" s="13"/>
    </row>
    <row r="4735" spans="1:6" ht="15.75" customHeight="1" x14ac:dyDescent="0.15">
      <c r="A4735" s="12"/>
      <c r="B4735" s="13"/>
      <c r="F4735" s="13"/>
    </row>
    <row r="4736" spans="1:6" ht="15.75" customHeight="1" x14ac:dyDescent="0.15">
      <c r="A4736" s="12"/>
      <c r="B4736" s="13"/>
      <c r="F4736" s="13"/>
    </row>
    <row r="4737" spans="1:6" ht="15.75" customHeight="1" x14ac:dyDescent="0.15">
      <c r="A4737" s="12"/>
      <c r="B4737" s="13"/>
      <c r="F4737" s="13"/>
    </row>
    <row r="4738" spans="1:6" ht="15.75" customHeight="1" x14ac:dyDescent="0.15">
      <c r="A4738" s="12"/>
      <c r="B4738" s="13"/>
      <c r="F4738" s="13"/>
    </row>
    <row r="4739" spans="1:6" ht="15.75" customHeight="1" x14ac:dyDescent="0.15">
      <c r="A4739" s="12"/>
      <c r="B4739" s="13"/>
      <c r="F4739" s="13"/>
    </row>
    <row r="4740" spans="1:6" ht="15.75" customHeight="1" x14ac:dyDescent="0.15">
      <c r="A4740" s="12"/>
      <c r="B4740" s="13"/>
      <c r="F4740" s="13"/>
    </row>
    <row r="4741" spans="1:6" ht="15.75" customHeight="1" x14ac:dyDescent="0.15">
      <c r="A4741" s="12"/>
      <c r="B4741" s="13"/>
      <c r="F4741" s="13"/>
    </row>
    <row r="4742" spans="1:6" ht="15.75" customHeight="1" x14ac:dyDescent="0.15">
      <c r="A4742" s="12"/>
      <c r="B4742" s="13"/>
      <c r="F4742" s="13"/>
    </row>
    <row r="4743" spans="1:6" ht="15.75" customHeight="1" x14ac:dyDescent="0.15">
      <c r="A4743" s="12"/>
      <c r="B4743" s="13"/>
      <c r="F4743" s="13"/>
    </row>
    <row r="4744" spans="1:6" ht="15.75" customHeight="1" x14ac:dyDescent="0.15">
      <c r="A4744" s="12"/>
      <c r="B4744" s="13"/>
      <c r="F4744" s="13"/>
    </row>
    <row r="4745" spans="1:6" ht="15.75" customHeight="1" x14ac:dyDescent="0.15">
      <c r="A4745" s="12"/>
      <c r="B4745" s="13"/>
      <c r="F4745" s="13"/>
    </row>
    <row r="4746" spans="1:6" ht="15.75" customHeight="1" x14ac:dyDescent="0.15">
      <c r="A4746" s="12"/>
      <c r="B4746" s="13"/>
      <c r="F4746" s="13"/>
    </row>
    <row r="4747" spans="1:6" ht="15.75" customHeight="1" x14ac:dyDescent="0.15">
      <c r="A4747" s="12"/>
      <c r="B4747" s="13"/>
      <c r="F4747" s="13"/>
    </row>
    <row r="4748" spans="1:6" ht="15.75" customHeight="1" x14ac:dyDescent="0.15">
      <c r="A4748" s="12"/>
      <c r="B4748" s="13"/>
      <c r="F4748" s="13"/>
    </row>
    <row r="4749" spans="1:6" ht="15.75" customHeight="1" x14ac:dyDescent="0.15">
      <c r="A4749" s="12"/>
      <c r="B4749" s="13"/>
      <c r="F4749" s="13"/>
    </row>
    <row r="4750" spans="1:6" ht="15.75" customHeight="1" x14ac:dyDescent="0.15">
      <c r="A4750" s="12"/>
      <c r="B4750" s="13"/>
      <c r="F4750" s="13"/>
    </row>
    <row r="4751" spans="1:6" ht="15.75" customHeight="1" x14ac:dyDescent="0.15">
      <c r="A4751" s="12"/>
      <c r="B4751" s="13"/>
      <c r="F4751" s="13"/>
    </row>
    <row r="4752" spans="1:6" ht="15.75" customHeight="1" x14ac:dyDescent="0.15">
      <c r="A4752" s="12"/>
      <c r="B4752" s="13"/>
      <c r="F4752" s="13"/>
    </row>
    <row r="4753" spans="1:6" ht="15.75" customHeight="1" x14ac:dyDescent="0.15">
      <c r="A4753" s="12"/>
      <c r="B4753" s="13"/>
      <c r="F4753" s="13"/>
    </row>
    <row r="4754" spans="1:6" ht="15.75" customHeight="1" x14ac:dyDescent="0.15">
      <c r="A4754" s="12"/>
      <c r="B4754" s="13"/>
      <c r="F4754" s="13"/>
    </row>
    <row r="4755" spans="1:6" ht="15.75" customHeight="1" x14ac:dyDescent="0.15">
      <c r="A4755" s="12"/>
      <c r="B4755" s="13"/>
      <c r="F4755" s="13"/>
    </row>
    <row r="4756" spans="1:6" ht="15.75" customHeight="1" x14ac:dyDescent="0.15">
      <c r="A4756" s="12"/>
      <c r="B4756" s="13"/>
      <c r="F4756" s="13"/>
    </row>
    <row r="4757" spans="1:6" ht="15.75" customHeight="1" x14ac:dyDescent="0.15">
      <c r="A4757" s="12"/>
      <c r="B4757" s="13"/>
      <c r="F4757" s="13"/>
    </row>
    <row r="4758" spans="1:6" ht="15.75" customHeight="1" x14ac:dyDescent="0.15">
      <c r="A4758" s="12"/>
      <c r="B4758" s="13"/>
      <c r="F4758" s="13"/>
    </row>
    <row r="4759" spans="1:6" ht="15.75" customHeight="1" x14ac:dyDescent="0.15">
      <c r="A4759" s="12"/>
      <c r="B4759" s="13"/>
      <c r="F4759" s="13"/>
    </row>
    <row r="4760" spans="1:6" ht="15.75" customHeight="1" x14ac:dyDescent="0.15">
      <c r="A4760" s="12"/>
      <c r="B4760" s="13"/>
      <c r="F4760" s="13"/>
    </row>
    <row r="4761" spans="1:6" ht="15.75" customHeight="1" x14ac:dyDescent="0.15">
      <c r="A4761" s="12"/>
      <c r="B4761" s="13"/>
      <c r="F4761" s="13"/>
    </row>
    <row r="4762" spans="1:6" ht="15.75" customHeight="1" x14ac:dyDescent="0.15">
      <c r="A4762" s="12"/>
      <c r="B4762" s="13"/>
      <c r="F4762" s="13"/>
    </row>
    <row r="4763" spans="1:6" ht="15.75" customHeight="1" x14ac:dyDescent="0.15">
      <c r="A4763" s="12"/>
      <c r="B4763" s="13"/>
      <c r="F4763" s="13"/>
    </row>
    <row r="4764" spans="1:6" ht="15.75" customHeight="1" x14ac:dyDescent="0.15">
      <c r="A4764" s="12"/>
      <c r="B4764" s="13"/>
      <c r="F4764" s="13"/>
    </row>
    <row r="4765" spans="1:6" ht="15.75" customHeight="1" x14ac:dyDescent="0.15">
      <c r="A4765" s="12"/>
      <c r="B4765" s="13"/>
      <c r="F4765" s="13"/>
    </row>
    <row r="4766" spans="1:6" ht="15.75" customHeight="1" x14ac:dyDescent="0.15">
      <c r="A4766" s="12"/>
      <c r="B4766" s="13"/>
      <c r="F4766" s="13"/>
    </row>
    <row r="4767" spans="1:6" ht="15.75" customHeight="1" x14ac:dyDescent="0.15">
      <c r="A4767" s="12"/>
      <c r="B4767" s="13"/>
      <c r="F4767" s="13"/>
    </row>
    <row r="4768" spans="1:6" ht="15.75" customHeight="1" x14ac:dyDescent="0.15">
      <c r="A4768" s="12"/>
      <c r="B4768" s="13"/>
      <c r="F4768" s="13"/>
    </row>
    <row r="4769" spans="1:6" ht="15.75" customHeight="1" x14ac:dyDescent="0.15">
      <c r="A4769" s="12"/>
      <c r="B4769" s="13"/>
      <c r="F4769" s="13"/>
    </row>
    <row r="4770" spans="1:6" ht="15.75" customHeight="1" x14ac:dyDescent="0.15">
      <c r="A4770" s="12"/>
      <c r="B4770" s="13"/>
      <c r="F4770" s="13"/>
    </row>
    <row r="4771" spans="1:6" ht="15.75" customHeight="1" x14ac:dyDescent="0.15">
      <c r="A4771" s="12"/>
      <c r="B4771" s="13"/>
      <c r="F4771" s="13"/>
    </row>
    <row r="4772" spans="1:6" ht="15.75" customHeight="1" x14ac:dyDescent="0.15">
      <c r="A4772" s="12"/>
      <c r="B4772" s="13"/>
      <c r="F4772" s="13"/>
    </row>
    <row r="4773" spans="1:6" ht="15.75" customHeight="1" x14ac:dyDescent="0.15">
      <c r="A4773" s="12"/>
      <c r="B4773" s="13"/>
      <c r="F4773" s="13"/>
    </row>
    <row r="4774" spans="1:6" ht="15.75" customHeight="1" x14ac:dyDescent="0.15">
      <c r="A4774" s="12"/>
      <c r="B4774" s="13"/>
      <c r="F4774" s="13"/>
    </row>
    <row r="4775" spans="1:6" ht="15.75" customHeight="1" x14ac:dyDescent="0.15">
      <c r="A4775" s="12"/>
      <c r="B4775" s="13"/>
      <c r="F4775" s="13"/>
    </row>
    <row r="4776" spans="1:6" ht="15.75" customHeight="1" x14ac:dyDescent="0.15">
      <c r="A4776" s="12"/>
      <c r="B4776" s="13"/>
      <c r="F4776" s="13"/>
    </row>
    <row r="4777" spans="1:6" ht="15.75" customHeight="1" x14ac:dyDescent="0.15">
      <c r="A4777" s="12"/>
      <c r="B4777" s="13"/>
      <c r="F4777" s="13"/>
    </row>
    <row r="4778" spans="1:6" ht="15.75" customHeight="1" x14ac:dyDescent="0.15">
      <c r="A4778" s="12"/>
      <c r="B4778" s="13"/>
      <c r="F4778" s="13"/>
    </row>
    <row r="4779" spans="1:6" ht="15.75" customHeight="1" x14ac:dyDescent="0.15">
      <c r="A4779" s="12"/>
      <c r="B4779" s="13"/>
      <c r="F4779" s="13"/>
    </row>
    <row r="4780" spans="1:6" ht="15.75" customHeight="1" x14ac:dyDescent="0.15">
      <c r="A4780" s="12"/>
      <c r="B4780" s="13"/>
      <c r="F4780" s="13"/>
    </row>
    <row r="4781" spans="1:6" ht="15.75" customHeight="1" x14ac:dyDescent="0.15">
      <c r="A4781" s="12"/>
      <c r="B4781" s="13"/>
      <c r="F4781" s="13"/>
    </row>
    <row r="4782" spans="1:6" ht="15.75" customHeight="1" x14ac:dyDescent="0.15">
      <c r="A4782" s="12"/>
      <c r="B4782" s="13"/>
      <c r="F4782" s="13"/>
    </row>
    <row r="4783" spans="1:6" ht="15.75" customHeight="1" x14ac:dyDescent="0.15">
      <c r="A4783" s="12"/>
      <c r="B4783" s="13"/>
      <c r="F4783" s="13"/>
    </row>
    <row r="4784" spans="1:6" ht="15.75" customHeight="1" x14ac:dyDescent="0.15">
      <c r="A4784" s="12"/>
      <c r="B4784" s="13"/>
      <c r="F4784" s="13"/>
    </row>
    <row r="4785" spans="1:6" ht="15.75" customHeight="1" x14ac:dyDescent="0.15">
      <c r="A4785" s="12"/>
      <c r="B4785" s="13"/>
      <c r="F4785" s="13"/>
    </row>
    <row r="4786" spans="1:6" ht="15.75" customHeight="1" x14ac:dyDescent="0.15">
      <c r="A4786" s="12"/>
      <c r="B4786" s="13"/>
      <c r="F4786" s="13"/>
    </row>
    <row r="4787" spans="1:6" ht="15.75" customHeight="1" x14ac:dyDescent="0.15">
      <c r="A4787" s="12"/>
      <c r="B4787" s="13"/>
      <c r="F4787" s="13"/>
    </row>
    <row r="4788" spans="1:6" ht="15.75" customHeight="1" x14ac:dyDescent="0.15">
      <c r="A4788" s="12"/>
      <c r="B4788" s="13"/>
      <c r="F4788" s="13"/>
    </row>
    <row r="4789" spans="1:6" ht="15.75" customHeight="1" x14ac:dyDescent="0.15">
      <c r="A4789" s="12"/>
      <c r="B4789" s="13"/>
      <c r="F4789" s="13"/>
    </row>
    <row r="4790" spans="1:6" ht="15.75" customHeight="1" x14ac:dyDescent="0.15">
      <c r="A4790" s="12"/>
      <c r="B4790" s="13"/>
      <c r="F4790" s="13"/>
    </row>
    <row r="4791" spans="1:6" ht="15.75" customHeight="1" x14ac:dyDescent="0.15">
      <c r="A4791" s="12"/>
      <c r="B4791" s="13"/>
      <c r="F4791" s="13"/>
    </row>
    <row r="4792" spans="1:6" ht="15.75" customHeight="1" x14ac:dyDescent="0.15">
      <c r="A4792" s="12"/>
      <c r="B4792" s="13"/>
      <c r="F4792" s="13"/>
    </row>
    <row r="4793" spans="1:6" ht="15.75" customHeight="1" x14ac:dyDescent="0.15">
      <c r="A4793" s="12"/>
      <c r="B4793" s="13"/>
      <c r="F4793" s="13"/>
    </row>
    <row r="4794" spans="1:6" ht="15.75" customHeight="1" x14ac:dyDescent="0.15">
      <c r="A4794" s="12"/>
      <c r="B4794" s="13"/>
      <c r="F4794" s="13"/>
    </row>
    <row r="4795" spans="1:6" ht="15.75" customHeight="1" x14ac:dyDescent="0.15">
      <c r="A4795" s="12"/>
      <c r="B4795" s="13"/>
      <c r="F4795" s="13"/>
    </row>
    <row r="4796" spans="1:6" ht="15.75" customHeight="1" x14ac:dyDescent="0.15">
      <c r="A4796" s="12"/>
      <c r="B4796" s="13"/>
      <c r="F4796" s="13"/>
    </row>
    <row r="4797" spans="1:6" ht="15.75" customHeight="1" x14ac:dyDescent="0.15">
      <c r="A4797" s="12"/>
      <c r="B4797" s="13"/>
      <c r="F4797" s="13"/>
    </row>
    <row r="4798" spans="1:6" ht="15.75" customHeight="1" x14ac:dyDescent="0.15">
      <c r="A4798" s="12"/>
      <c r="B4798" s="13"/>
      <c r="F4798" s="13"/>
    </row>
    <row r="4799" spans="1:6" ht="15.75" customHeight="1" x14ac:dyDescent="0.15">
      <c r="A4799" s="12"/>
      <c r="B4799" s="13"/>
      <c r="F4799" s="13"/>
    </row>
    <row r="4800" spans="1:6" ht="15.75" customHeight="1" x14ac:dyDescent="0.15">
      <c r="A4800" s="12"/>
      <c r="B4800" s="13"/>
      <c r="F4800" s="13"/>
    </row>
    <row r="4801" spans="1:6" ht="15.75" customHeight="1" x14ac:dyDescent="0.15">
      <c r="A4801" s="12"/>
      <c r="B4801" s="13"/>
      <c r="F4801" s="13"/>
    </row>
    <row r="4802" spans="1:6" ht="15.75" customHeight="1" x14ac:dyDescent="0.15">
      <c r="A4802" s="12"/>
      <c r="B4802" s="13"/>
      <c r="F4802" s="13"/>
    </row>
    <row r="4803" spans="1:6" ht="15.75" customHeight="1" x14ac:dyDescent="0.15">
      <c r="A4803" s="12"/>
      <c r="B4803" s="13"/>
      <c r="F4803" s="13"/>
    </row>
    <row r="4804" spans="1:6" ht="15.75" customHeight="1" x14ac:dyDescent="0.15">
      <c r="A4804" s="12"/>
      <c r="B4804" s="13"/>
      <c r="F4804" s="13"/>
    </row>
    <row r="4805" spans="1:6" ht="15.75" customHeight="1" x14ac:dyDescent="0.15">
      <c r="A4805" s="12"/>
      <c r="B4805" s="13"/>
      <c r="F4805" s="13"/>
    </row>
    <row r="4806" spans="1:6" ht="15.75" customHeight="1" x14ac:dyDescent="0.15">
      <c r="A4806" s="12"/>
      <c r="B4806" s="13"/>
      <c r="F4806" s="13"/>
    </row>
    <row r="4807" spans="1:6" ht="15.75" customHeight="1" x14ac:dyDescent="0.15">
      <c r="A4807" s="12"/>
      <c r="B4807" s="13"/>
      <c r="F4807" s="13"/>
    </row>
    <row r="4808" spans="1:6" ht="15.75" customHeight="1" x14ac:dyDescent="0.15">
      <c r="A4808" s="12"/>
      <c r="B4808" s="13"/>
      <c r="F4808" s="13"/>
    </row>
    <row r="4809" spans="1:6" ht="15.75" customHeight="1" x14ac:dyDescent="0.15">
      <c r="A4809" s="12"/>
      <c r="B4809" s="13"/>
      <c r="F4809" s="13"/>
    </row>
    <row r="4810" spans="1:6" ht="15.75" customHeight="1" x14ac:dyDescent="0.15">
      <c r="A4810" s="12"/>
      <c r="B4810" s="13"/>
      <c r="F4810" s="13"/>
    </row>
    <row r="4811" spans="1:6" ht="15.75" customHeight="1" x14ac:dyDescent="0.15">
      <c r="A4811" s="12"/>
      <c r="B4811" s="13"/>
      <c r="F4811" s="13"/>
    </row>
    <row r="4812" spans="1:6" ht="15.75" customHeight="1" x14ac:dyDescent="0.15">
      <c r="A4812" s="12"/>
      <c r="B4812" s="13"/>
      <c r="F4812" s="13"/>
    </row>
    <row r="4813" spans="1:6" ht="15.75" customHeight="1" x14ac:dyDescent="0.15">
      <c r="A4813" s="12"/>
      <c r="B4813" s="13"/>
      <c r="F4813" s="13"/>
    </row>
    <row r="4814" spans="1:6" ht="15.75" customHeight="1" x14ac:dyDescent="0.15">
      <c r="A4814" s="12"/>
      <c r="B4814" s="13"/>
      <c r="F4814" s="13"/>
    </row>
    <row r="4815" spans="1:6" ht="15.75" customHeight="1" x14ac:dyDescent="0.15">
      <c r="A4815" s="12"/>
      <c r="B4815" s="13"/>
      <c r="F4815" s="13"/>
    </row>
    <row r="4816" spans="1:6" ht="15.75" customHeight="1" x14ac:dyDescent="0.15">
      <c r="A4816" s="12"/>
      <c r="B4816" s="13"/>
      <c r="F4816" s="13"/>
    </row>
    <row r="4817" spans="1:6" ht="15.75" customHeight="1" x14ac:dyDescent="0.15">
      <c r="A4817" s="12"/>
      <c r="B4817" s="13"/>
      <c r="F4817" s="13"/>
    </row>
    <row r="4818" spans="1:6" ht="15.75" customHeight="1" x14ac:dyDescent="0.15">
      <c r="A4818" s="12"/>
      <c r="B4818" s="13"/>
      <c r="F4818" s="13"/>
    </row>
    <row r="4819" spans="1:6" ht="15.75" customHeight="1" x14ac:dyDescent="0.15">
      <c r="A4819" s="12"/>
      <c r="B4819" s="13"/>
      <c r="F4819" s="13"/>
    </row>
    <row r="4820" spans="1:6" ht="15.75" customHeight="1" x14ac:dyDescent="0.15">
      <c r="A4820" s="12"/>
      <c r="B4820" s="13"/>
      <c r="F4820" s="13"/>
    </row>
    <row r="4821" spans="1:6" ht="15.75" customHeight="1" x14ac:dyDescent="0.15">
      <c r="A4821" s="12"/>
      <c r="B4821" s="13"/>
      <c r="F4821" s="13"/>
    </row>
    <row r="4822" spans="1:6" ht="15.75" customHeight="1" x14ac:dyDescent="0.15">
      <c r="A4822" s="12"/>
      <c r="B4822" s="13"/>
      <c r="F4822" s="13"/>
    </row>
    <row r="4823" spans="1:6" ht="15.75" customHeight="1" x14ac:dyDescent="0.15">
      <c r="A4823" s="12"/>
      <c r="B4823" s="13"/>
      <c r="F4823" s="13"/>
    </row>
    <row r="4824" spans="1:6" ht="15.75" customHeight="1" x14ac:dyDescent="0.15">
      <c r="A4824" s="12"/>
      <c r="B4824" s="13"/>
      <c r="F4824" s="13"/>
    </row>
    <row r="4825" spans="1:6" ht="15.75" customHeight="1" x14ac:dyDescent="0.15">
      <c r="A4825" s="12"/>
      <c r="B4825" s="13"/>
      <c r="F4825" s="13"/>
    </row>
    <row r="4826" spans="1:6" ht="15.75" customHeight="1" x14ac:dyDescent="0.15">
      <c r="A4826" s="12"/>
      <c r="B4826" s="13"/>
      <c r="F4826" s="13"/>
    </row>
    <row r="4827" spans="1:6" ht="15.75" customHeight="1" x14ac:dyDescent="0.15">
      <c r="A4827" s="12"/>
      <c r="B4827" s="13"/>
      <c r="F4827" s="13"/>
    </row>
    <row r="4828" spans="1:6" ht="15.75" customHeight="1" x14ac:dyDescent="0.15">
      <c r="A4828" s="12"/>
      <c r="B4828" s="13"/>
      <c r="F4828" s="13"/>
    </row>
    <row r="4829" spans="1:6" ht="15.75" customHeight="1" x14ac:dyDescent="0.15">
      <c r="A4829" s="12"/>
      <c r="B4829" s="13"/>
      <c r="F4829" s="13"/>
    </row>
    <row r="4830" spans="1:6" ht="15.75" customHeight="1" x14ac:dyDescent="0.15">
      <c r="A4830" s="12"/>
      <c r="B4830" s="13"/>
      <c r="F4830" s="13"/>
    </row>
    <row r="4831" spans="1:6" ht="15.75" customHeight="1" x14ac:dyDescent="0.15">
      <c r="A4831" s="12"/>
      <c r="B4831" s="13"/>
      <c r="F4831" s="13"/>
    </row>
    <row r="4832" spans="1:6" ht="15.75" customHeight="1" x14ac:dyDescent="0.15">
      <c r="A4832" s="12"/>
      <c r="B4832" s="13"/>
      <c r="F4832" s="13"/>
    </row>
    <row r="4833" spans="1:6" ht="15.75" customHeight="1" x14ac:dyDescent="0.15">
      <c r="A4833" s="12"/>
      <c r="B4833" s="13"/>
      <c r="F4833" s="13"/>
    </row>
    <row r="4834" spans="1:6" ht="15.75" customHeight="1" x14ac:dyDescent="0.15">
      <c r="A4834" s="12"/>
      <c r="B4834" s="13"/>
      <c r="F4834" s="13"/>
    </row>
    <row r="4835" spans="1:6" ht="15.75" customHeight="1" x14ac:dyDescent="0.15">
      <c r="A4835" s="12"/>
      <c r="B4835" s="13"/>
      <c r="F4835" s="13"/>
    </row>
    <row r="4836" spans="1:6" ht="15.75" customHeight="1" x14ac:dyDescent="0.15">
      <c r="A4836" s="12"/>
      <c r="B4836" s="13"/>
      <c r="F4836" s="13"/>
    </row>
    <row r="4837" spans="1:6" ht="15.75" customHeight="1" x14ac:dyDescent="0.15">
      <c r="A4837" s="12"/>
      <c r="B4837" s="13"/>
      <c r="F4837" s="13"/>
    </row>
    <row r="4838" spans="1:6" ht="15.75" customHeight="1" x14ac:dyDescent="0.15">
      <c r="A4838" s="12"/>
      <c r="B4838" s="13"/>
      <c r="F4838" s="13"/>
    </row>
    <row r="4839" spans="1:6" ht="15.75" customHeight="1" x14ac:dyDescent="0.15">
      <c r="A4839" s="12"/>
      <c r="B4839" s="13"/>
      <c r="F4839" s="13"/>
    </row>
    <row r="4840" spans="1:6" ht="15.75" customHeight="1" x14ac:dyDescent="0.15">
      <c r="A4840" s="12"/>
      <c r="B4840" s="13"/>
      <c r="F4840" s="13"/>
    </row>
    <row r="4841" spans="1:6" ht="15.75" customHeight="1" x14ac:dyDescent="0.15">
      <c r="A4841" s="12"/>
      <c r="B4841" s="13"/>
      <c r="F4841" s="13"/>
    </row>
    <row r="4842" spans="1:6" ht="15.75" customHeight="1" x14ac:dyDescent="0.15">
      <c r="A4842" s="12"/>
      <c r="B4842" s="13"/>
      <c r="F4842" s="13"/>
    </row>
    <row r="4843" spans="1:6" ht="15.75" customHeight="1" x14ac:dyDescent="0.15">
      <c r="A4843" s="12"/>
      <c r="B4843" s="13"/>
      <c r="F4843" s="13"/>
    </row>
    <row r="4844" spans="1:6" ht="15.75" customHeight="1" x14ac:dyDescent="0.15">
      <c r="A4844" s="12"/>
      <c r="B4844" s="13"/>
      <c r="F4844" s="13"/>
    </row>
    <row r="4845" spans="1:6" ht="15.75" customHeight="1" x14ac:dyDescent="0.15">
      <c r="A4845" s="12"/>
      <c r="B4845" s="13"/>
      <c r="F4845" s="13"/>
    </row>
    <row r="4846" spans="1:6" ht="15.75" customHeight="1" x14ac:dyDescent="0.15">
      <c r="A4846" s="12"/>
      <c r="B4846" s="13"/>
      <c r="F4846" s="13"/>
    </row>
    <row r="4847" spans="1:6" ht="15.75" customHeight="1" x14ac:dyDescent="0.15">
      <c r="A4847" s="12"/>
      <c r="B4847" s="13"/>
      <c r="F4847" s="13"/>
    </row>
    <row r="4848" spans="1:6" ht="15.75" customHeight="1" x14ac:dyDescent="0.15">
      <c r="A4848" s="12"/>
      <c r="B4848" s="13"/>
      <c r="F4848" s="13"/>
    </row>
    <row r="4849" spans="1:6" ht="15.75" customHeight="1" x14ac:dyDescent="0.15">
      <c r="A4849" s="12"/>
      <c r="B4849" s="13"/>
      <c r="F4849" s="13"/>
    </row>
    <row r="4850" spans="1:6" ht="15.75" customHeight="1" x14ac:dyDescent="0.15">
      <c r="A4850" s="12"/>
      <c r="B4850" s="13"/>
      <c r="F4850" s="13"/>
    </row>
    <row r="4851" spans="1:6" ht="15.75" customHeight="1" x14ac:dyDescent="0.15">
      <c r="A4851" s="12"/>
      <c r="B4851" s="13"/>
      <c r="F4851" s="13"/>
    </row>
    <row r="4852" spans="1:6" ht="15.75" customHeight="1" x14ac:dyDescent="0.15">
      <c r="A4852" s="12"/>
      <c r="B4852" s="13"/>
      <c r="F4852" s="13"/>
    </row>
    <row r="4853" spans="1:6" ht="15.75" customHeight="1" x14ac:dyDescent="0.15">
      <c r="A4853" s="12"/>
      <c r="B4853" s="13"/>
      <c r="F4853" s="13"/>
    </row>
    <row r="4854" spans="1:6" ht="15.75" customHeight="1" x14ac:dyDescent="0.15">
      <c r="A4854" s="12"/>
      <c r="B4854" s="13"/>
      <c r="F4854" s="13"/>
    </row>
    <row r="4855" spans="1:6" ht="15.75" customHeight="1" x14ac:dyDescent="0.15">
      <c r="A4855" s="12"/>
      <c r="B4855" s="13"/>
      <c r="F4855" s="13"/>
    </row>
    <row r="4856" spans="1:6" ht="15.75" customHeight="1" x14ac:dyDescent="0.15">
      <c r="A4856" s="12"/>
      <c r="B4856" s="13"/>
      <c r="F4856" s="13"/>
    </row>
    <row r="4857" spans="1:6" ht="15.75" customHeight="1" x14ac:dyDescent="0.15">
      <c r="A4857" s="12"/>
      <c r="B4857" s="13"/>
      <c r="F4857" s="13"/>
    </row>
    <row r="4858" spans="1:6" ht="15.75" customHeight="1" x14ac:dyDescent="0.15">
      <c r="A4858" s="12"/>
      <c r="B4858" s="13"/>
      <c r="F4858" s="13"/>
    </row>
    <row r="4859" spans="1:6" ht="15.75" customHeight="1" x14ac:dyDescent="0.15">
      <c r="A4859" s="12"/>
      <c r="B4859" s="13"/>
      <c r="F4859" s="13"/>
    </row>
    <row r="4860" spans="1:6" ht="15.75" customHeight="1" x14ac:dyDescent="0.15">
      <c r="A4860" s="12"/>
      <c r="B4860" s="13"/>
      <c r="F4860" s="13"/>
    </row>
    <row r="4861" spans="1:6" ht="15.75" customHeight="1" x14ac:dyDescent="0.15">
      <c r="A4861" s="12"/>
      <c r="B4861" s="13"/>
      <c r="F4861" s="13"/>
    </row>
    <row r="4862" spans="1:6" ht="15.75" customHeight="1" x14ac:dyDescent="0.15">
      <c r="A4862" s="12"/>
      <c r="B4862" s="13"/>
      <c r="F4862" s="13"/>
    </row>
    <row r="4863" spans="1:6" ht="15.75" customHeight="1" x14ac:dyDescent="0.15">
      <c r="A4863" s="12"/>
      <c r="B4863" s="13"/>
      <c r="F4863" s="13"/>
    </row>
    <row r="4864" spans="1:6" ht="15.75" customHeight="1" x14ac:dyDescent="0.15">
      <c r="A4864" s="12"/>
      <c r="B4864" s="13"/>
      <c r="F4864" s="13"/>
    </row>
    <row r="4865" spans="1:6" ht="15.75" customHeight="1" x14ac:dyDescent="0.15">
      <c r="A4865" s="12"/>
      <c r="B4865" s="13"/>
      <c r="F4865" s="13"/>
    </row>
    <row r="4866" spans="1:6" ht="15.75" customHeight="1" x14ac:dyDescent="0.15">
      <c r="A4866" s="12"/>
      <c r="B4866" s="13"/>
      <c r="F4866" s="13"/>
    </row>
    <row r="4867" spans="1:6" ht="15.75" customHeight="1" x14ac:dyDescent="0.15">
      <c r="A4867" s="12"/>
      <c r="B4867" s="13"/>
      <c r="F4867" s="13"/>
    </row>
    <row r="4868" spans="1:6" ht="15.75" customHeight="1" x14ac:dyDescent="0.15">
      <c r="A4868" s="12"/>
      <c r="B4868" s="13"/>
      <c r="F4868" s="13"/>
    </row>
    <row r="4869" spans="1:6" ht="15.75" customHeight="1" x14ac:dyDescent="0.15">
      <c r="A4869" s="12"/>
      <c r="B4869" s="13"/>
      <c r="F4869" s="13"/>
    </row>
    <row r="4870" spans="1:6" ht="15.75" customHeight="1" x14ac:dyDescent="0.15">
      <c r="A4870" s="12"/>
      <c r="B4870" s="13"/>
      <c r="F4870" s="13"/>
    </row>
    <row r="4871" spans="1:6" ht="15.75" customHeight="1" x14ac:dyDescent="0.15">
      <c r="A4871" s="12"/>
      <c r="B4871" s="13"/>
      <c r="F4871" s="13"/>
    </row>
    <row r="4872" spans="1:6" ht="15.75" customHeight="1" x14ac:dyDescent="0.15">
      <c r="A4872" s="12"/>
      <c r="B4872" s="13"/>
      <c r="F4872" s="13"/>
    </row>
    <row r="4873" spans="1:6" ht="15.75" customHeight="1" x14ac:dyDescent="0.15">
      <c r="A4873" s="12"/>
      <c r="B4873" s="13"/>
      <c r="F4873" s="13"/>
    </row>
    <row r="4874" spans="1:6" ht="15.75" customHeight="1" x14ac:dyDescent="0.15">
      <c r="A4874" s="12"/>
      <c r="B4874" s="13"/>
      <c r="F4874" s="13"/>
    </row>
    <row r="4875" spans="1:6" ht="15.75" customHeight="1" x14ac:dyDescent="0.15">
      <c r="A4875" s="12"/>
      <c r="B4875" s="13"/>
      <c r="F4875" s="13"/>
    </row>
    <row r="4876" spans="1:6" ht="15.75" customHeight="1" x14ac:dyDescent="0.15">
      <c r="A4876" s="12"/>
      <c r="B4876" s="13"/>
      <c r="F4876" s="13"/>
    </row>
    <row r="4877" spans="1:6" ht="15.75" customHeight="1" x14ac:dyDescent="0.15">
      <c r="A4877" s="12"/>
      <c r="B4877" s="13"/>
      <c r="F4877" s="13"/>
    </row>
    <row r="4878" spans="1:6" ht="15.75" customHeight="1" x14ac:dyDescent="0.15">
      <c r="A4878" s="12"/>
      <c r="B4878" s="13"/>
      <c r="F4878" s="13"/>
    </row>
    <row r="4879" spans="1:6" ht="15.75" customHeight="1" x14ac:dyDescent="0.15">
      <c r="A4879" s="12"/>
      <c r="B4879" s="13"/>
      <c r="F4879" s="13"/>
    </row>
    <row r="4880" spans="1:6" ht="15.75" customHeight="1" x14ac:dyDescent="0.15">
      <c r="A4880" s="12"/>
      <c r="B4880" s="13"/>
      <c r="F4880" s="13"/>
    </row>
    <row r="4881" spans="1:6" ht="15.75" customHeight="1" x14ac:dyDescent="0.15">
      <c r="A4881" s="12"/>
      <c r="B4881" s="13"/>
      <c r="F4881" s="13"/>
    </row>
    <row r="4882" spans="1:6" ht="15.75" customHeight="1" x14ac:dyDescent="0.15">
      <c r="A4882" s="12"/>
      <c r="B4882" s="13"/>
      <c r="F4882" s="13"/>
    </row>
    <row r="4883" spans="1:6" ht="15.75" customHeight="1" x14ac:dyDescent="0.15">
      <c r="A4883" s="12"/>
      <c r="B4883" s="13"/>
      <c r="F4883" s="13"/>
    </row>
    <row r="4884" spans="1:6" ht="15.75" customHeight="1" x14ac:dyDescent="0.15">
      <c r="A4884" s="12"/>
      <c r="B4884" s="13"/>
      <c r="F4884" s="13"/>
    </row>
    <row r="4885" spans="1:6" ht="15.75" customHeight="1" x14ac:dyDescent="0.15">
      <c r="A4885" s="12"/>
      <c r="B4885" s="13"/>
      <c r="F4885" s="13"/>
    </row>
    <row r="4886" spans="1:6" ht="15.75" customHeight="1" x14ac:dyDescent="0.15">
      <c r="A4886" s="12"/>
      <c r="B4886" s="13"/>
      <c r="F4886" s="13"/>
    </row>
    <row r="4887" spans="1:6" ht="15.75" customHeight="1" x14ac:dyDescent="0.15">
      <c r="A4887" s="12"/>
      <c r="B4887" s="13"/>
      <c r="F4887" s="13"/>
    </row>
    <row r="4888" spans="1:6" ht="15.75" customHeight="1" x14ac:dyDescent="0.15">
      <c r="A4888" s="12"/>
      <c r="B4888" s="13"/>
      <c r="F4888" s="13"/>
    </row>
    <row r="4889" spans="1:6" ht="15.75" customHeight="1" x14ac:dyDescent="0.15">
      <c r="A4889" s="12"/>
      <c r="B4889" s="13"/>
      <c r="F4889" s="13"/>
    </row>
    <row r="4890" spans="1:6" ht="15.75" customHeight="1" x14ac:dyDescent="0.15">
      <c r="A4890" s="12"/>
      <c r="B4890" s="13"/>
      <c r="F4890" s="13"/>
    </row>
    <row r="4891" spans="1:6" ht="15.75" customHeight="1" x14ac:dyDescent="0.15">
      <c r="A4891" s="12"/>
      <c r="B4891" s="13"/>
      <c r="F4891" s="13"/>
    </row>
    <row r="4892" spans="1:6" ht="15.75" customHeight="1" x14ac:dyDescent="0.15">
      <c r="A4892" s="12"/>
      <c r="B4892" s="13"/>
      <c r="F4892" s="13"/>
    </row>
    <row r="4893" spans="1:6" ht="15.75" customHeight="1" x14ac:dyDescent="0.15">
      <c r="A4893" s="12"/>
      <c r="B4893" s="13"/>
      <c r="F4893" s="13"/>
    </row>
    <row r="4894" spans="1:6" ht="15.75" customHeight="1" x14ac:dyDescent="0.15">
      <c r="A4894" s="12"/>
      <c r="B4894" s="13"/>
      <c r="F4894" s="13"/>
    </row>
    <row r="4895" spans="1:6" ht="15.75" customHeight="1" x14ac:dyDescent="0.15">
      <c r="A4895" s="12"/>
      <c r="B4895" s="13"/>
      <c r="F4895" s="13"/>
    </row>
    <row r="4896" spans="1:6" ht="15.75" customHeight="1" x14ac:dyDescent="0.15">
      <c r="A4896" s="12"/>
      <c r="B4896" s="13"/>
      <c r="F4896" s="13"/>
    </row>
    <row r="4897" spans="1:6" ht="15.75" customHeight="1" x14ac:dyDescent="0.15">
      <c r="A4897" s="12"/>
      <c r="B4897" s="13"/>
      <c r="F4897" s="13"/>
    </row>
    <row r="4898" spans="1:6" ht="15.75" customHeight="1" x14ac:dyDescent="0.15">
      <c r="A4898" s="12"/>
      <c r="B4898" s="13"/>
      <c r="F4898" s="13"/>
    </row>
    <row r="4899" spans="1:6" ht="15.75" customHeight="1" x14ac:dyDescent="0.15">
      <c r="A4899" s="12"/>
      <c r="B4899" s="13"/>
      <c r="F4899" s="13"/>
    </row>
    <row r="4900" spans="1:6" ht="15.75" customHeight="1" x14ac:dyDescent="0.15">
      <c r="A4900" s="12"/>
      <c r="B4900" s="13"/>
      <c r="F4900" s="13"/>
    </row>
    <row r="4901" spans="1:6" ht="15.75" customHeight="1" x14ac:dyDescent="0.15">
      <c r="A4901" s="12"/>
      <c r="B4901" s="13"/>
      <c r="F4901" s="13"/>
    </row>
    <row r="4902" spans="1:6" ht="15.75" customHeight="1" x14ac:dyDescent="0.15">
      <c r="A4902" s="12"/>
      <c r="B4902" s="13"/>
      <c r="F4902" s="13"/>
    </row>
    <row r="4903" spans="1:6" ht="15.75" customHeight="1" x14ac:dyDescent="0.15">
      <c r="A4903" s="12"/>
      <c r="B4903" s="13"/>
      <c r="F4903" s="13"/>
    </row>
    <row r="4904" spans="1:6" ht="15.75" customHeight="1" x14ac:dyDescent="0.15">
      <c r="A4904" s="12"/>
      <c r="B4904" s="13"/>
      <c r="F4904" s="13"/>
    </row>
    <row r="4905" spans="1:6" ht="15.75" customHeight="1" x14ac:dyDescent="0.15">
      <c r="A4905" s="12"/>
      <c r="B4905" s="13"/>
      <c r="F4905" s="13"/>
    </row>
    <row r="4906" spans="1:6" ht="15.75" customHeight="1" x14ac:dyDescent="0.15">
      <c r="A4906" s="12"/>
      <c r="B4906" s="13"/>
      <c r="F4906" s="13"/>
    </row>
    <row r="4907" spans="1:6" ht="15.75" customHeight="1" x14ac:dyDescent="0.15">
      <c r="A4907" s="12"/>
      <c r="B4907" s="13"/>
      <c r="F4907" s="13"/>
    </row>
    <row r="4908" spans="1:6" ht="15.75" customHeight="1" x14ac:dyDescent="0.15">
      <c r="A4908" s="12"/>
      <c r="B4908" s="13"/>
      <c r="F4908" s="13"/>
    </row>
    <row r="4909" spans="1:6" ht="15.75" customHeight="1" x14ac:dyDescent="0.15">
      <c r="A4909" s="12"/>
      <c r="B4909" s="13"/>
      <c r="F4909" s="13"/>
    </row>
    <row r="4910" spans="1:6" ht="15.75" customHeight="1" x14ac:dyDescent="0.15">
      <c r="A4910" s="12"/>
      <c r="B4910" s="13"/>
      <c r="F4910" s="13"/>
    </row>
    <row r="4911" spans="1:6" ht="15.75" customHeight="1" x14ac:dyDescent="0.15">
      <c r="A4911" s="12"/>
      <c r="B4911" s="13"/>
      <c r="F4911" s="13"/>
    </row>
    <row r="4912" spans="1:6" ht="15.75" customHeight="1" x14ac:dyDescent="0.15">
      <c r="A4912" s="12"/>
      <c r="B4912" s="13"/>
      <c r="F4912" s="13"/>
    </row>
    <row r="4913" spans="1:6" ht="15.75" customHeight="1" x14ac:dyDescent="0.15">
      <c r="A4913" s="12"/>
      <c r="B4913" s="13"/>
      <c r="F4913" s="13"/>
    </row>
    <row r="4914" spans="1:6" ht="15.75" customHeight="1" x14ac:dyDescent="0.15">
      <c r="A4914" s="12"/>
      <c r="B4914" s="13"/>
      <c r="F4914" s="13"/>
    </row>
    <row r="4915" spans="1:6" ht="15.75" customHeight="1" x14ac:dyDescent="0.15">
      <c r="A4915" s="12"/>
      <c r="B4915" s="13"/>
      <c r="F4915" s="13"/>
    </row>
    <row r="4916" spans="1:6" ht="15.75" customHeight="1" x14ac:dyDescent="0.15">
      <c r="A4916" s="12"/>
      <c r="B4916" s="13"/>
      <c r="F4916" s="13"/>
    </row>
    <row r="4917" spans="1:6" ht="15.75" customHeight="1" x14ac:dyDescent="0.15">
      <c r="A4917" s="12"/>
      <c r="B4917" s="13"/>
      <c r="F4917" s="13"/>
    </row>
    <row r="4918" spans="1:6" ht="15.75" customHeight="1" x14ac:dyDescent="0.15">
      <c r="A4918" s="12"/>
      <c r="B4918" s="13"/>
      <c r="F4918" s="13"/>
    </row>
    <row r="4919" spans="1:6" ht="15.75" customHeight="1" x14ac:dyDescent="0.15">
      <c r="A4919" s="12"/>
      <c r="B4919" s="13"/>
      <c r="F4919" s="13"/>
    </row>
    <row r="4920" spans="1:6" ht="15.75" customHeight="1" x14ac:dyDescent="0.15">
      <c r="A4920" s="12"/>
      <c r="B4920" s="13"/>
      <c r="F4920" s="13"/>
    </row>
    <row r="4921" spans="1:6" ht="15.75" customHeight="1" x14ac:dyDescent="0.15">
      <c r="A4921" s="12"/>
      <c r="B4921" s="13"/>
      <c r="F4921" s="13"/>
    </row>
    <row r="4922" spans="1:6" ht="15.75" customHeight="1" x14ac:dyDescent="0.15">
      <c r="A4922" s="12"/>
      <c r="B4922" s="13"/>
      <c r="F4922" s="13"/>
    </row>
    <row r="4923" spans="1:6" ht="15.75" customHeight="1" x14ac:dyDescent="0.15">
      <c r="A4923" s="12"/>
      <c r="B4923" s="13"/>
      <c r="F4923" s="13"/>
    </row>
    <row r="4924" spans="1:6" ht="15.75" customHeight="1" x14ac:dyDescent="0.15">
      <c r="A4924" s="12"/>
      <c r="B4924" s="13"/>
      <c r="F4924" s="13"/>
    </row>
    <row r="4925" spans="1:6" ht="15.75" customHeight="1" x14ac:dyDescent="0.15">
      <c r="A4925" s="12"/>
      <c r="B4925" s="13"/>
      <c r="F4925" s="13"/>
    </row>
    <row r="4926" spans="1:6" ht="15.75" customHeight="1" x14ac:dyDescent="0.15">
      <c r="A4926" s="12"/>
      <c r="B4926" s="13"/>
      <c r="F4926" s="13"/>
    </row>
    <row r="4927" spans="1:6" ht="15.75" customHeight="1" x14ac:dyDescent="0.15">
      <c r="A4927" s="12"/>
      <c r="B4927" s="13"/>
      <c r="F4927" s="13"/>
    </row>
    <row r="4928" spans="1:6" ht="15.75" customHeight="1" x14ac:dyDescent="0.15">
      <c r="A4928" s="12"/>
      <c r="B4928" s="13"/>
      <c r="F4928" s="13"/>
    </row>
    <row r="4929" spans="1:6" ht="15.75" customHeight="1" x14ac:dyDescent="0.15">
      <c r="A4929" s="12"/>
      <c r="B4929" s="13"/>
      <c r="F4929" s="13"/>
    </row>
    <row r="4930" spans="1:6" ht="15.75" customHeight="1" x14ac:dyDescent="0.15">
      <c r="A4930" s="12"/>
      <c r="B4930" s="13"/>
      <c r="F4930" s="13"/>
    </row>
    <row r="4931" spans="1:6" ht="15.75" customHeight="1" x14ac:dyDescent="0.15">
      <c r="A4931" s="12"/>
      <c r="B4931" s="13"/>
      <c r="F4931" s="13"/>
    </row>
    <row r="4932" spans="1:6" ht="15.75" customHeight="1" x14ac:dyDescent="0.15">
      <c r="A4932" s="12"/>
      <c r="B4932" s="13"/>
      <c r="F4932" s="13"/>
    </row>
    <row r="4933" spans="1:6" ht="15.75" customHeight="1" x14ac:dyDescent="0.15">
      <c r="A4933" s="12"/>
      <c r="B4933" s="13"/>
      <c r="F4933" s="13"/>
    </row>
    <row r="4934" spans="1:6" ht="15.75" customHeight="1" x14ac:dyDescent="0.15">
      <c r="A4934" s="12"/>
      <c r="B4934" s="13"/>
      <c r="F4934" s="13"/>
    </row>
    <row r="4935" spans="1:6" ht="15.75" customHeight="1" x14ac:dyDescent="0.15">
      <c r="A4935" s="12"/>
      <c r="B4935" s="13"/>
      <c r="F4935" s="13"/>
    </row>
    <row r="4936" spans="1:6" ht="15.75" customHeight="1" x14ac:dyDescent="0.15">
      <c r="A4936" s="12"/>
      <c r="B4936" s="13"/>
      <c r="F4936" s="13"/>
    </row>
    <row r="4937" spans="1:6" ht="15.75" customHeight="1" x14ac:dyDescent="0.15">
      <c r="A4937" s="12"/>
      <c r="B4937" s="13"/>
      <c r="F4937" s="13"/>
    </row>
    <row r="4938" spans="1:6" ht="15.75" customHeight="1" x14ac:dyDescent="0.15">
      <c r="A4938" s="12"/>
      <c r="B4938" s="13"/>
      <c r="F4938" s="13"/>
    </row>
    <row r="4939" spans="1:6" ht="15.75" customHeight="1" x14ac:dyDescent="0.15">
      <c r="A4939" s="12"/>
      <c r="B4939" s="13"/>
      <c r="F4939" s="13"/>
    </row>
    <row r="4940" spans="1:6" ht="15.75" customHeight="1" x14ac:dyDescent="0.15">
      <c r="A4940" s="12"/>
      <c r="B4940" s="13"/>
      <c r="F4940" s="13"/>
    </row>
    <row r="4941" spans="1:6" ht="15.75" customHeight="1" x14ac:dyDescent="0.15">
      <c r="A4941" s="12"/>
      <c r="B4941" s="13"/>
      <c r="F4941" s="13"/>
    </row>
    <row r="4942" spans="1:6" ht="15.75" customHeight="1" x14ac:dyDescent="0.15">
      <c r="A4942" s="12"/>
      <c r="B4942" s="13"/>
      <c r="F4942" s="13"/>
    </row>
    <row r="4943" spans="1:6" ht="15.75" customHeight="1" x14ac:dyDescent="0.15">
      <c r="A4943" s="12"/>
      <c r="B4943" s="13"/>
      <c r="F4943" s="13"/>
    </row>
    <row r="4944" spans="1:6" ht="15.75" customHeight="1" x14ac:dyDescent="0.15">
      <c r="A4944" s="12"/>
      <c r="B4944" s="13"/>
      <c r="F4944" s="13"/>
    </row>
    <row r="4945" spans="1:6" ht="15.75" customHeight="1" x14ac:dyDescent="0.15">
      <c r="A4945" s="12"/>
      <c r="B4945" s="13"/>
      <c r="F4945" s="13"/>
    </row>
    <row r="4946" spans="1:6" ht="15.75" customHeight="1" x14ac:dyDescent="0.15">
      <c r="A4946" s="12"/>
      <c r="B4946" s="13"/>
      <c r="F4946" s="13"/>
    </row>
    <row r="4947" spans="1:6" ht="15.75" customHeight="1" x14ac:dyDescent="0.15">
      <c r="A4947" s="12"/>
      <c r="B4947" s="13"/>
      <c r="F4947" s="13"/>
    </row>
    <row r="4948" spans="1:6" ht="15.75" customHeight="1" x14ac:dyDescent="0.15">
      <c r="A4948" s="12"/>
      <c r="B4948" s="13"/>
      <c r="F4948" s="13"/>
    </row>
    <row r="4949" spans="1:6" ht="15.75" customHeight="1" x14ac:dyDescent="0.15">
      <c r="A4949" s="12"/>
      <c r="B4949" s="13"/>
      <c r="F4949" s="13"/>
    </row>
    <row r="4950" spans="1:6" ht="15.75" customHeight="1" x14ac:dyDescent="0.15">
      <c r="A4950" s="12"/>
      <c r="B4950" s="13"/>
      <c r="F4950" s="13"/>
    </row>
    <row r="4951" spans="1:6" ht="15.75" customHeight="1" x14ac:dyDescent="0.15">
      <c r="A4951" s="12"/>
      <c r="B4951" s="13"/>
      <c r="F4951" s="13"/>
    </row>
    <row r="4952" spans="1:6" ht="15.75" customHeight="1" x14ac:dyDescent="0.15">
      <c r="A4952" s="12"/>
      <c r="B4952" s="13"/>
      <c r="F4952" s="13"/>
    </row>
    <row r="4953" spans="1:6" ht="15.75" customHeight="1" x14ac:dyDescent="0.15">
      <c r="A4953" s="12"/>
      <c r="B4953" s="13"/>
      <c r="F4953" s="13"/>
    </row>
    <row r="4954" spans="1:6" ht="15.75" customHeight="1" x14ac:dyDescent="0.15">
      <c r="A4954" s="12"/>
      <c r="B4954" s="13"/>
      <c r="F4954" s="13"/>
    </row>
    <row r="4955" spans="1:6" ht="15.75" customHeight="1" x14ac:dyDescent="0.15">
      <c r="A4955" s="12"/>
      <c r="B4955" s="13"/>
      <c r="F4955" s="13"/>
    </row>
    <row r="4956" spans="1:6" ht="15.75" customHeight="1" x14ac:dyDescent="0.15">
      <c r="A4956" s="12"/>
      <c r="B4956" s="13"/>
      <c r="F4956" s="13"/>
    </row>
    <row r="4957" spans="1:6" ht="15.75" customHeight="1" x14ac:dyDescent="0.15">
      <c r="A4957" s="12"/>
      <c r="B4957" s="13"/>
      <c r="F4957" s="13"/>
    </row>
    <row r="4958" spans="1:6" ht="15.75" customHeight="1" x14ac:dyDescent="0.15">
      <c r="A4958" s="12"/>
      <c r="B4958" s="13"/>
      <c r="F4958" s="13"/>
    </row>
    <row r="4959" spans="1:6" ht="15.75" customHeight="1" x14ac:dyDescent="0.15">
      <c r="A4959" s="12"/>
      <c r="B4959" s="13"/>
      <c r="F4959" s="13"/>
    </row>
    <row r="4960" spans="1:6" ht="15.75" customHeight="1" x14ac:dyDescent="0.15">
      <c r="A4960" s="12"/>
      <c r="B4960" s="13"/>
      <c r="F4960" s="13"/>
    </row>
    <row r="4961" spans="1:6" ht="15.75" customHeight="1" x14ac:dyDescent="0.15">
      <c r="A4961" s="12"/>
      <c r="B4961" s="13"/>
      <c r="F4961" s="13"/>
    </row>
    <row r="4962" spans="1:6" ht="15.75" customHeight="1" x14ac:dyDescent="0.15">
      <c r="A4962" s="12"/>
      <c r="B4962" s="13"/>
      <c r="F4962" s="13"/>
    </row>
    <row r="4963" spans="1:6" ht="15.75" customHeight="1" x14ac:dyDescent="0.15">
      <c r="A4963" s="12"/>
      <c r="B4963" s="13"/>
      <c r="F4963" s="13"/>
    </row>
    <row r="4964" spans="1:6" ht="15.75" customHeight="1" x14ac:dyDescent="0.15">
      <c r="A4964" s="12"/>
      <c r="B4964" s="13"/>
      <c r="F4964" s="13"/>
    </row>
    <row r="4965" spans="1:6" ht="15.75" customHeight="1" x14ac:dyDescent="0.15">
      <c r="A4965" s="12"/>
      <c r="B4965" s="13"/>
      <c r="F4965" s="13"/>
    </row>
    <row r="4966" spans="1:6" ht="15.75" customHeight="1" x14ac:dyDescent="0.15">
      <c r="A4966" s="12"/>
      <c r="B4966" s="13"/>
      <c r="F4966" s="13"/>
    </row>
    <row r="4967" spans="1:6" ht="15.75" customHeight="1" x14ac:dyDescent="0.15">
      <c r="A4967" s="12"/>
      <c r="B4967" s="13"/>
      <c r="F4967" s="13"/>
    </row>
    <row r="4968" spans="1:6" ht="15.75" customHeight="1" x14ac:dyDescent="0.15">
      <c r="A4968" s="12"/>
      <c r="B4968" s="13"/>
      <c r="F4968" s="13"/>
    </row>
    <row r="4969" spans="1:6" ht="15.75" customHeight="1" x14ac:dyDescent="0.15">
      <c r="A4969" s="12"/>
      <c r="B4969" s="13"/>
      <c r="F4969" s="13"/>
    </row>
    <row r="4970" spans="1:6" ht="15.75" customHeight="1" x14ac:dyDescent="0.15">
      <c r="A4970" s="12"/>
      <c r="B4970" s="13"/>
      <c r="F4970" s="13"/>
    </row>
    <row r="4971" spans="1:6" ht="15.75" customHeight="1" x14ac:dyDescent="0.15">
      <c r="A4971" s="12"/>
      <c r="B4971" s="13"/>
      <c r="F4971" s="13"/>
    </row>
    <row r="4972" spans="1:6" ht="15.75" customHeight="1" x14ac:dyDescent="0.15">
      <c r="A4972" s="12"/>
      <c r="B4972" s="13"/>
      <c r="F4972" s="13"/>
    </row>
    <row r="4973" spans="1:6" ht="15.75" customHeight="1" x14ac:dyDescent="0.15">
      <c r="A4973" s="12"/>
      <c r="B4973" s="13"/>
      <c r="F4973" s="13"/>
    </row>
    <row r="4974" spans="1:6" ht="15.75" customHeight="1" x14ac:dyDescent="0.15">
      <c r="A4974" s="12"/>
      <c r="B4974" s="13"/>
      <c r="F4974" s="13"/>
    </row>
    <row r="4975" spans="1:6" ht="15.75" customHeight="1" x14ac:dyDescent="0.15">
      <c r="A4975" s="12"/>
      <c r="B4975" s="13"/>
      <c r="F4975" s="13"/>
    </row>
    <row r="4976" spans="1:6" ht="15.75" customHeight="1" x14ac:dyDescent="0.15">
      <c r="A4976" s="12"/>
      <c r="B4976" s="13"/>
      <c r="F4976" s="13"/>
    </row>
    <row r="4977" spans="1:6" ht="15.75" customHeight="1" x14ac:dyDescent="0.15">
      <c r="A4977" s="12"/>
      <c r="B4977" s="13"/>
      <c r="F4977" s="13"/>
    </row>
    <row r="4978" spans="1:6" ht="15.75" customHeight="1" x14ac:dyDescent="0.15">
      <c r="A4978" s="12"/>
      <c r="B4978" s="13"/>
      <c r="F4978" s="13"/>
    </row>
    <row r="4979" spans="1:6" ht="15.75" customHeight="1" x14ac:dyDescent="0.15">
      <c r="A4979" s="12"/>
      <c r="B4979" s="13"/>
      <c r="F4979" s="13"/>
    </row>
    <row r="4980" spans="1:6" ht="15.75" customHeight="1" x14ac:dyDescent="0.15">
      <c r="A4980" s="12"/>
      <c r="B4980" s="13"/>
      <c r="F4980" s="13"/>
    </row>
    <row r="4981" spans="1:6" ht="15.75" customHeight="1" x14ac:dyDescent="0.15">
      <c r="A4981" s="12"/>
      <c r="B4981" s="13"/>
      <c r="F4981" s="13"/>
    </row>
    <row r="4982" spans="1:6" ht="15.75" customHeight="1" x14ac:dyDescent="0.15">
      <c r="A4982" s="12"/>
      <c r="B4982" s="13"/>
      <c r="F4982" s="13"/>
    </row>
    <row r="4983" spans="1:6" ht="15.75" customHeight="1" x14ac:dyDescent="0.15">
      <c r="A4983" s="12"/>
      <c r="B4983" s="13"/>
      <c r="F4983" s="13"/>
    </row>
    <row r="4984" spans="1:6" ht="15.75" customHeight="1" x14ac:dyDescent="0.15">
      <c r="A4984" s="12"/>
      <c r="B4984" s="13"/>
      <c r="F4984" s="13"/>
    </row>
    <row r="4985" spans="1:6" ht="15.75" customHeight="1" x14ac:dyDescent="0.15">
      <c r="A4985" s="12"/>
      <c r="B4985" s="13"/>
      <c r="F4985" s="13"/>
    </row>
    <row r="4986" spans="1:6" ht="15.75" customHeight="1" x14ac:dyDescent="0.15">
      <c r="A4986" s="12"/>
      <c r="B4986" s="13"/>
      <c r="F4986" s="13"/>
    </row>
    <row r="4987" spans="1:6" ht="15.75" customHeight="1" x14ac:dyDescent="0.15">
      <c r="A4987" s="12"/>
      <c r="B4987" s="13"/>
      <c r="F4987" s="13"/>
    </row>
    <row r="4988" spans="1:6" ht="15.75" customHeight="1" x14ac:dyDescent="0.15">
      <c r="A4988" s="12"/>
      <c r="B4988" s="13"/>
      <c r="F4988" s="13"/>
    </row>
    <row r="4989" spans="1:6" ht="15.75" customHeight="1" x14ac:dyDescent="0.15">
      <c r="A4989" s="12"/>
      <c r="B4989" s="13"/>
      <c r="F4989" s="13"/>
    </row>
    <row r="4990" spans="1:6" ht="15.75" customHeight="1" x14ac:dyDescent="0.15">
      <c r="A4990" s="12"/>
      <c r="B4990" s="13"/>
      <c r="F4990" s="13"/>
    </row>
    <row r="4991" spans="1:6" ht="15.75" customHeight="1" x14ac:dyDescent="0.15">
      <c r="A4991" s="12"/>
      <c r="B4991" s="13"/>
      <c r="F4991" s="13"/>
    </row>
    <row r="4992" spans="1:6" ht="15.75" customHeight="1" x14ac:dyDescent="0.15">
      <c r="A4992" s="12"/>
      <c r="B4992" s="13"/>
      <c r="F4992" s="13"/>
    </row>
    <row r="4993" spans="1:6" ht="15.75" customHeight="1" x14ac:dyDescent="0.15">
      <c r="A4993" s="12"/>
      <c r="B4993" s="13"/>
      <c r="F4993" s="13"/>
    </row>
    <row r="4994" spans="1:6" ht="15.75" customHeight="1" x14ac:dyDescent="0.15">
      <c r="A4994" s="12"/>
      <c r="B4994" s="13"/>
      <c r="F4994" s="13"/>
    </row>
    <row r="4995" spans="1:6" ht="15.75" customHeight="1" x14ac:dyDescent="0.15">
      <c r="A4995" s="12"/>
      <c r="B4995" s="13"/>
      <c r="F4995" s="13"/>
    </row>
    <row r="4996" spans="1:6" ht="15.75" customHeight="1" x14ac:dyDescent="0.15">
      <c r="A4996" s="12"/>
      <c r="B4996" s="13"/>
      <c r="F4996" s="13"/>
    </row>
    <row r="4997" spans="1:6" ht="15.75" customHeight="1" x14ac:dyDescent="0.15">
      <c r="A4997" s="12"/>
      <c r="B4997" s="13"/>
      <c r="F4997" s="13"/>
    </row>
    <row r="4998" spans="1:6" ht="15.75" customHeight="1" x14ac:dyDescent="0.15">
      <c r="A4998" s="12"/>
      <c r="B4998" s="13"/>
      <c r="F4998" s="13"/>
    </row>
    <row r="4999" spans="1:6" ht="15.75" customHeight="1" x14ac:dyDescent="0.15">
      <c r="A4999" s="12"/>
      <c r="B4999" s="13"/>
      <c r="F4999" s="13"/>
    </row>
    <row r="5000" spans="1:6" ht="15.75" customHeight="1" x14ac:dyDescent="0.15">
      <c r="A5000" s="12"/>
      <c r="B5000" s="13"/>
      <c r="F5000" s="13"/>
    </row>
    <row r="5001" spans="1:6" ht="15.75" customHeight="1" x14ac:dyDescent="0.15">
      <c r="A5001" s="12"/>
      <c r="B5001" s="13"/>
      <c r="F5001" s="13"/>
    </row>
    <row r="5002" spans="1:6" ht="15.75" customHeight="1" x14ac:dyDescent="0.15">
      <c r="A5002" s="12"/>
      <c r="B5002" s="13"/>
      <c r="F5002" s="13"/>
    </row>
    <row r="5003" spans="1:6" ht="15.75" customHeight="1" x14ac:dyDescent="0.15">
      <c r="A5003" s="12"/>
      <c r="B5003" s="13"/>
      <c r="F5003" s="13"/>
    </row>
    <row r="5004" spans="1:6" ht="15.75" customHeight="1" x14ac:dyDescent="0.15">
      <c r="A5004" s="12"/>
      <c r="B5004" s="13"/>
      <c r="F5004" s="13"/>
    </row>
    <row r="5005" spans="1:6" ht="15.75" customHeight="1" x14ac:dyDescent="0.15">
      <c r="A5005" s="12"/>
      <c r="B5005" s="13"/>
      <c r="F5005" s="13"/>
    </row>
    <row r="5006" spans="1:6" ht="15.75" customHeight="1" x14ac:dyDescent="0.15">
      <c r="A5006" s="12"/>
      <c r="B5006" s="13"/>
      <c r="F5006" s="13"/>
    </row>
    <row r="5007" spans="1:6" ht="15.75" customHeight="1" x14ac:dyDescent="0.15">
      <c r="A5007" s="12"/>
      <c r="B5007" s="13"/>
      <c r="F5007" s="13"/>
    </row>
    <row r="5008" spans="1:6" ht="15.75" customHeight="1" x14ac:dyDescent="0.15">
      <c r="A5008" s="12"/>
      <c r="B5008" s="13"/>
      <c r="F5008" s="13"/>
    </row>
    <row r="5009" spans="1:6" ht="15.75" customHeight="1" x14ac:dyDescent="0.15">
      <c r="A5009" s="12"/>
      <c r="B5009" s="13"/>
      <c r="F5009" s="13"/>
    </row>
    <row r="5010" spans="1:6" ht="15.75" customHeight="1" x14ac:dyDescent="0.15">
      <c r="A5010" s="12"/>
      <c r="B5010" s="13"/>
      <c r="F5010" s="13"/>
    </row>
    <row r="5011" spans="1:6" ht="15.75" customHeight="1" x14ac:dyDescent="0.15">
      <c r="A5011" s="12"/>
      <c r="B5011" s="13"/>
      <c r="F5011" s="13"/>
    </row>
    <row r="5012" spans="1:6" ht="15.75" customHeight="1" x14ac:dyDescent="0.15">
      <c r="A5012" s="12"/>
      <c r="B5012" s="13"/>
      <c r="F5012" s="13"/>
    </row>
    <row r="5013" spans="1:6" ht="15.75" customHeight="1" x14ac:dyDescent="0.15">
      <c r="A5013" s="12"/>
      <c r="B5013" s="13"/>
      <c r="F5013" s="13"/>
    </row>
    <row r="5014" spans="1:6" ht="15.75" customHeight="1" x14ac:dyDescent="0.15">
      <c r="A5014" s="12"/>
      <c r="B5014" s="13"/>
      <c r="F5014" s="13"/>
    </row>
    <row r="5015" spans="1:6" ht="15.75" customHeight="1" x14ac:dyDescent="0.15">
      <c r="A5015" s="12"/>
      <c r="B5015" s="13"/>
      <c r="F5015" s="13"/>
    </row>
    <row r="5016" spans="1:6" ht="15.75" customHeight="1" x14ac:dyDescent="0.15">
      <c r="A5016" s="12"/>
      <c r="B5016" s="13"/>
      <c r="F5016" s="13"/>
    </row>
    <row r="5017" spans="1:6" ht="15.75" customHeight="1" x14ac:dyDescent="0.15">
      <c r="A5017" s="12"/>
      <c r="B5017" s="13"/>
      <c r="F5017" s="13"/>
    </row>
    <row r="5018" spans="1:6" ht="15.75" customHeight="1" x14ac:dyDescent="0.15">
      <c r="A5018" s="12"/>
      <c r="B5018" s="13"/>
      <c r="F5018" s="13"/>
    </row>
    <row r="5019" spans="1:6" ht="15.75" customHeight="1" x14ac:dyDescent="0.15">
      <c r="A5019" s="12"/>
      <c r="B5019" s="13"/>
      <c r="F5019" s="13"/>
    </row>
    <row r="5020" spans="1:6" ht="15.75" customHeight="1" x14ac:dyDescent="0.15">
      <c r="A5020" s="12"/>
      <c r="B5020" s="13"/>
      <c r="F5020" s="13"/>
    </row>
    <row r="5021" spans="1:6" ht="15.75" customHeight="1" x14ac:dyDescent="0.15">
      <c r="A5021" s="12"/>
      <c r="B5021" s="13"/>
      <c r="F5021" s="13"/>
    </row>
    <row r="5022" spans="1:6" ht="15.75" customHeight="1" x14ac:dyDescent="0.15">
      <c r="A5022" s="12"/>
      <c r="B5022" s="13"/>
      <c r="F5022" s="13"/>
    </row>
    <row r="5023" spans="1:6" ht="15.75" customHeight="1" x14ac:dyDescent="0.15">
      <c r="A5023" s="12"/>
      <c r="B5023" s="13"/>
      <c r="F5023" s="13"/>
    </row>
    <row r="5024" spans="1:6" ht="15.75" customHeight="1" x14ac:dyDescent="0.15">
      <c r="A5024" s="12"/>
      <c r="B5024" s="13"/>
      <c r="F5024" s="13"/>
    </row>
    <row r="5025" spans="1:6" ht="15.75" customHeight="1" x14ac:dyDescent="0.15">
      <c r="A5025" s="12"/>
      <c r="B5025" s="13"/>
      <c r="F5025" s="13"/>
    </row>
    <row r="5026" spans="1:6" ht="15.75" customHeight="1" x14ac:dyDescent="0.15">
      <c r="A5026" s="12"/>
      <c r="B5026" s="13"/>
      <c r="F5026" s="13"/>
    </row>
    <row r="5027" spans="1:6" ht="15.75" customHeight="1" x14ac:dyDescent="0.15">
      <c r="A5027" s="12"/>
      <c r="B5027" s="13"/>
      <c r="F5027" s="13"/>
    </row>
    <row r="5028" spans="1:6" ht="15.75" customHeight="1" x14ac:dyDescent="0.15">
      <c r="A5028" s="12"/>
      <c r="B5028" s="13"/>
      <c r="F5028" s="13"/>
    </row>
    <row r="5029" spans="1:6" ht="15.75" customHeight="1" x14ac:dyDescent="0.15">
      <c r="A5029" s="12"/>
      <c r="B5029" s="13"/>
      <c r="F5029" s="13"/>
    </row>
    <row r="5030" spans="1:6" ht="15.75" customHeight="1" x14ac:dyDescent="0.15">
      <c r="A5030" s="12"/>
      <c r="B5030" s="13"/>
      <c r="F5030" s="13"/>
    </row>
    <row r="5031" spans="1:6" ht="15.75" customHeight="1" x14ac:dyDescent="0.15">
      <c r="A5031" s="12"/>
      <c r="B5031" s="13"/>
      <c r="F5031" s="13"/>
    </row>
    <row r="5032" spans="1:6" ht="15.75" customHeight="1" x14ac:dyDescent="0.15">
      <c r="A5032" s="12"/>
      <c r="B5032" s="13"/>
      <c r="F5032" s="13"/>
    </row>
    <row r="5033" spans="1:6" ht="15.75" customHeight="1" x14ac:dyDescent="0.15">
      <c r="A5033" s="12"/>
      <c r="B5033" s="13"/>
      <c r="F5033" s="13"/>
    </row>
    <row r="5034" spans="1:6" ht="15.75" customHeight="1" x14ac:dyDescent="0.15">
      <c r="A5034" s="12"/>
      <c r="B5034" s="13"/>
      <c r="F5034" s="13"/>
    </row>
    <row r="5035" spans="1:6" ht="15.75" customHeight="1" x14ac:dyDescent="0.15">
      <c r="A5035" s="12"/>
      <c r="B5035" s="13"/>
      <c r="F5035" s="13"/>
    </row>
    <row r="5036" spans="1:6" ht="15.75" customHeight="1" x14ac:dyDescent="0.15">
      <c r="A5036" s="12"/>
      <c r="B5036" s="13"/>
      <c r="F5036" s="13"/>
    </row>
    <row r="5037" spans="1:6" ht="15.75" customHeight="1" x14ac:dyDescent="0.15">
      <c r="A5037" s="12"/>
      <c r="B5037" s="13"/>
      <c r="F5037" s="13"/>
    </row>
    <row r="5038" spans="1:6" ht="15.75" customHeight="1" x14ac:dyDescent="0.15">
      <c r="A5038" s="12"/>
      <c r="B5038" s="13"/>
      <c r="F5038" s="13"/>
    </row>
    <row r="5039" spans="1:6" ht="15.75" customHeight="1" x14ac:dyDescent="0.15">
      <c r="A5039" s="12"/>
      <c r="B5039" s="13"/>
      <c r="F5039" s="13"/>
    </row>
    <row r="5040" spans="1:6" ht="15.75" customHeight="1" x14ac:dyDescent="0.15">
      <c r="A5040" s="12"/>
      <c r="B5040" s="13"/>
      <c r="F5040" s="13"/>
    </row>
    <row r="5041" spans="1:6" ht="15.75" customHeight="1" x14ac:dyDescent="0.15">
      <c r="A5041" s="12"/>
      <c r="B5041" s="13"/>
      <c r="F5041" s="13"/>
    </row>
    <row r="5042" spans="1:6" ht="15.75" customHeight="1" x14ac:dyDescent="0.15">
      <c r="A5042" s="12"/>
      <c r="B5042" s="13"/>
      <c r="F5042" s="13"/>
    </row>
    <row r="5043" spans="1:6" ht="15.75" customHeight="1" x14ac:dyDescent="0.15">
      <c r="A5043" s="12"/>
      <c r="B5043" s="13"/>
      <c r="F5043" s="13"/>
    </row>
    <row r="5044" spans="1:6" ht="15.75" customHeight="1" x14ac:dyDescent="0.15">
      <c r="A5044" s="12"/>
      <c r="B5044" s="13"/>
      <c r="F5044" s="13"/>
    </row>
    <row r="5045" spans="1:6" ht="15.75" customHeight="1" x14ac:dyDescent="0.15">
      <c r="A5045" s="12"/>
      <c r="B5045" s="13"/>
      <c r="F5045" s="13"/>
    </row>
    <row r="5046" spans="1:6" ht="15.75" customHeight="1" x14ac:dyDescent="0.15">
      <c r="A5046" s="12"/>
      <c r="B5046" s="13"/>
      <c r="F5046" s="13"/>
    </row>
    <row r="5047" spans="1:6" ht="15.75" customHeight="1" x14ac:dyDescent="0.15">
      <c r="A5047" s="12"/>
      <c r="B5047" s="13"/>
      <c r="F5047" s="13"/>
    </row>
    <row r="5048" spans="1:6" ht="15.75" customHeight="1" x14ac:dyDescent="0.15">
      <c r="A5048" s="12"/>
      <c r="B5048" s="13"/>
      <c r="F5048" s="13"/>
    </row>
    <row r="5049" spans="1:6" ht="15.75" customHeight="1" x14ac:dyDescent="0.15">
      <c r="A5049" s="12"/>
      <c r="B5049" s="13"/>
      <c r="F5049" s="13"/>
    </row>
    <row r="5050" spans="1:6" ht="15.75" customHeight="1" x14ac:dyDescent="0.15">
      <c r="A5050" s="12"/>
      <c r="B5050" s="13"/>
      <c r="F5050" s="13"/>
    </row>
    <row r="5051" spans="1:6" ht="15.75" customHeight="1" x14ac:dyDescent="0.15">
      <c r="A5051" s="12"/>
      <c r="B5051" s="13"/>
      <c r="F5051" s="13"/>
    </row>
    <row r="5052" spans="1:6" ht="15.75" customHeight="1" x14ac:dyDescent="0.15">
      <c r="A5052" s="12"/>
      <c r="B5052" s="13"/>
      <c r="F5052" s="13"/>
    </row>
    <row r="5053" spans="1:6" ht="15.75" customHeight="1" x14ac:dyDescent="0.15">
      <c r="A5053" s="12"/>
      <c r="B5053" s="13"/>
      <c r="F5053" s="13"/>
    </row>
    <row r="5054" spans="1:6" ht="15.75" customHeight="1" x14ac:dyDescent="0.15">
      <c r="A5054" s="12"/>
      <c r="B5054" s="13"/>
      <c r="F5054" s="13"/>
    </row>
    <row r="5055" spans="1:6" ht="15.75" customHeight="1" x14ac:dyDescent="0.15">
      <c r="A5055" s="12"/>
      <c r="B5055" s="13"/>
      <c r="F5055" s="13"/>
    </row>
    <row r="5056" spans="1:6" ht="15.75" customHeight="1" x14ac:dyDescent="0.15">
      <c r="A5056" s="12"/>
      <c r="B5056" s="13"/>
      <c r="F5056" s="13"/>
    </row>
    <row r="5057" spans="1:6" ht="15.75" customHeight="1" x14ac:dyDescent="0.15">
      <c r="A5057" s="12"/>
      <c r="B5057" s="13"/>
      <c r="F5057" s="13"/>
    </row>
    <row r="5058" spans="1:6" ht="15.75" customHeight="1" x14ac:dyDescent="0.15">
      <c r="A5058" s="12"/>
      <c r="B5058" s="13"/>
      <c r="F5058" s="13"/>
    </row>
    <row r="5059" spans="1:6" ht="15.75" customHeight="1" x14ac:dyDescent="0.15">
      <c r="A5059" s="12"/>
      <c r="B5059" s="13"/>
      <c r="F5059" s="13"/>
    </row>
    <row r="5060" spans="1:6" ht="15.75" customHeight="1" x14ac:dyDescent="0.15">
      <c r="A5060" s="12"/>
      <c r="B5060" s="13"/>
      <c r="F5060" s="13"/>
    </row>
    <row r="5061" spans="1:6" ht="15.75" customHeight="1" x14ac:dyDescent="0.15">
      <c r="A5061" s="12"/>
      <c r="B5061" s="13"/>
      <c r="F5061" s="13"/>
    </row>
    <row r="5062" spans="1:6" ht="15.75" customHeight="1" x14ac:dyDescent="0.15">
      <c r="A5062" s="12"/>
      <c r="B5062" s="13"/>
      <c r="F5062" s="13"/>
    </row>
    <row r="5063" spans="1:6" ht="15.75" customHeight="1" x14ac:dyDescent="0.15">
      <c r="A5063" s="12"/>
      <c r="B5063" s="13"/>
      <c r="F5063" s="13"/>
    </row>
    <row r="5064" spans="1:6" ht="15.75" customHeight="1" x14ac:dyDescent="0.15">
      <c r="A5064" s="12"/>
      <c r="B5064" s="13"/>
      <c r="F5064" s="13"/>
    </row>
    <row r="5065" spans="1:6" ht="15.75" customHeight="1" x14ac:dyDescent="0.15">
      <c r="A5065" s="12"/>
      <c r="B5065" s="13"/>
      <c r="F5065" s="13"/>
    </row>
    <row r="5066" spans="1:6" ht="15.75" customHeight="1" x14ac:dyDescent="0.15">
      <c r="A5066" s="12"/>
      <c r="B5066" s="13"/>
      <c r="F5066" s="13"/>
    </row>
    <row r="5067" spans="1:6" ht="15.75" customHeight="1" x14ac:dyDescent="0.15">
      <c r="A5067" s="12"/>
      <c r="B5067" s="13"/>
      <c r="F5067" s="13"/>
    </row>
    <row r="5068" spans="1:6" ht="15.75" customHeight="1" x14ac:dyDescent="0.15">
      <c r="A5068" s="12"/>
      <c r="B5068" s="13"/>
      <c r="F5068" s="13"/>
    </row>
    <row r="5069" spans="1:6" ht="15.75" customHeight="1" x14ac:dyDescent="0.15">
      <c r="A5069" s="12"/>
      <c r="B5069" s="13"/>
      <c r="F5069" s="13"/>
    </row>
    <row r="5070" spans="1:6" ht="15.75" customHeight="1" x14ac:dyDescent="0.15">
      <c r="A5070" s="12"/>
      <c r="B5070" s="13"/>
      <c r="F5070" s="13"/>
    </row>
    <row r="5071" spans="1:6" ht="15.75" customHeight="1" x14ac:dyDescent="0.15">
      <c r="A5071" s="12"/>
      <c r="B5071" s="13"/>
      <c r="F5071" s="13"/>
    </row>
    <row r="5072" spans="1:6" ht="15.75" customHeight="1" x14ac:dyDescent="0.15">
      <c r="A5072" s="12"/>
      <c r="B5072" s="13"/>
      <c r="F5072" s="13"/>
    </row>
    <row r="5073" spans="1:6" ht="15.75" customHeight="1" x14ac:dyDescent="0.15">
      <c r="A5073" s="12"/>
      <c r="B5073" s="13"/>
      <c r="F5073" s="13"/>
    </row>
    <row r="5074" spans="1:6" ht="15.75" customHeight="1" x14ac:dyDescent="0.15">
      <c r="A5074" s="12"/>
      <c r="B5074" s="13"/>
      <c r="F5074" s="13"/>
    </row>
    <row r="5075" spans="1:6" ht="15.75" customHeight="1" x14ac:dyDescent="0.15">
      <c r="A5075" s="12"/>
      <c r="B5075" s="13"/>
      <c r="F5075" s="13"/>
    </row>
    <row r="5076" spans="1:6" ht="15.75" customHeight="1" x14ac:dyDescent="0.15">
      <c r="A5076" s="12"/>
      <c r="B5076" s="13"/>
      <c r="F5076" s="13"/>
    </row>
    <row r="5077" spans="1:6" ht="15.75" customHeight="1" x14ac:dyDescent="0.15">
      <c r="A5077" s="12"/>
      <c r="B5077" s="13"/>
      <c r="F5077" s="13"/>
    </row>
    <row r="5078" spans="1:6" ht="15.75" customHeight="1" x14ac:dyDescent="0.15">
      <c r="A5078" s="12"/>
      <c r="B5078" s="13"/>
      <c r="F5078" s="13"/>
    </row>
    <row r="5079" spans="1:6" ht="15.75" customHeight="1" x14ac:dyDescent="0.15">
      <c r="A5079" s="12"/>
      <c r="B5079" s="13"/>
      <c r="F5079" s="13"/>
    </row>
    <row r="5080" spans="1:6" ht="15.75" customHeight="1" x14ac:dyDescent="0.15">
      <c r="A5080" s="12"/>
      <c r="B5080" s="13"/>
      <c r="F5080" s="13"/>
    </row>
    <row r="5081" spans="1:6" ht="15.75" customHeight="1" x14ac:dyDescent="0.15">
      <c r="A5081" s="12"/>
      <c r="B5081" s="13"/>
      <c r="F5081" s="13"/>
    </row>
    <row r="5082" spans="1:6" ht="15.75" customHeight="1" x14ac:dyDescent="0.15">
      <c r="A5082" s="12"/>
      <c r="B5082" s="13"/>
      <c r="F5082" s="13"/>
    </row>
    <row r="5083" spans="1:6" ht="15.75" customHeight="1" x14ac:dyDescent="0.15">
      <c r="A5083" s="12"/>
      <c r="B5083" s="13"/>
      <c r="F5083" s="13"/>
    </row>
    <row r="5084" spans="1:6" ht="15.75" customHeight="1" x14ac:dyDescent="0.15">
      <c r="A5084" s="12"/>
      <c r="B5084" s="13"/>
      <c r="F5084" s="13"/>
    </row>
    <row r="5085" spans="1:6" ht="15.75" customHeight="1" x14ac:dyDescent="0.15">
      <c r="A5085" s="12"/>
      <c r="B5085" s="13"/>
      <c r="F5085" s="13"/>
    </row>
    <row r="5086" spans="1:6" ht="15.75" customHeight="1" x14ac:dyDescent="0.15">
      <c r="A5086" s="12"/>
      <c r="B5086" s="13"/>
      <c r="F5086" s="13"/>
    </row>
    <row r="5087" spans="1:6" ht="15.75" customHeight="1" x14ac:dyDescent="0.15">
      <c r="A5087" s="12"/>
      <c r="B5087" s="13"/>
      <c r="F5087" s="13"/>
    </row>
    <row r="5088" spans="1:6" ht="15.75" customHeight="1" x14ac:dyDescent="0.15">
      <c r="A5088" s="12"/>
      <c r="B5088" s="13"/>
      <c r="F5088" s="13"/>
    </row>
    <row r="5089" spans="1:6" ht="15.75" customHeight="1" x14ac:dyDescent="0.15">
      <c r="A5089" s="12"/>
      <c r="B5089" s="13"/>
      <c r="F5089" s="13"/>
    </row>
    <row r="5090" spans="1:6" ht="15.75" customHeight="1" x14ac:dyDescent="0.15">
      <c r="A5090" s="12"/>
      <c r="B5090" s="13"/>
      <c r="F5090" s="13"/>
    </row>
    <row r="5091" spans="1:6" ht="15.75" customHeight="1" x14ac:dyDescent="0.15">
      <c r="A5091" s="12"/>
      <c r="B5091" s="13"/>
      <c r="F5091" s="13"/>
    </row>
    <row r="5092" spans="1:6" ht="15.75" customHeight="1" x14ac:dyDescent="0.15">
      <c r="A5092" s="12"/>
      <c r="B5092" s="13"/>
      <c r="F5092" s="13"/>
    </row>
    <row r="5093" spans="1:6" ht="15.75" customHeight="1" x14ac:dyDescent="0.15">
      <c r="A5093" s="12"/>
      <c r="B5093" s="13"/>
      <c r="F5093" s="13"/>
    </row>
    <row r="5094" spans="1:6" ht="15.75" customHeight="1" x14ac:dyDescent="0.15">
      <c r="A5094" s="12"/>
      <c r="B5094" s="13"/>
      <c r="F5094" s="13"/>
    </row>
    <row r="5095" spans="1:6" ht="15.75" customHeight="1" x14ac:dyDescent="0.15">
      <c r="A5095" s="12"/>
      <c r="B5095" s="13"/>
      <c r="F5095" s="13"/>
    </row>
    <row r="5096" spans="1:6" ht="15.75" customHeight="1" x14ac:dyDescent="0.15">
      <c r="A5096" s="12"/>
      <c r="B5096" s="13"/>
      <c r="F5096" s="13"/>
    </row>
    <row r="5097" spans="1:6" ht="15.75" customHeight="1" x14ac:dyDescent="0.15">
      <c r="A5097" s="12"/>
      <c r="B5097" s="13"/>
      <c r="F5097" s="13"/>
    </row>
    <row r="5098" spans="1:6" ht="15.75" customHeight="1" x14ac:dyDescent="0.15">
      <c r="A5098" s="12"/>
      <c r="B5098" s="13"/>
      <c r="F5098" s="13"/>
    </row>
    <row r="5099" spans="1:6" ht="15.75" customHeight="1" x14ac:dyDescent="0.15">
      <c r="A5099" s="12"/>
      <c r="B5099" s="13"/>
      <c r="F5099" s="13"/>
    </row>
    <row r="5100" spans="1:6" ht="15.75" customHeight="1" x14ac:dyDescent="0.15">
      <c r="A5100" s="12"/>
      <c r="B5100" s="13"/>
      <c r="F5100" s="13"/>
    </row>
    <row r="5101" spans="1:6" ht="15.75" customHeight="1" x14ac:dyDescent="0.15">
      <c r="A5101" s="12"/>
      <c r="B5101" s="13"/>
      <c r="F5101" s="13"/>
    </row>
    <row r="5102" spans="1:6" ht="15.75" customHeight="1" x14ac:dyDescent="0.15">
      <c r="A5102" s="12"/>
      <c r="B5102" s="13"/>
      <c r="F5102" s="13"/>
    </row>
    <row r="5103" spans="1:6" ht="15.75" customHeight="1" x14ac:dyDescent="0.15">
      <c r="A5103" s="12"/>
      <c r="B5103" s="13"/>
      <c r="F5103" s="13"/>
    </row>
    <row r="5104" spans="1:6" ht="15.75" customHeight="1" x14ac:dyDescent="0.15">
      <c r="A5104" s="12"/>
      <c r="B5104" s="13"/>
      <c r="F5104" s="13"/>
    </row>
    <row r="5105" spans="1:6" ht="15.75" customHeight="1" x14ac:dyDescent="0.15">
      <c r="A5105" s="12"/>
      <c r="B5105" s="13"/>
      <c r="F5105" s="13"/>
    </row>
    <row r="5106" spans="1:6" ht="15.75" customHeight="1" x14ac:dyDescent="0.15">
      <c r="A5106" s="12"/>
      <c r="B5106" s="13"/>
      <c r="F5106" s="13"/>
    </row>
    <row r="5107" spans="1:6" ht="15.75" customHeight="1" x14ac:dyDescent="0.15">
      <c r="A5107" s="12"/>
      <c r="B5107" s="13"/>
      <c r="F5107" s="13"/>
    </row>
    <row r="5108" spans="1:6" ht="15.75" customHeight="1" x14ac:dyDescent="0.15">
      <c r="A5108" s="12"/>
      <c r="B5108" s="13"/>
      <c r="F5108" s="13"/>
    </row>
    <row r="5109" spans="1:6" ht="15.75" customHeight="1" x14ac:dyDescent="0.15">
      <c r="A5109" s="12"/>
      <c r="B5109" s="13"/>
      <c r="F5109" s="13"/>
    </row>
    <row r="5110" spans="1:6" ht="15.75" customHeight="1" x14ac:dyDescent="0.15">
      <c r="A5110" s="12"/>
      <c r="B5110" s="13"/>
      <c r="F5110" s="13"/>
    </row>
    <row r="5111" spans="1:6" ht="15.75" customHeight="1" x14ac:dyDescent="0.15">
      <c r="A5111" s="12"/>
      <c r="B5111" s="13"/>
      <c r="F5111" s="13"/>
    </row>
    <row r="5112" spans="1:6" ht="15.75" customHeight="1" x14ac:dyDescent="0.15">
      <c r="A5112" s="12"/>
      <c r="B5112" s="13"/>
      <c r="F5112" s="13"/>
    </row>
    <row r="5113" spans="1:6" ht="15.75" customHeight="1" x14ac:dyDescent="0.15">
      <c r="A5113" s="12"/>
      <c r="B5113" s="13"/>
      <c r="F5113" s="13"/>
    </row>
    <row r="5114" spans="1:6" ht="15.75" customHeight="1" x14ac:dyDescent="0.15">
      <c r="A5114" s="12"/>
      <c r="B5114" s="13"/>
      <c r="F5114" s="13"/>
    </row>
    <row r="5115" spans="1:6" ht="15.75" customHeight="1" x14ac:dyDescent="0.15">
      <c r="A5115" s="12"/>
      <c r="B5115" s="13"/>
      <c r="F5115" s="13"/>
    </row>
    <row r="5116" spans="1:6" ht="15.75" customHeight="1" x14ac:dyDescent="0.15">
      <c r="A5116" s="12"/>
      <c r="B5116" s="13"/>
      <c r="F5116" s="13"/>
    </row>
    <row r="5117" spans="1:6" ht="15.75" customHeight="1" x14ac:dyDescent="0.15">
      <c r="A5117" s="12"/>
      <c r="B5117" s="13"/>
      <c r="F5117" s="13"/>
    </row>
    <row r="5118" spans="1:6" ht="15.75" customHeight="1" x14ac:dyDescent="0.15">
      <c r="A5118" s="12"/>
      <c r="B5118" s="13"/>
      <c r="F5118" s="13"/>
    </row>
    <row r="5119" spans="1:6" ht="15.75" customHeight="1" x14ac:dyDescent="0.15">
      <c r="A5119" s="12"/>
      <c r="B5119" s="13"/>
      <c r="F5119" s="13"/>
    </row>
    <row r="5120" spans="1:6" ht="15.75" customHeight="1" x14ac:dyDescent="0.15">
      <c r="A5120" s="12"/>
      <c r="B5120" s="13"/>
      <c r="F5120" s="13"/>
    </row>
    <row r="5121" spans="1:6" ht="15.75" customHeight="1" x14ac:dyDescent="0.15">
      <c r="A5121" s="12"/>
      <c r="B5121" s="13"/>
      <c r="F5121" s="13"/>
    </row>
    <row r="5122" spans="1:6" ht="15.75" customHeight="1" x14ac:dyDescent="0.15">
      <c r="A5122" s="12"/>
      <c r="B5122" s="13"/>
      <c r="F5122" s="13"/>
    </row>
    <row r="5123" spans="1:6" ht="15.75" customHeight="1" x14ac:dyDescent="0.15">
      <c r="A5123" s="12"/>
      <c r="B5123" s="13"/>
      <c r="F5123" s="13"/>
    </row>
    <row r="5124" spans="1:6" ht="15.75" customHeight="1" x14ac:dyDescent="0.15">
      <c r="A5124" s="12"/>
      <c r="B5124" s="13"/>
      <c r="F5124" s="13"/>
    </row>
    <row r="5125" spans="1:6" ht="15.75" customHeight="1" x14ac:dyDescent="0.15">
      <c r="A5125" s="12"/>
      <c r="B5125" s="13"/>
      <c r="F5125" s="13"/>
    </row>
    <row r="5126" spans="1:6" ht="15.75" customHeight="1" x14ac:dyDescent="0.15">
      <c r="A5126" s="12"/>
      <c r="B5126" s="13"/>
      <c r="F5126" s="13"/>
    </row>
    <row r="5127" spans="1:6" ht="15.75" customHeight="1" x14ac:dyDescent="0.15">
      <c r="A5127" s="12"/>
      <c r="B5127" s="13"/>
      <c r="F5127" s="13"/>
    </row>
    <row r="5128" spans="1:6" ht="15.75" customHeight="1" x14ac:dyDescent="0.15">
      <c r="A5128" s="12"/>
      <c r="B5128" s="13"/>
      <c r="F5128" s="13"/>
    </row>
    <row r="5129" spans="1:6" ht="15.75" customHeight="1" x14ac:dyDescent="0.15">
      <c r="A5129" s="12"/>
      <c r="B5129" s="13"/>
      <c r="F5129" s="13"/>
    </row>
    <row r="5130" spans="1:6" ht="15.75" customHeight="1" x14ac:dyDescent="0.15">
      <c r="A5130" s="12"/>
      <c r="B5130" s="13"/>
      <c r="F5130" s="13"/>
    </row>
    <row r="5131" spans="1:6" ht="15.75" customHeight="1" x14ac:dyDescent="0.15">
      <c r="A5131" s="12"/>
      <c r="B5131" s="13"/>
      <c r="F5131" s="13"/>
    </row>
    <row r="5132" spans="1:6" ht="15.75" customHeight="1" x14ac:dyDescent="0.15">
      <c r="A5132" s="12"/>
      <c r="B5132" s="13"/>
      <c r="F5132" s="13"/>
    </row>
    <row r="5133" spans="1:6" ht="15.75" customHeight="1" x14ac:dyDescent="0.15">
      <c r="A5133" s="12"/>
      <c r="B5133" s="13"/>
      <c r="F5133" s="13"/>
    </row>
    <row r="5134" spans="1:6" ht="15.75" customHeight="1" x14ac:dyDescent="0.15">
      <c r="A5134" s="12"/>
      <c r="B5134" s="13"/>
      <c r="F5134" s="13"/>
    </row>
    <row r="5135" spans="1:6" ht="15.75" customHeight="1" x14ac:dyDescent="0.15">
      <c r="A5135" s="12"/>
      <c r="B5135" s="13"/>
      <c r="F5135" s="13"/>
    </row>
    <row r="5136" spans="1:6" ht="15.75" customHeight="1" x14ac:dyDescent="0.15">
      <c r="A5136" s="12"/>
      <c r="B5136" s="13"/>
      <c r="F5136" s="13"/>
    </row>
    <row r="5137" spans="1:6" ht="15.75" customHeight="1" x14ac:dyDescent="0.15">
      <c r="A5137" s="12"/>
      <c r="B5137" s="13"/>
      <c r="F5137" s="13"/>
    </row>
    <row r="5138" spans="1:6" ht="15.75" customHeight="1" x14ac:dyDescent="0.15">
      <c r="A5138" s="12"/>
      <c r="B5138" s="13"/>
      <c r="F5138" s="13"/>
    </row>
    <row r="5139" spans="1:6" ht="15.75" customHeight="1" x14ac:dyDescent="0.15">
      <c r="A5139" s="12"/>
      <c r="B5139" s="13"/>
      <c r="F5139" s="13"/>
    </row>
    <row r="5140" spans="1:6" ht="15.75" customHeight="1" x14ac:dyDescent="0.15">
      <c r="A5140" s="12"/>
      <c r="B5140" s="13"/>
      <c r="F5140" s="13"/>
    </row>
    <row r="5141" spans="1:6" ht="15.75" customHeight="1" x14ac:dyDescent="0.15">
      <c r="A5141" s="12"/>
      <c r="B5141" s="13"/>
      <c r="F5141" s="13"/>
    </row>
    <row r="5142" spans="1:6" ht="15.75" customHeight="1" x14ac:dyDescent="0.15">
      <c r="A5142" s="12"/>
      <c r="B5142" s="13"/>
      <c r="F5142" s="13"/>
    </row>
    <row r="5143" spans="1:6" ht="15.75" customHeight="1" x14ac:dyDescent="0.15">
      <c r="A5143" s="12"/>
      <c r="B5143" s="13"/>
      <c r="F5143" s="13"/>
    </row>
    <row r="5144" spans="1:6" ht="15.75" customHeight="1" x14ac:dyDescent="0.15">
      <c r="A5144" s="12"/>
      <c r="B5144" s="13"/>
      <c r="F5144" s="13"/>
    </row>
    <row r="5145" spans="1:6" ht="15.75" customHeight="1" x14ac:dyDescent="0.15">
      <c r="A5145" s="12"/>
      <c r="B5145" s="13"/>
      <c r="F5145" s="13"/>
    </row>
    <row r="5146" spans="1:6" ht="15.75" customHeight="1" x14ac:dyDescent="0.15">
      <c r="A5146" s="12"/>
      <c r="B5146" s="13"/>
      <c r="F5146" s="13"/>
    </row>
    <row r="5147" spans="1:6" ht="15.75" customHeight="1" x14ac:dyDescent="0.15">
      <c r="A5147" s="12"/>
      <c r="B5147" s="13"/>
      <c r="F5147" s="13"/>
    </row>
    <row r="5148" spans="1:6" ht="15.75" customHeight="1" x14ac:dyDescent="0.15">
      <c r="A5148" s="12"/>
      <c r="B5148" s="13"/>
      <c r="F5148" s="13"/>
    </row>
    <row r="5149" spans="1:6" ht="15.75" customHeight="1" x14ac:dyDescent="0.15">
      <c r="A5149" s="12"/>
      <c r="B5149" s="13"/>
      <c r="F5149" s="13"/>
    </row>
    <row r="5150" spans="1:6" ht="15.75" customHeight="1" x14ac:dyDescent="0.15">
      <c r="A5150" s="12"/>
      <c r="B5150" s="13"/>
      <c r="F5150" s="13"/>
    </row>
    <row r="5151" spans="1:6" ht="15.75" customHeight="1" x14ac:dyDescent="0.15">
      <c r="A5151" s="12"/>
      <c r="B5151" s="13"/>
      <c r="F5151" s="13"/>
    </row>
    <row r="5152" spans="1:6" ht="15.75" customHeight="1" x14ac:dyDescent="0.15">
      <c r="A5152" s="12"/>
      <c r="B5152" s="13"/>
      <c r="F5152" s="13"/>
    </row>
    <row r="5153" spans="1:6" ht="15.75" customHeight="1" x14ac:dyDescent="0.15">
      <c r="A5153" s="12"/>
      <c r="B5153" s="13"/>
      <c r="F5153" s="13"/>
    </row>
    <row r="5154" spans="1:6" ht="15.75" customHeight="1" x14ac:dyDescent="0.15">
      <c r="A5154" s="12"/>
      <c r="B5154" s="13"/>
      <c r="F5154" s="13"/>
    </row>
    <row r="5155" spans="1:6" ht="15.75" customHeight="1" x14ac:dyDescent="0.15">
      <c r="A5155" s="12"/>
      <c r="B5155" s="13"/>
      <c r="F5155" s="13"/>
    </row>
    <row r="5156" spans="1:6" ht="15.75" customHeight="1" x14ac:dyDescent="0.15">
      <c r="A5156" s="12"/>
      <c r="B5156" s="13"/>
      <c r="F5156" s="13"/>
    </row>
    <row r="5157" spans="1:6" ht="15.75" customHeight="1" x14ac:dyDescent="0.15">
      <c r="A5157" s="12"/>
      <c r="B5157" s="13"/>
      <c r="F5157" s="13"/>
    </row>
    <row r="5158" spans="1:6" ht="15.75" customHeight="1" x14ac:dyDescent="0.15">
      <c r="A5158" s="12"/>
      <c r="B5158" s="13"/>
      <c r="F5158" s="13"/>
    </row>
    <row r="5159" spans="1:6" ht="15.75" customHeight="1" x14ac:dyDescent="0.15">
      <c r="A5159" s="12"/>
      <c r="B5159" s="13"/>
      <c r="F5159" s="13"/>
    </row>
    <row r="5160" spans="1:6" ht="15.75" customHeight="1" x14ac:dyDescent="0.15">
      <c r="A5160" s="12"/>
      <c r="B5160" s="13"/>
      <c r="F5160" s="13"/>
    </row>
    <row r="5161" spans="1:6" ht="15.75" customHeight="1" x14ac:dyDescent="0.15">
      <c r="A5161" s="12"/>
      <c r="B5161" s="13"/>
      <c r="F5161" s="13"/>
    </row>
    <row r="5162" spans="1:6" ht="15.75" customHeight="1" x14ac:dyDescent="0.15">
      <c r="A5162" s="12"/>
      <c r="B5162" s="13"/>
      <c r="F5162" s="13"/>
    </row>
    <row r="5163" spans="1:6" ht="15.75" customHeight="1" x14ac:dyDescent="0.15">
      <c r="A5163" s="12"/>
      <c r="B5163" s="13"/>
      <c r="F5163" s="13"/>
    </row>
    <row r="5164" spans="1:6" ht="15.75" customHeight="1" x14ac:dyDescent="0.15">
      <c r="A5164" s="12"/>
      <c r="B5164" s="13"/>
      <c r="F5164" s="13"/>
    </row>
    <row r="5165" spans="1:6" ht="15.75" customHeight="1" x14ac:dyDescent="0.15">
      <c r="A5165" s="12"/>
      <c r="B5165" s="13"/>
      <c r="F5165" s="13"/>
    </row>
    <row r="5166" spans="1:6" ht="15.75" customHeight="1" x14ac:dyDescent="0.15">
      <c r="A5166" s="12"/>
      <c r="B5166" s="13"/>
      <c r="F5166" s="13"/>
    </row>
    <row r="5167" spans="1:6" ht="15.75" customHeight="1" x14ac:dyDescent="0.15">
      <c r="A5167" s="12"/>
      <c r="B5167" s="13"/>
      <c r="F5167" s="13"/>
    </row>
    <row r="5168" spans="1:6" ht="15.75" customHeight="1" x14ac:dyDescent="0.15">
      <c r="A5168" s="12"/>
      <c r="B5168" s="13"/>
      <c r="F5168" s="13"/>
    </row>
    <row r="5169" spans="1:6" ht="15.75" customHeight="1" x14ac:dyDescent="0.15">
      <c r="A5169" s="12"/>
      <c r="B5169" s="13"/>
      <c r="F5169" s="13"/>
    </row>
    <row r="5170" spans="1:6" ht="15.75" customHeight="1" x14ac:dyDescent="0.15">
      <c r="A5170" s="12"/>
      <c r="B5170" s="13"/>
      <c r="F5170" s="13"/>
    </row>
    <row r="5171" spans="1:6" ht="15.75" customHeight="1" x14ac:dyDescent="0.15">
      <c r="A5171" s="12"/>
      <c r="B5171" s="13"/>
      <c r="F5171" s="13"/>
    </row>
    <row r="5172" spans="1:6" ht="15.75" customHeight="1" x14ac:dyDescent="0.15">
      <c r="A5172" s="12"/>
      <c r="B5172" s="13"/>
      <c r="F5172" s="13"/>
    </row>
    <row r="5173" spans="1:6" ht="15.75" customHeight="1" x14ac:dyDescent="0.15">
      <c r="A5173" s="12"/>
      <c r="B5173" s="13"/>
      <c r="F5173" s="13"/>
    </row>
    <row r="5174" spans="1:6" ht="15.75" customHeight="1" x14ac:dyDescent="0.15">
      <c r="A5174" s="12"/>
      <c r="B5174" s="13"/>
      <c r="F5174" s="13"/>
    </row>
    <row r="5175" spans="1:6" ht="15.75" customHeight="1" x14ac:dyDescent="0.15">
      <c r="A5175" s="12"/>
      <c r="B5175" s="13"/>
      <c r="F5175" s="13"/>
    </row>
    <row r="5176" spans="1:6" ht="15.75" customHeight="1" x14ac:dyDescent="0.15">
      <c r="A5176" s="12"/>
      <c r="B5176" s="13"/>
      <c r="F5176" s="13"/>
    </row>
    <row r="5177" spans="1:6" ht="15.75" customHeight="1" x14ac:dyDescent="0.15">
      <c r="A5177" s="12"/>
      <c r="B5177" s="13"/>
      <c r="F5177" s="13"/>
    </row>
    <row r="5178" spans="1:6" ht="15.75" customHeight="1" x14ac:dyDescent="0.15">
      <c r="A5178" s="12"/>
      <c r="B5178" s="13"/>
      <c r="F5178" s="13"/>
    </row>
    <row r="5179" spans="1:6" ht="15.75" customHeight="1" x14ac:dyDescent="0.15">
      <c r="A5179" s="12"/>
      <c r="B5179" s="13"/>
      <c r="F5179" s="13"/>
    </row>
    <row r="5180" spans="1:6" ht="15.75" customHeight="1" x14ac:dyDescent="0.15">
      <c r="A5180" s="12"/>
      <c r="B5180" s="13"/>
      <c r="F5180" s="13"/>
    </row>
    <row r="5181" spans="1:6" ht="15.75" customHeight="1" x14ac:dyDescent="0.15">
      <c r="A5181" s="12"/>
      <c r="B5181" s="13"/>
      <c r="F5181" s="13"/>
    </row>
    <row r="5182" spans="1:6" ht="15.75" customHeight="1" x14ac:dyDescent="0.15">
      <c r="A5182" s="12"/>
      <c r="B5182" s="13"/>
      <c r="F5182" s="13"/>
    </row>
    <row r="5183" spans="1:6" ht="15.75" customHeight="1" x14ac:dyDescent="0.15">
      <c r="A5183" s="12"/>
      <c r="B5183" s="13"/>
      <c r="F5183" s="13"/>
    </row>
    <row r="5184" spans="1:6" ht="15.75" customHeight="1" x14ac:dyDescent="0.15">
      <c r="A5184" s="12"/>
      <c r="B5184" s="13"/>
      <c r="F5184" s="13"/>
    </row>
    <row r="5185" spans="1:6" ht="15.75" customHeight="1" x14ac:dyDescent="0.15">
      <c r="A5185" s="12"/>
      <c r="B5185" s="13"/>
      <c r="F5185" s="13"/>
    </row>
    <row r="5186" spans="1:6" ht="15.75" customHeight="1" x14ac:dyDescent="0.15">
      <c r="A5186" s="12"/>
      <c r="B5186" s="13"/>
      <c r="F5186" s="13"/>
    </row>
    <row r="5187" spans="1:6" ht="15.75" customHeight="1" x14ac:dyDescent="0.15">
      <c r="A5187" s="12"/>
      <c r="B5187" s="13"/>
      <c r="F5187" s="13"/>
    </row>
    <row r="5188" spans="1:6" ht="15.75" customHeight="1" x14ac:dyDescent="0.15">
      <c r="A5188" s="12"/>
      <c r="B5188" s="13"/>
      <c r="F5188" s="13"/>
    </row>
    <row r="5189" spans="1:6" ht="15.75" customHeight="1" x14ac:dyDescent="0.15">
      <c r="A5189" s="12"/>
      <c r="B5189" s="13"/>
      <c r="F5189" s="13"/>
    </row>
    <row r="5190" spans="1:6" ht="15.75" customHeight="1" x14ac:dyDescent="0.15">
      <c r="A5190" s="12"/>
      <c r="B5190" s="13"/>
      <c r="F5190" s="13"/>
    </row>
    <row r="5191" spans="1:6" ht="15.75" customHeight="1" x14ac:dyDescent="0.15">
      <c r="A5191" s="12"/>
      <c r="B5191" s="13"/>
      <c r="F5191" s="13"/>
    </row>
    <row r="5192" spans="1:6" ht="15.75" customHeight="1" x14ac:dyDescent="0.15">
      <c r="A5192" s="12"/>
      <c r="B5192" s="13"/>
      <c r="F5192" s="13"/>
    </row>
    <row r="5193" spans="1:6" ht="15.75" customHeight="1" x14ac:dyDescent="0.15">
      <c r="A5193" s="12"/>
      <c r="B5193" s="13"/>
      <c r="F5193" s="13"/>
    </row>
    <row r="5194" spans="1:6" ht="15.75" customHeight="1" x14ac:dyDescent="0.15">
      <c r="A5194" s="12"/>
      <c r="B5194" s="13"/>
      <c r="F5194" s="13"/>
    </row>
    <row r="5195" spans="1:6" ht="15.75" customHeight="1" x14ac:dyDescent="0.15">
      <c r="A5195" s="12"/>
      <c r="B5195" s="13"/>
      <c r="F5195" s="13"/>
    </row>
    <row r="5196" spans="1:6" ht="15.75" customHeight="1" x14ac:dyDescent="0.15">
      <c r="A5196" s="12"/>
      <c r="B5196" s="13"/>
      <c r="F5196" s="13"/>
    </row>
    <row r="5197" spans="1:6" ht="15.75" customHeight="1" x14ac:dyDescent="0.15">
      <c r="A5197" s="12"/>
      <c r="B5197" s="13"/>
      <c r="F5197" s="13"/>
    </row>
    <row r="5198" spans="1:6" ht="15.75" customHeight="1" x14ac:dyDescent="0.15">
      <c r="A5198" s="12"/>
      <c r="B5198" s="13"/>
      <c r="F5198" s="13"/>
    </row>
    <row r="5199" spans="1:6" ht="15.75" customHeight="1" x14ac:dyDescent="0.15">
      <c r="A5199" s="12"/>
      <c r="B5199" s="13"/>
      <c r="F5199" s="13"/>
    </row>
    <row r="5200" spans="1:6" ht="15.75" customHeight="1" x14ac:dyDescent="0.15">
      <c r="A5200" s="12"/>
      <c r="B5200" s="13"/>
      <c r="F5200" s="13"/>
    </row>
    <row r="5201" spans="1:6" ht="15.75" customHeight="1" x14ac:dyDescent="0.15">
      <c r="A5201" s="12"/>
      <c r="B5201" s="13"/>
      <c r="F5201" s="13"/>
    </row>
    <row r="5202" spans="1:6" ht="15.75" customHeight="1" x14ac:dyDescent="0.15">
      <c r="A5202" s="12"/>
      <c r="B5202" s="13"/>
      <c r="F5202" s="13"/>
    </row>
    <row r="5203" spans="1:6" ht="15.75" customHeight="1" x14ac:dyDescent="0.15">
      <c r="A5203" s="12"/>
      <c r="B5203" s="13"/>
      <c r="F5203" s="13"/>
    </row>
    <row r="5204" spans="1:6" ht="15.75" customHeight="1" x14ac:dyDescent="0.15">
      <c r="A5204" s="12"/>
      <c r="B5204" s="13"/>
      <c r="F5204" s="13"/>
    </row>
    <row r="5205" spans="1:6" ht="15.75" customHeight="1" x14ac:dyDescent="0.15">
      <c r="A5205" s="12"/>
      <c r="B5205" s="13"/>
      <c r="F5205" s="13"/>
    </row>
    <row r="5206" spans="1:6" ht="15.75" customHeight="1" x14ac:dyDescent="0.15">
      <c r="A5206" s="12"/>
      <c r="B5206" s="13"/>
      <c r="F5206" s="13"/>
    </row>
    <row r="5207" spans="1:6" ht="15.75" customHeight="1" x14ac:dyDescent="0.15">
      <c r="A5207" s="12"/>
      <c r="B5207" s="13"/>
      <c r="F5207" s="13"/>
    </row>
    <row r="5208" spans="1:6" ht="15.75" customHeight="1" x14ac:dyDescent="0.15">
      <c r="A5208" s="12"/>
      <c r="B5208" s="13"/>
      <c r="F5208" s="13"/>
    </row>
    <row r="5209" spans="1:6" ht="15.75" customHeight="1" x14ac:dyDescent="0.15">
      <c r="A5209" s="12"/>
      <c r="B5209" s="13"/>
      <c r="F5209" s="13"/>
    </row>
    <row r="5210" spans="1:6" ht="15.75" customHeight="1" x14ac:dyDescent="0.15">
      <c r="A5210" s="12"/>
      <c r="B5210" s="13"/>
      <c r="F5210" s="13"/>
    </row>
    <row r="5211" spans="1:6" ht="15.75" customHeight="1" x14ac:dyDescent="0.15">
      <c r="A5211" s="12"/>
      <c r="B5211" s="13"/>
      <c r="F5211" s="13"/>
    </row>
    <row r="5212" spans="1:6" ht="15.75" customHeight="1" x14ac:dyDescent="0.15">
      <c r="A5212" s="12"/>
      <c r="B5212" s="13"/>
      <c r="F5212" s="13"/>
    </row>
    <row r="5213" spans="1:6" ht="15.75" customHeight="1" x14ac:dyDescent="0.15">
      <c r="A5213" s="12"/>
      <c r="B5213" s="13"/>
      <c r="F5213" s="13"/>
    </row>
    <row r="5214" spans="1:6" ht="15.75" customHeight="1" x14ac:dyDescent="0.15">
      <c r="A5214" s="12"/>
      <c r="B5214" s="13"/>
      <c r="F5214" s="13"/>
    </row>
    <row r="5215" spans="1:6" ht="15.75" customHeight="1" x14ac:dyDescent="0.15">
      <c r="A5215" s="12"/>
      <c r="B5215" s="13"/>
      <c r="F5215" s="13"/>
    </row>
    <row r="5216" spans="1:6" ht="15.75" customHeight="1" x14ac:dyDescent="0.15">
      <c r="A5216" s="12"/>
      <c r="B5216" s="13"/>
      <c r="F5216" s="13"/>
    </row>
    <row r="5217" spans="1:6" ht="15.75" customHeight="1" x14ac:dyDescent="0.15">
      <c r="A5217" s="12"/>
      <c r="B5217" s="13"/>
      <c r="F5217" s="13"/>
    </row>
    <row r="5218" spans="1:6" ht="15.75" customHeight="1" x14ac:dyDescent="0.15">
      <c r="A5218" s="12"/>
      <c r="B5218" s="13"/>
      <c r="F5218" s="13"/>
    </row>
    <row r="5219" spans="1:6" ht="15.75" customHeight="1" x14ac:dyDescent="0.15">
      <c r="A5219" s="12"/>
      <c r="B5219" s="13"/>
      <c r="F5219" s="13"/>
    </row>
    <row r="5220" spans="1:6" ht="15.75" customHeight="1" x14ac:dyDescent="0.15">
      <c r="A5220" s="12"/>
      <c r="B5220" s="13"/>
      <c r="F5220" s="13"/>
    </row>
    <row r="5221" spans="1:6" ht="15.75" customHeight="1" x14ac:dyDescent="0.15">
      <c r="A5221" s="12"/>
      <c r="B5221" s="13"/>
      <c r="F5221" s="13"/>
    </row>
    <row r="5222" spans="1:6" ht="15.75" customHeight="1" x14ac:dyDescent="0.15">
      <c r="A5222" s="12"/>
      <c r="B5222" s="13"/>
      <c r="F5222" s="13"/>
    </row>
    <row r="5223" spans="1:6" ht="15.75" customHeight="1" x14ac:dyDescent="0.15">
      <c r="A5223" s="12"/>
      <c r="B5223" s="13"/>
      <c r="F5223" s="13"/>
    </row>
    <row r="5224" spans="1:6" ht="15.75" customHeight="1" x14ac:dyDescent="0.15">
      <c r="A5224" s="12"/>
      <c r="B5224" s="13"/>
      <c r="F5224" s="13"/>
    </row>
    <row r="5225" spans="1:6" ht="15.75" customHeight="1" x14ac:dyDescent="0.15">
      <c r="A5225" s="12"/>
      <c r="B5225" s="13"/>
      <c r="F5225" s="13"/>
    </row>
    <row r="5226" spans="1:6" ht="15.75" customHeight="1" x14ac:dyDescent="0.15">
      <c r="A5226" s="12"/>
      <c r="B5226" s="13"/>
      <c r="F5226" s="13"/>
    </row>
    <row r="5227" spans="1:6" ht="15.75" customHeight="1" x14ac:dyDescent="0.15">
      <c r="A5227" s="12"/>
      <c r="B5227" s="13"/>
      <c r="F5227" s="13"/>
    </row>
    <row r="5228" spans="1:6" ht="15.75" customHeight="1" x14ac:dyDescent="0.15">
      <c r="A5228" s="12"/>
      <c r="B5228" s="13"/>
      <c r="F5228" s="13"/>
    </row>
    <row r="5229" spans="1:6" ht="15.75" customHeight="1" x14ac:dyDescent="0.15">
      <c r="A5229" s="12"/>
      <c r="B5229" s="13"/>
      <c r="F5229" s="13"/>
    </row>
    <row r="5230" spans="1:6" ht="15.75" customHeight="1" x14ac:dyDescent="0.15">
      <c r="A5230" s="12"/>
      <c r="B5230" s="13"/>
      <c r="F5230" s="13"/>
    </row>
    <row r="5231" spans="1:6" ht="15.75" customHeight="1" x14ac:dyDescent="0.15">
      <c r="A5231" s="12"/>
      <c r="B5231" s="13"/>
      <c r="F5231" s="13"/>
    </row>
    <row r="5232" spans="1:6" ht="15.75" customHeight="1" x14ac:dyDescent="0.15">
      <c r="A5232" s="12"/>
      <c r="B5232" s="13"/>
      <c r="F5232" s="13"/>
    </row>
    <row r="5233" spans="1:6" ht="15.75" customHeight="1" x14ac:dyDescent="0.15">
      <c r="A5233" s="12"/>
      <c r="B5233" s="13"/>
      <c r="F5233" s="13"/>
    </row>
    <row r="5234" spans="1:6" ht="15.75" customHeight="1" x14ac:dyDescent="0.15">
      <c r="A5234" s="12"/>
      <c r="B5234" s="13"/>
      <c r="F5234" s="13"/>
    </row>
    <row r="5235" spans="1:6" ht="15.75" customHeight="1" x14ac:dyDescent="0.15">
      <c r="A5235" s="12"/>
      <c r="B5235" s="13"/>
      <c r="F5235" s="13"/>
    </row>
    <row r="5236" spans="1:6" ht="15.75" customHeight="1" x14ac:dyDescent="0.15">
      <c r="A5236" s="12"/>
      <c r="B5236" s="13"/>
      <c r="F5236" s="13"/>
    </row>
    <row r="5237" spans="1:6" ht="15.75" customHeight="1" x14ac:dyDescent="0.15">
      <c r="A5237" s="12"/>
      <c r="B5237" s="13"/>
      <c r="F5237" s="13"/>
    </row>
    <row r="5238" spans="1:6" ht="15.75" customHeight="1" x14ac:dyDescent="0.15">
      <c r="A5238" s="12"/>
      <c r="B5238" s="13"/>
      <c r="F5238" s="13"/>
    </row>
    <row r="5239" spans="1:6" ht="15.75" customHeight="1" x14ac:dyDescent="0.15">
      <c r="A5239" s="12"/>
      <c r="B5239" s="13"/>
      <c r="F5239" s="13"/>
    </row>
    <row r="5240" spans="1:6" ht="15.75" customHeight="1" x14ac:dyDescent="0.15">
      <c r="A5240" s="12"/>
      <c r="B5240" s="13"/>
      <c r="F5240" s="13"/>
    </row>
    <row r="5241" spans="1:6" ht="15.75" customHeight="1" x14ac:dyDescent="0.15">
      <c r="A5241" s="12"/>
      <c r="B5241" s="13"/>
      <c r="F5241" s="13"/>
    </row>
    <row r="5242" spans="1:6" ht="15.75" customHeight="1" x14ac:dyDescent="0.15">
      <c r="A5242" s="12"/>
      <c r="B5242" s="13"/>
      <c r="F5242" s="13"/>
    </row>
    <row r="5243" spans="1:6" ht="15.75" customHeight="1" x14ac:dyDescent="0.15">
      <c r="A5243" s="12"/>
      <c r="B5243" s="13"/>
      <c r="F5243" s="13"/>
    </row>
    <row r="5244" spans="1:6" ht="15.75" customHeight="1" x14ac:dyDescent="0.15">
      <c r="A5244" s="12"/>
      <c r="B5244" s="13"/>
      <c r="F5244" s="13"/>
    </row>
    <row r="5245" spans="1:6" ht="15.75" customHeight="1" x14ac:dyDescent="0.15">
      <c r="A5245" s="12"/>
      <c r="B5245" s="13"/>
      <c r="F5245" s="13"/>
    </row>
    <row r="5246" spans="1:6" ht="15.75" customHeight="1" x14ac:dyDescent="0.15">
      <c r="A5246" s="12"/>
      <c r="B5246" s="13"/>
      <c r="F5246" s="13"/>
    </row>
    <row r="5247" spans="1:6" ht="15.75" customHeight="1" x14ac:dyDescent="0.15">
      <c r="A5247" s="12"/>
      <c r="B5247" s="13"/>
      <c r="F5247" s="13"/>
    </row>
    <row r="5248" spans="1:6" ht="15.75" customHeight="1" x14ac:dyDescent="0.15">
      <c r="A5248" s="12"/>
      <c r="B5248" s="13"/>
      <c r="F5248" s="13"/>
    </row>
    <row r="5249" spans="1:6" ht="15.75" customHeight="1" x14ac:dyDescent="0.15">
      <c r="A5249" s="12"/>
      <c r="B5249" s="13"/>
      <c r="F5249" s="13"/>
    </row>
    <row r="5250" spans="1:6" ht="15.75" customHeight="1" x14ac:dyDescent="0.15">
      <c r="A5250" s="12"/>
      <c r="B5250" s="13"/>
      <c r="F5250" s="13"/>
    </row>
    <row r="5251" spans="1:6" ht="15.75" customHeight="1" x14ac:dyDescent="0.15">
      <c r="A5251" s="12"/>
      <c r="B5251" s="13"/>
      <c r="F5251" s="13"/>
    </row>
    <row r="5252" spans="1:6" ht="15.75" customHeight="1" x14ac:dyDescent="0.15">
      <c r="A5252" s="12"/>
      <c r="B5252" s="13"/>
      <c r="F5252" s="13"/>
    </row>
    <row r="5253" spans="1:6" ht="15.75" customHeight="1" x14ac:dyDescent="0.15">
      <c r="A5253" s="12"/>
      <c r="B5253" s="13"/>
      <c r="F5253" s="13"/>
    </row>
    <row r="5254" spans="1:6" ht="15.75" customHeight="1" x14ac:dyDescent="0.15">
      <c r="A5254" s="12"/>
      <c r="B5254" s="13"/>
      <c r="F5254" s="13"/>
    </row>
    <row r="5255" spans="1:6" ht="15.75" customHeight="1" x14ac:dyDescent="0.15">
      <c r="A5255" s="12"/>
      <c r="B5255" s="13"/>
      <c r="F5255" s="13"/>
    </row>
    <row r="5256" spans="1:6" ht="15.75" customHeight="1" x14ac:dyDescent="0.15">
      <c r="A5256" s="12"/>
      <c r="B5256" s="13"/>
      <c r="F5256" s="13"/>
    </row>
    <row r="5257" spans="1:6" ht="15.75" customHeight="1" x14ac:dyDescent="0.15">
      <c r="A5257" s="12"/>
      <c r="B5257" s="13"/>
      <c r="F5257" s="13"/>
    </row>
    <row r="5258" spans="1:6" ht="15.75" customHeight="1" x14ac:dyDescent="0.15">
      <c r="A5258" s="12"/>
      <c r="B5258" s="13"/>
      <c r="F5258" s="13"/>
    </row>
    <row r="5259" spans="1:6" ht="15.75" customHeight="1" x14ac:dyDescent="0.15">
      <c r="A5259" s="12"/>
      <c r="B5259" s="13"/>
      <c r="F5259" s="13"/>
    </row>
    <row r="5260" spans="1:6" ht="15.75" customHeight="1" x14ac:dyDescent="0.15">
      <c r="A5260" s="12"/>
      <c r="B5260" s="13"/>
      <c r="F5260" s="13"/>
    </row>
    <row r="5261" spans="1:6" ht="15.75" customHeight="1" x14ac:dyDescent="0.15">
      <c r="A5261" s="12"/>
      <c r="B5261" s="13"/>
      <c r="F5261" s="13"/>
    </row>
    <row r="5262" spans="1:6" ht="15.75" customHeight="1" x14ac:dyDescent="0.15">
      <c r="A5262" s="12"/>
      <c r="B5262" s="13"/>
      <c r="F5262" s="13"/>
    </row>
    <row r="5263" spans="1:6" ht="15.75" customHeight="1" x14ac:dyDescent="0.15">
      <c r="A5263" s="12"/>
      <c r="B5263" s="13"/>
      <c r="F5263" s="13"/>
    </row>
    <row r="5264" spans="1:6" ht="15.75" customHeight="1" x14ac:dyDescent="0.15">
      <c r="A5264" s="12"/>
      <c r="B5264" s="13"/>
      <c r="F5264" s="13"/>
    </row>
    <row r="5265" spans="1:6" ht="15.75" customHeight="1" x14ac:dyDescent="0.15">
      <c r="A5265" s="12"/>
      <c r="B5265" s="13"/>
      <c r="F5265" s="13"/>
    </row>
    <row r="5266" spans="1:6" ht="15.75" customHeight="1" x14ac:dyDescent="0.15">
      <c r="A5266" s="12"/>
      <c r="B5266" s="13"/>
      <c r="F5266" s="13"/>
    </row>
    <row r="5267" spans="1:6" ht="15.75" customHeight="1" x14ac:dyDescent="0.15">
      <c r="A5267" s="12"/>
      <c r="B5267" s="13"/>
      <c r="F5267" s="13"/>
    </row>
    <row r="5268" spans="1:6" ht="15.75" customHeight="1" x14ac:dyDescent="0.15">
      <c r="A5268" s="12"/>
      <c r="B5268" s="13"/>
      <c r="F5268" s="13"/>
    </row>
    <row r="5269" spans="1:6" ht="15.75" customHeight="1" x14ac:dyDescent="0.15">
      <c r="A5269" s="12"/>
      <c r="B5269" s="13"/>
      <c r="F5269" s="13"/>
    </row>
    <row r="5270" spans="1:6" ht="15.75" customHeight="1" x14ac:dyDescent="0.15">
      <c r="A5270" s="12"/>
      <c r="B5270" s="13"/>
      <c r="F5270" s="13"/>
    </row>
    <row r="5271" spans="1:6" ht="15.75" customHeight="1" x14ac:dyDescent="0.15">
      <c r="A5271" s="12"/>
      <c r="B5271" s="13"/>
      <c r="F5271" s="13"/>
    </row>
    <row r="5272" spans="1:6" ht="15.75" customHeight="1" x14ac:dyDescent="0.15">
      <c r="A5272" s="12"/>
      <c r="B5272" s="13"/>
      <c r="F5272" s="13"/>
    </row>
    <row r="5273" spans="1:6" ht="15.75" customHeight="1" x14ac:dyDescent="0.15">
      <c r="A5273" s="12"/>
      <c r="B5273" s="13"/>
      <c r="F5273" s="13"/>
    </row>
    <row r="5274" spans="1:6" ht="15.75" customHeight="1" x14ac:dyDescent="0.15">
      <c r="A5274" s="12"/>
      <c r="B5274" s="13"/>
      <c r="F5274" s="13"/>
    </row>
    <row r="5275" spans="1:6" ht="15.75" customHeight="1" x14ac:dyDescent="0.15">
      <c r="A5275" s="12"/>
      <c r="B5275" s="13"/>
      <c r="F5275" s="13"/>
    </row>
    <row r="5276" spans="1:6" ht="15.75" customHeight="1" x14ac:dyDescent="0.15">
      <c r="A5276" s="12"/>
      <c r="B5276" s="13"/>
      <c r="F5276" s="13"/>
    </row>
    <row r="5277" spans="1:6" ht="15.75" customHeight="1" x14ac:dyDescent="0.15">
      <c r="A5277" s="12"/>
      <c r="B5277" s="13"/>
      <c r="F5277" s="13"/>
    </row>
    <row r="5278" spans="1:6" ht="15.75" customHeight="1" x14ac:dyDescent="0.15">
      <c r="A5278" s="12"/>
      <c r="B5278" s="13"/>
      <c r="F5278" s="13"/>
    </row>
    <row r="5279" spans="1:6" ht="15.75" customHeight="1" x14ac:dyDescent="0.15">
      <c r="A5279" s="12"/>
      <c r="B5279" s="13"/>
      <c r="F5279" s="13"/>
    </row>
    <row r="5280" spans="1:6" ht="15.75" customHeight="1" x14ac:dyDescent="0.15">
      <c r="A5280" s="12"/>
      <c r="B5280" s="13"/>
      <c r="F5280" s="13"/>
    </row>
    <row r="5281" spans="1:6" ht="15.75" customHeight="1" x14ac:dyDescent="0.15">
      <c r="A5281" s="12"/>
      <c r="B5281" s="13"/>
      <c r="F5281" s="13"/>
    </row>
    <row r="5282" spans="1:6" ht="15.75" customHeight="1" x14ac:dyDescent="0.15">
      <c r="A5282" s="12"/>
      <c r="B5282" s="13"/>
      <c r="F5282" s="13"/>
    </row>
    <row r="5283" spans="1:6" ht="15.75" customHeight="1" x14ac:dyDescent="0.15">
      <c r="A5283" s="12"/>
      <c r="B5283" s="13"/>
      <c r="F5283" s="13"/>
    </row>
    <row r="5284" spans="1:6" ht="15.75" customHeight="1" x14ac:dyDescent="0.15">
      <c r="A5284" s="12"/>
      <c r="B5284" s="13"/>
      <c r="F5284" s="13"/>
    </row>
    <row r="5285" spans="1:6" ht="15.75" customHeight="1" x14ac:dyDescent="0.15">
      <c r="A5285" s="12"/>
      <c r="B5285" s="13"/>
      <c r="F5285" s="13"/>
    </row>
    <row r="5286" spans="1:6" ht="15.75" customHeight="1" x14ac:dyDescent="0.15">
      <c r="A5286" s="12"/>
      <c r="B5286" s="13"/>
      <c r="F5286" s="13"/>
    </row>
    <row r="5287" spans="1:6" ht="15.75" customHeight="1" x14ac:dyDescent="0.15">
      <c r="A5287" s="12"/>
      <c r="B5287" s="13"/>
      <c r="F5287" s="13"/>
    </row>
    <row r="5288" spans="1:6" ht="15.75" customHeight="1" x14ac:dyDescent="0.15">
      <c r="A5288" s="12"/>
      <c r="B5288" s="13"/>
      <c r="F5288" s="13"/>
    </row>
    <row r="5289" spans="1:6" ht="15.75" customHeight="1" x14ac:dyDescent="0.15">
      <c r="A5289" s="12"/>
      <c r="B5289" s="13"/>
      <c r="F5289" s="13"/>
    </row>
    <row r="5290" spans="1:6" ht="15.75" customHeight="1" x14ac:dyDescent="0.15">
      <c r="A5290" s="12"/>
      <c r="B5290" s="13"/>
      <c r="F5290" s="13"/>
    </row>
    <row r="5291" spans="1:6" ht="15.75" customHeight="1" x14ac:dyDescent="0.15">
      <c r="A5291" s="12"/>
      <c r="B5291" s="13"/>
      <c r="F5291" s="13"/>
    </row>
    <row r="5292" spans="1:6" ht="15.75" customHeight="1" x14ac:dyDescent="0.15">
      <c r="A5292" s="12"/>
      <c r="B5292" s="13"/>
      <c r="F5292" s="13"/>
    </row>
    <row r="5293" spans="1:6" ht="15.75" customHeight="1" x14ac:dyDescent="0.15">
      <c r="A5293" s="12"/>
      <c r="B5293" s="13"/>
      <c r="F5293" s="13"/>
    </row>
    <row r="5294" spans="1:6" ht="15.75" customHeight="1" x14ac:dyDescent="0.15">
      <c r="A5294" s="12"/>
      <c r="B5294" s="13"/>
      <c r="F5294" s="13"/>
    </row>
    <row r="5295" spans="1:6" ht="15.75" customHeight="1" x14ac:dyDescent="0.15">
      <c r="A5295" s="12"/>
      <c r="B5295" s="13"/>
      <c r="F5295" s="13"/>
    </row>
    <row r="5296" spans="1:6" ht="15.75" customHeight="1" x14ac:dyDescent="0.15">
      <c r="A5296" s="12"/>
      <c r="B5296" s="13"/>
      <c r="F5296" s="13"/>
    </row>
    <row r="5297" spans="1:6" ht="15.75" customHeight="1" x14ac:dyDescent="0.15">
      <c r="A5297" s="12"/>
      <c r="B5297" s="13"/>
      <c r="F5297" s="13"/>
    </row>
    <row r="5298" spans="1:6" ht="15.75" customHeight="1" x14ac:dyDescent="0.15">
      <c r="A5298" s="12"/>
      <c r="B5298" s="13"/>
      <c r="F5298" s="13"/>
    </row>
    <row r="5299" spans="1:6" ht="15.75" customHeight="1" x14ac:dyDescent="0.15">
      <c r="A5299" s="12"/>
      <c r="B5299" s="13"/>
      <c r="F5299" s="13"/>
    </row>
    <row r="5300" spans="1:6" ht="15.75" customHeight="1" x14ac:dyDescent="0.15">
      <c r="A5300" s="12"/>
      <c r="B5300" s="13"/>
      <c r="F5300" s="13"/>
    </row>
    <row r="5301" spans="1:6" ht="15.75" customHeight="1" x14ac:dyDescent="0.15">
      <c r="A5301" s="12"/>
      <c r="B5301" s="13"/>
      <c r="F5301" s="13"/>
    </row>
    <row r="5302" spans="1:6" ht="15.75" customHeight="1" x14ac:dyDescent="0.15">
      <c r="A5302" s="12"/>
      <c r="B5302" s="13"/>
      <c r="F5302" s="13"/>
    </row>
    <row r="5303" spans="1:6" ht="15.75" customHeight="1" x14ac:dyDescent="0.15">
      <c r="A5303" s="12"/>
      <c r="B5303" s="13"/>
      <c r="F5303" s="13"/>
    </row>
    <row r="5304" spans="1:6" ht="15.75" customHeight="1" x14ac:dyDescent="0.15">
      <c r="A5304" s="12"/>
      <c r="B5304" s="13"/>
      <c r="F5304" s="13"/>
    </row>
    <row r="5305" spans="1:6" ht="15.75" customHeight="1" x14ac:dyDescent="0.15">
      <c r="A5305" s="12"/>
      <c r="B5305" s="13"/>
      <c r="F5305" s="13"/>
    </row>
    <row r="5306" spans="1:6" ht="15.75" customHeight="1" x14ac:dyDescent="0.15">
      <c r="A5306" s="12"/>
      <c r="B5306" s="13"/>
      <c r="F5306" s="13"/>
    </row>
    <row r="5307" spans="1:6" ht="15.75" customHeight="1" x14ac:dyDescent="0.15">
      <c r="A5307" s="12"/>
      <c r="B5307" s="13"/>
      <c r="F5307" s="13"/>
    </row>
    <row r="5308" spans="1:6" ht="15.75" customHeight="1" x14ac:dyDescent="0.15">
      <c r="A5308" s="12"/>
      <c r="B5308" s="13"/>
      <c r="F5308" s="13"/>
    </row>
    <row r="5309" spans="1:6" ht="15.75" customHeight="1" x14ac:dyDescent="0.15">
      <c r="A5309" s="12"/>
      <c r="B5309" s="13"/>
      <c r="F5309" s="13"/>
    </row>
    <row r="5310" spans="1:6" ht="15.75" customHeight="1" x14ac:dyDescent="0.15">
      <c r="A5310" s="12"/>
      <c r="B5310" s="13"/>
      <c r="F5310" s="13"/>
    </row>
    <row r="5311" spans="1:6" ht="15.75" customHeight="1" x14ac:dyDescent="0.15">
      <c r="A5311" s="12"/>
      <c r="B5311" s="13"/>
      <c r="F5311" s="13"/>
    </row>
    <row r="5312" spans="1:6" ht="15.75" customHeight="1" x14ac:dyDescent="0.15">
      <c r="A5312" s="12"/>
      <c r="B5312" s="13"/>
      <c r="F5312" s="13"/>
    </row>
    <row r="5313" spans="1:6" ht="15.75" customHeight="1" x14ac:dyDescent="0.15">
      <c r="A5313" s="12"/>
      <c r="B5313" s="13"/>
      <c r="F5313" s="13"/>
    </row>
    <row r="5314" spans="1:6" ht="15.75" customHeight="1" x14ac:dyDescent="0.15">
      <c r="A5314" s="12"/>
      <c r="B5314" s="13"/>
      <c r="F5314" s="13"/>
    </row>
    <row r="5315" spans="1:6" ht="15.75" customHeight="1" x14ac:dyDescent="0.15">
      <c r="A5315" s="12"/>
      <c r="B5315" s="13"/>
      <c r="F5315" s="13"/>
    </row>
    <row r="5316" spans="1:6" ht="15.75" customHeight="1" x14ac:dyDescent="0.15">
      <c r="A5316" s="12"/>
      <c r="B5316" s="13"/>
      <c r="F5316" s="13"/>
    </row>
    <row r="5317" spans="1:6" ht="15.75" customHeight="1" x14ac:dyDescent="0.15">
      <c r="A5317" s="12"/>
      <c r="B5317" s="13"/>
      <c r="F5317" s="13"/>
    </row>
    <row r="5318" spans="1:6" ht="15.75" customHeight="1" x14ac:dyDescent="0.15">
      <c r="A5318" s="12"/>
      <c r="B5318" s="13"/>
      <c r="F5318" s="13"/>
    </row>
    <row r="5319" spans="1:6" ht="15.75" customHeight="1" x14ac:dyDescent="0.15">
      <c r="A5319" s="12"/>
      <c r="B5319" s="13"/>
      <c r="F5319" s="13"/>
    </row>
    <row r="5320" spans="1:6" ht="15.75" customHeight="1" x14ac:dyDescent="0.15">
      <c r="A5320" s="12"/>
      <c r="B5320" s="13"/>
      <c r="F5320" s="13"/>
    </row>
    <row r="5321" spans="1:6" ht="15.75" customHeight="1" x14ac:dyDescent="0.15">
      <c r="A5321" s="12"/>
      <c r="B5321" s="13"/>
      <c r="F5321" s="13"/>
    </row>
    <row r="5322" spans="1:6" ht="15.75" customHeight="1" x14ac:dyDescent="0.15">
      <c r="A5322" s="12"/>
      <c r="B5322" s="13"/>
      <c r="F5322" s="13"/>
    </row>
    <row r="5323" spans="1:6" ht="15.75" customHeight="1" x14ac:dyDescent="0.15">
      <c r="A5323" s="12"/>
      <c r="B5323" s="13"/>
      <c r="F5323" s="13"/>
    </row>
    <row r="5324" spans="1:6" ht="15.75" customHeight="1" x14ac:dyDescent="0.15">
      <c r="A5324" s="12"/>
      <c r="B5324" s="13"/>
      <c r="F5324" s="13"/>
    </row>
    <row r="5325" spans="1:6" ht="15.75" customHeight="1" x14ac:dyDescent="0.15">
      <c r="A5325" s="12"/>
      <c r="B5325" s="13"/>
      <c r="F5325" s="13"/>
    </row>
    <row r="5326" spans="1:6" ht="15.75" customHeight="1" x14ac:dyDescent="0.15">
      <c r="A5326" s="12"/>
      <c r="B5326" s="13"/>
      <c r="F5326" s="13"/>
    </row>
    <row r="5327" spans="1:6" ht="15.75" customHeight="1" x14ac:dyDescent="0.15">
      <c r="A5327" s="12"/>
      <c r="B5327" s="13"/>
      <c r="F5327" s="13"/>
    </row>
    <row r="5328" spans="1:6" ht="15.75" customHeight="1" x14ac:dyDescent="0.15">
      <c r="A5328" s="12"/>
      <c r="B5328" s="13"/>
      <c r="F5328" s="13"/>
    </row>
    <row r="5329" spans="1:6" ht="15.75" customHeight="1" x14ac:dyDescent="0.15">
      <c r="A5329" s="12"/>
      <c r="B5329" s="13"/>
      <c r="F5329" s="13"/>
    </row>
    <row r="5330" spans="1:6" ht="15.75" customHeight="1" x14ac:dyDescent="0.15">
      <c r="A5330" s="12"/>
      <c r="B5330" s="13"/>
      <c r="F5330" s="13"/>
    </row>
    <row r="5331" spans="1:6" ht="15.75" customHeight="1" x14ac:dyDescent="0.15">
      <c r="A5331" s="12"/>
      <c r="B5331" s="13"/>
      <c r="F5331" s="13"/>
    </row>
    <row r="5332" spans="1:6" ht="15.75" customHeight="1" x14ac:dyDescent="0.15">
      <c r="A5332" s="12"/>
      <c r="B5332" s="13"/>
      <c r="F5332" s="13"/>
    </row>
    <row r="5333" spans="1:6" ht="15.75" customHeight="1" x14ac:dyDescent="0.15">
      <c r="A5333" s="12"/>
      <c r="B5333" s="13"/>
      <c r="F5333" s="13"/>
    </row>
    <row r="5334" spans="1:6" ht="15.75" customHeight="1" x14ac:dyDescent="0.15">
      <c r="A5334" s="12"/>
      <c r="B5334" s="13"/>
      <c r="F5334" s="13"/>
    </row>
    <row r="5335" spans="1:6" ht="15.75" customHeight="1" x14ac:dyDescent="0.15">
      <c r="A5335" s="12"/>
      <c r="B5335" s="13"/>
      <c r="F5335" s="13"/>
    </row>
    <row r="5336" spans="1:6" ht="15.75" customHeight="1" x14ac:dyDescent="0.15">
      <c r="A5336" s="12"/>
      <c r="B5336" s="13"/>
      <c r="F5336" s="13"/>
    </row>
    <row r="5337" spans="1:6" ht="15.75" customHeight="1" x14ac:dyDescent="0.15">
      <c r="A5337" s="12"/>
      <c r="B5337" s="13"/>
      <c r="F5337" s="13"/>
    </row>
    <row r="5338" spans="1:6" ht="15.75" customHeight="1" x14ac:dyDescent="0.15">
      <c r="A5338" s="12"/>
      <c r="B5338" s="13"/>
      <c r="F5338" s="13"/>
    </row>
    <row r="5339" spans="1:6" ht="15.75" customHeight="1" x14ac:dyDescent="0.15">
      <c r="A5339" s="12"/>
      <c r="B5339" s="13"/>
      <c r="F5339" s="13"/>
    </row>
    <row r="5340" spans="1:6" ht="15.75" customHeight="1" x14ac:dyDescent="0.15">
      <c r="A5340" s="12"/>
      <c r="B5340" s="13"/>
      <c r="F5340" s="13"/>
    </row>
    <row r="5341" spans="1:6" ht="15.75" customHeight="1" x14ac:dyDescent="0.15">
      <c r="A5341" s="12"/>
      <c r="B5341" s="13"/>
      <c r="F5341" s="13"/>
    </row>
    <row r="5342" spans="1:6" ht="15.75" customHeight="1" x14ac:dyDescent="0.15">
      <c r="A5342" s="12"/>
      <c r="B5342" s="13"/>
      <c r="F5342" s="13"/>
    </row>
    <row r="5343" spans="1:6" ht="15.75" customHeight="1" x14ac:dyDescent="0.15">
      <c r="A5343" s="12"/>
      <c r="B5343" s="13"/>
      <c r="F5343" s="13"/>
    </row>
    <row r="5344" spans="1:6" ht="15.75" customHeight="1" x14ac:dyDescent="0.15">
      <c r="A5344" s="12"/>
      <c r="B5344" s="13"/>
      <c r="F5344" s="13"/>
    </row>
    <row r="5345" spans="1:6" ht="15.75" customHeight="1" x14ac:dyDescent="0.15">
      <c r="A5345" s="12"/>
      <c r="B5345" s="13"/>
      <c r="F5345" s="13"/>
    </row>
    <row r="5346" spans="1:6" ht="15.75" customHeight="1" x14ac:dyDescent="0.15">
      <c r="A5346" s="12"/>
      <c r="B5346" s="13"/>
      <c r="F5346" s="13"/>
    </row>
    <row r="5347" spans="1:6" ht="15.75" customHeight="1" x14ac:dyDescent="0.15">
      <c r="A5347" s="12"/>
      <c r="B5347" s="13"/>
      <c r="F5347" s="13"/>
    </row>
    <row r="5348" spans="1:6" ht="15.75" customHeight="1" x14ac:dyDescent="0.15">
      <c r="A5348" s="12"/>
      <c r="B5348" s="13"/>
      <c r="F5348" s="13"/>
    </row>
    <row r="5349" spans="1:6" ht="15.75" customHeight="1" x14ac:dyDescent="0.15">
      <c r="A5349" s="12"/>
      <c r="B5349" s="13"/>
      <c r="F5349" s="13"/>
    </row>
    <row r="5350" spans="1:6" ht="15.75" customHeight="1" x14ac:dyDescent="0.15">
      <c r="A5350" s="12"/>
      <c r="B5350" s="13"/>
      <c r="F5350" s="13"/>
    </row>
    <row r="5351" spans="1:6" ht="15.75" customHeight="1" x14ac:dyDescent="0.15">
      <c r="A5351" s="12"/>
      <c r="B5351" s="13"/>
      <c r="F5351" s="13"/>
    </row>
    <row r="5352" spans="1:6" ht="15.75" customHeight="1" x14ac:dyDescent="0.15">
      <c r="A5352" s="12"/>
      <c r="B5352" s="13"/>
      <c r="F5352" s="13"/>
    </row>
    <row r="5353" spans="1:6" ht="15.75" customHeight="1" x14ac:dyDescent="0.15">
      <c r="A5353" s="12"/>
      <c r="B5353" s="13"/>
      <c r="F5353" s="13"/>
    </row>
    <row r="5354" spans="1:6" ht="15.75" customHeight="1" x14ac:dyDescent="0.15">
      <c r="A5354" s="12"/>
      <c r="B5354" s="13"/>
      <c r="F5354" s="13"/>
    </row>
    <row r="5355" spans="1:6" ht="15.75" customHeight="1" x14ac:dyDescent="0.15">
      <c r="A5355" s="12"/>
      <c r="B5355" s="13"/>
      <c r="F5355" s="13"/>
    </row>
    <row r="5356" spans="1:6" ht="15.75" customHeight="1" x14ac:dyDescent="0.15">
      <c r="A5356" s="12"/>
      <c r="B5356" s="13"/>
      <c r="F5356" s="13"/>
    </row>
    <row r="5357" spans="1:6" ht="15.75" customHeight="1" x14ac:dyDescent="0.15">
      <c r="A5357" s="12"/>
      <c r="B5357" s="13"/>
      <c r="F5357" s="13"/>
    </row>
    <row r="5358" spans="1:6" ht="15.75" customHeight="1" x14ac:dyDescent="0.15">
      <c r="A5358" s="12"/>
      <c r="B5358" s="13"/>
      <c r="F5358" s="13"/>
    </row>
    <row r="5359" spans="1:6" ht="15.75" customHeight="1" x14ac:dyDescent="0.15">
      <c r="A5359" s="12"/>
      <c r="B5359" s="13"/>
      <c r="F5359" s="13"/>
    </row>
    <row r="5360" spans="1:6" ht="15.75" customHeight="1" x14ac:dyDescent="0.15">
      <c r="A5360" s="12"/>
      <c r="B5360" s="13"/>
      <c r="F5360" s="13"/>
    </row>
    <row r="5361" spans="1:6" ht="15.75" customHeight="1" x14ac:dyDescent="0.15">
      <c r="A5361" s="12"/>
      <c r="B5361" s="13"/>
      <c r="F5361" s="13"/>
    </row>
    <row r="5362" spans="1:6" ht="15.75" customHeight="1" x14ac:dyDescent="0.15">
      <c r="A5362" s="12"/>
      <c r="B5362" s="13"/>
      <c r="F5362" s="13"/>
    </row>
    <row r="5363" spans="1:6" ht="15.75" customHeight="1" x14ac:dyDescent="0.15">
      <c r="A5363" s="12"/>
      <c r="B5363" s="13"/>
      <c r="F5363" s="13"/>
    </row>
    <row r="5364" spans="1:6" ht="15.75" customHeight="1" x14ac:dyDescent="0.15">
      <c r="A5364" s="12"/>
      <c r="B5364" s="13"/>
      <c r="F5364" s="13"/>
    </row>
    <row r="5365" spans="1:6" ht="15.75" customHeight="1" x14ac:dyDescent="0.15">
      <c r="A5365" s="12"/>
      <c r="B5365" s="13"/>
      <c r="F5365" s="13"/>
    </row>
    <row r="5366" spans="1:6" ht="15.75" customHeight="1" x14ac:dyDescent="0.15">
      <c r="A5366" s="12"/>
      <c r="B5366" s="13"/>
      <c r="F5366" s="13"/>
    </row>
    <row r="5367" spans="1:6" ht="15.75" customHeight="1" x14ac:dyDescent="0.15">
      <c r="A5367" s="12"/>
      <c r="B5367" s="13"/>
      <c r="F5367" s="13"/>
    </row>
    <row r="5368" spans="1:6" ht="15.75" customHeight="1" x14ac:dyDescent="0.15">
      <c r="A5368" s="12"/>
      <c r="B5368" s="13"/>
      <c r="F5368" s="13"/>
    </row>
    <row r="5369" spans="1:6" ht="15.75" customHeight="1" x14ac:dyDescent="0.15">
      <c r="A5369" s="12"/>
      <c r="B5369" s="13"/>
      <c r="F5369" s="13"/>
    </row>
    <row r="5370" spans="1:6" ht="15.75" customHeight="1" x14ac:dyDescent="0.15">
      <c r="A5370" s="12"/>
      <c r="B5370" s="13"/>
      <c r="F5370" s="13"/>
    </row>
    <row r="5371" spans="1:6" ht="15.75" customHeight="1" x14ac:dyDescent="0.15">
      <c r="A5371" s="12"/>
      <c r="B5371" s="13"/>
      <c r="F5371" s="13"/>
    </row>
    <row r="5372" spans="1:6" ht="15.75" customHeight="1" x14ac:dyDescent="0.15">
      <c r="A5372" s="12"/>
      <c r="B5372" s="13"/>
      <c r="F5372" s="13"/>
    </row>
    <row r="5373" spans="1:6" ht="15.75" customHeight="1" x14ac:dyDescent="0.15">
      <c r="A5373" s="12"/>
      <c r="B5373" s="13"/>
      <c r="F5373" s="13"/>
    </row>
    <row r="5374" spans="1:6" ht="15.75" customHeight="1" x14ac:dyDescent="0.15">
      <c r="A5374" s="12"/>
      <c r="B5374" s="13"/>
      <c r="F5374" s="13"/>
    </row>
    <row r="5375" spans="1:6" ht="15.75" customHeight="1" x14ac:dyDescent="0.15">
      <c r="A5375" s="12"/>
      <c r="B5375" s="13"/>
      <c r="F5375" s="13"/>
    </row>
    <row r="5376" spans="1:6" ht="15.75" customHeight="1" x14ac:dyDescent="0.15">
      <c r="A5376" s="12"/>
      <c r="B5376" s="13"/>
      <c r="F5376" s="13"/>
    </row>
    <row r="5377" spans="1:6" ht="15.75" customHeight="1" x14ac:dyDescent="0.15">
      <c r="A5377" s="12"/>
      <c r="B5377" s="13"/>
      <c r="F5377" s="13"/>
    </row>
    <row r="5378" spans="1:6" ht="15.75" customHeight="1" x14ac:dyDescent="0.15">
      <c r="A5378" s="12"/>
      <c r="B5378" s="13"/>
      <c r="F5378" s="13"/>
    </row>
    <row r="5379" spans="1:6" ht="15.75" customHeight="1" x14ac:dyDescent="0.15">
      <c r="A5379" s="12"/>
      <c r="B5379" s="13"/>
      <c r="F5379" s="13"/>
    </row>
    <row r="5380" spans="1:6" ht="15.75" customHeight="1" x14ac:dyDescent="0.15">
      <c r="A5380" s="12"/>
      <c r="B5380" s="13"/>
      <c r="F5380" s="13"/>
    </row>
    <row r="5381" spans="1:6" ht="15.75" customHeight="1" x14ac:dyDescent="0.15">
      <c r="A5381" s="12"/>
      <c r="B5381" s="13"/>
      <c r="F5381" s="13"/>
    </row>
    <row r="5382" spans="1:6" ht="15.75" customHeight="1" x14ac:dyDescent="0.15">
      <c r="A5382" s="12"/>
      <c r="B5382" s="13"/>
      <c r="F5382" s="13"/>
    </row>
    <row r="5383" spans="1:6" ht="15.75" customHeight="1" x14ac:dyDescent="0.15">
      <c r="A5383" s="12"/>
      <c r="B5383" s="13"/>
      <c r="F5383" s="13"/>
    </row>
    <row r="5384" spans="1:6" ht="15.75" customHeight="1" x14ac:dyDescent="0.15">
      <c r="A5384" s="12"/>
      <c r="B5384" s="13"/>
      <c r="F5384" s="13"/>
    </row>
    <row r="5385" spans="1:6" ht="15.75" customHeight="1" x14ac:dyDescent="0.15">
      <c r="A5385" s="12"/>
      <c r="B5385" s="13"/>
      <c r="F5385" s="13"/>
    </row>
    <row r="5386" spans="1:6" ht="15.75" customHeight="1" x14ac:dyDescent="0.15">
      <c r="A5386" s="12"/>
      <c r="B5386" s="13"/>
      <c r="F5386" s="13"/>
    </row>
    <row r="5387" spans="1:6" ht="15.75" customHeight="1" x14ac:dyDescent="0.15">
      <c r="A5387" s="12"/>
      <c r="B5387" s="13"/>
      <c r="F5387" s="13"/>
    </row>
    <row r="5388" spans="1:6" ht="15.75" customHeight="1" x14ac:dyDescent="0.15">
      <c r="A5388" s="12"/>
      <c r="B5388" s="13"/>
      <c r="F5388" s="13"/>
    </row>
    <row r="5389" spans="1:6" ht="15.75" customHeight="1" x14ac:dyDescent="0.15">
      <c r="A5389" s="12"/>
      <c r="B5389" s="13"/>
      <c r="F5389" s="13"/>
    </row>
    <row r="5390" spans="1:6" ht="15.75" customHeight="1" x14ac:dyDescent="0.15">
      <c r="A5390" s="12"/>
      <c r="B5390" s="13"/>
      <c r="F5390" s="13"/>
    </row>
    <row r="5391" spans="1:6" ht="15.75" customHeight="1" x14ac:dyDescent="0.15">
      <c r="A5391" s="12"/>
      <c r="B5391" s="13"/>
      <c r="F5391" s="13"/>
    </row>
    <row r="5392" spans="1:6" ht="15.75" customHeight="1" x14ac:dyDescent="0.15">
      <c r="A5392" s="12"/>
      <c r="B5392" s="13"/>
      <c r="F5392" s="13"/>
    </row>
    <row r="5393" spans="1:6" ht="15.75" customHeight="1" x14ac:dyDescent="0.15">
      <c r="A5393" s="12"/>
      <c r="B5393" s="13"/>
      <c r="F5393" s="13"/>
    </row>
    <row r="5394" spans="1:6" ht="15.75" customHeight="1" x14ac:dyDescent="0.15">
      <c r="A5394" s="12"/>
      <c r="B5394" s="13"/>
      <c r="F5394" s="13"/>
    </row>
    <row r="5395" spans="1:6" ht="15.75" customHeight="1" x14ac:dyDescent="0.15">
      <c r="A5395" s="12"/>
      <c r="B5395" s="13"/>
      <c r="F5395" s="13"/>
    </row>
    <row r="5396" spans="1:6" ht="15.75" customHeight="1" x14ac:dyDescent="0.15">
      <c r="A5396" s="12"/>
      <c r="B5396" s="13"/>
      <c r="F5396" s="13"/>
    </row>
    <row r="5397" spans="1:6" ht="15.75" customHeight="1" x14ac:dyDescent="0.15">
      <c r="A5397" s="12"/>
      <c r="B5397" s="13"/>
      <c r="F5397" s="13"/>
    </row>
    <row r="5398" spans="1:6" ht="15.75" customHeight="1" x14ac:dyDescent="0.15">
      <c r="A5398" s="12"/>
      <c r="B5398" s="13"/>
      <c r="F5398" s="13"/>
    </row>
    <row r="5399" spans="1:6" ht="15.75" customHeight="1" x14ac:dyDescent="0.15">
      <c r="A5399" s="12"/>
      <c r="B5399" s="13"/>
      <c r="F5399" s="13"/>
    </row>
    <row r="5400" spans="1:6" ht="15.75" customHeight="1" x14ac:dyDescent="0.15">
      <c r="A5400" s="12"/>
      <c r="B5400" s="13"/>
      <c r="F5400" s="13"/>
    </row>
    <row r="5401" spans="1:6" ht="15.75" customHeight="1" x14ac:dyDescent="0.15">
      <c r="A5401" s="12"/>
      <c r="B5401" s="13"/>
      <c r="F5401" s="13"/>
    </row>
    <row r="5402" spans="1:6" ht="15.75" customHeight="1" x14ac:dyDescent="0.15">
      <c r="A5402" s="12"/>
      <c r="B5402" s="13"/>
      <c r="F5402" s="13"/>
    </row>
    <row r="5403" spans="1:6" ht="15.75" customHeight="1" x14ac:dyDescent="0.15">
      <c r="A5403" s="12"/>
      <c r="B5403" s="13"/>
      <c r="F5403" s="13"/>
    </row>
    <row r="5404" spans="1:6" ht="15.75" customHeight="1" x14ac:dyDescent="0.15">
      <c r="A5404" s="12"/>
      <c r="B5404" s="13"/>
      <c r="F5404" s="13"/>
    </row>
    <row r="5405" spans="1:6" ht="15.75" customHeight="1" x14ac:dyDescent="0.15">
      <c r="A5405" s="12"/>
      <c r="B5405" s="13"/>
      <c r="F5405" s="13"/>
    </row>
    <row r="5406" spans="1:6" ht="15.75" customHeight="1" x14ac:dyDescent="0.15">
      <c r="A5406" s="12"/>
      <c r="B5406" s="13"/>
      <c r="F5406" s="13"/>
    </row>
    <row r="5407" spans="1:6" ht="15.75" customHeight="1" x14ac:dyDescent="0.15">
      <c r="A5407" s="12"/>
      <c r="B5407" s="13"/>
      <c r="F5407" s="13"/>
    </row>
    <row r="5408" spans="1:6" ht="15.75" customHeight="1" x14ac:dyDescent="0.15">
      <c r="A5408" s="12"/>
      <c r="B5408" s="13"/>
      <c r="F5408" s="13"/>
    </row>
    <row r="5409" spans="1:6" ht="15.75" customHeight="1" x14ac:dyDescent="0.15">
      <c r="A5409" s="12"/>
      <c r="B5409" s="13"/>
      <c r="F5409" s="13"/>
    </row>
    <row r="5410" spans="1:6" ht="15.75" customHeight="1" x14ac:dyDescent="0.15">
      <c r="A5410" s="12"/>
      <c r="B5410" s="13"/>
      <c r="F5410" s="13"/>
    </row>
    <row r="5411" spans="1:6" ht="15.75" customHeight="1" x14ac:dyDescent="0.15">
      <c r="A5411" s="12"/>
      <c r="B5411" s="13"/>
      <c r="F5411" s="13"/>
    </row>
    <row r="5412" spans="1:6" ht="15.75" customHeight="1" x14ac:dyDescent="0.15">
      <c r="A5412" s="12"/>
      <c r="B5412" s="13"/>
      <c r="F5412" s="13"/>
    </row>
    <row r="5413" spans="1:6" ht="15.75" customHeight="1" x14ac:dyDescent="0.15">
      <c r="A5413" s="12"/>
      <c r="B5413" s="13"/>
      <c r="F5413" s="13"/>
    </row>
    <row r="5414" spans="1:6" ht="15.75" customHeight="1" x14ac:dyDescent="0.15">
      <c r="A5414" s="12"/>
      <c r="B5414" s="13"/>
      <c r="F5414" s="13"/>
    </row>
    <row r="5415" spans="1:6" ht="15.75" customHeight="1" x14ac:dyDescent="0.15">
      <c r="A5415" s="12"/>
      <c r="B5415" s="13"/>
      <c r="F5415" s="13"/>
    </row>
    <row r="5416" spans="1:6" ht="15.75" customHeight="1" x14ac:dyDescent="0.15">
      <c r="A5416" s="12"/>
      <c r="B5416" s="13"/>
      <c r="F5416" s="13"/>
    </row>
    <row r="5417" spans="1:6" ht="15.75" customHeight="1" x14ac:dyDescent="0.15">
      <c r="A5417" s="12"/>
      <c r="B5417" s="13"/>
      <c r="F5417" s="13"/>
    </row>
    <row r="5418" spans="1:6" ht="15.75" customHeight="1" x14ac:dyDescent="0.15">
      <c r="A5418" s="12"/>
      <c r="B5418" s="13"/>
      <c r="F5418" s="13"/>
    </row>
    <row r="5419" spans="1:6" ht="15.75" customHeight="1" x14ac:dyDescent="0.15">
      <c r="A5419" s="12"/>
      <c r="B5419" s="13"/>
      <c r="F5419" s="13"/>
    </row>
    <row r="5420" spans="1:6" ht="15.75" customHeight="1" x14ac:dyDescent="0.15">
      <c r="A5420" s="12"/>
      <c r="B5420" s="13"/>
      <c r="F5420" s="13"/>
    </row>
    <row r="5421" spans="1:6" ht="15.75" customHeight="1" x14ac:dyDescent="0.15">
      <c r="A5421" s="12"/>
      <c r="B5421" s="13"/>
      <c r="F5421" s="13"/>
    </row>
    <row r="5422" spans="1:6" ht="15.75" customHeight="1" x14ac:dyDescent="0.15">
      <c r="A5422" s="12"/>
      <c r="B5422" s="13"/>
      <c r="F5422" s="13"/>
    </row>
    <row r="5423" spans="1:6" ht="15.75" customHeight="1" x14ac:dyDescent="0.15">
      <c r="A5423" s="12"/>
      <c r="B5423" s="13"/>
      <c r="F5423" s="13"/>
    </row>
    <row r="5424" spans="1:6" ht="15.75" customHeight="1" x14ac:dyDescent="0.15">
      <c r="A5424" s="12"/>
      <c r="B5424" s="13"/>
      <c r="F5424" s="13"/>
    </row>
    <row r="5425" spans="1:6" ht="15.75" customHeight="1" x14ac:dyDescent="0.15">
      <c r="A5425" s="12"/>
      <c r="B5425" s="13"/>
      <c r="F5425" s="13"/>
    </row>
    <row r="5426" spans="1:6" ht="15.75" customHeight="1" x14ac:dyDescent="0.15">
      <c r="A5426" s="12"/>
      <c r="B5426" s="13"/>
      <c r="F5426" s="13"/>
    </row>
    <row r="5427" spans="1:6" ht="15.75" customHeight="1" x14ac:dyDescent="0.15">
      <c r="A5427" s="12"/>
      <c r="B5427" s="13"/>
      <c r="F5427" s="13"/>
    </row>
    <row r="5428" spans="1:6" ht="15.75" customHeight="1" x14ac:dyDescent="0.15">
      <c r="A5428" s="12"/>
      <c r="B5428" s="13"/>
      <c r="F5428" s="13"/>
    </row>
    <row r="5429" spans="1:6" ht="15.75" customHeight="1" x14ac:dyDescent="0.15">
      <c r="A5429" s="12"/>
      <c r="B5429" s="13"/>
      <c r="F5429" s="13"/>
    </row>
    <row r="5430" spans="1:6" ht="15.75" customHeight="1" x14ac:dyDescent="0.15">
      <c r="A5430" s="12"/>
      <c r="B5430" s="13"/>
      <c r="F5430" s="13"/>
    </row>
    <row r="5431" spans="1:6" ht="15.75" customHeight="1" x14ac:dyDescent="0.15">
      <c r="A5431" s="12"/>
      <c r="B5431" s="13"/>
      <c r="F5431" s="13"/>
    </row>
    <row r="5432" spans="1:6" ht="15.75" customHeight="1" x14ac:dyDescent="0.15">
      <c r="A5432" s="12"/>
      <c r="B5432" s="13"/>
      <c r="F5432" s="13"/>
    </row>
    <row r="5433" spans="1:6" ht="15.75" customHeight="1" x14ac:dyDescent="0.15">
      <c r="A5433" s="12"/>
      <c r="B5433" s="13"/>
      <c r="F5433" s="13"/>
    </row>
    <row r="5434" spans="1:6" ht="15.75" customHeight="1" x14ac:dyDescent="0.15">
      <c r="A5434" s="12"/>
      <c r="B5434" s="13"/>
      <c r="F5434" s="13"/>
    </row>
    <row r="5435" spans="1:6" ht="15.75" customHeight="1" x14ac:dyDescent="0.15">
      <c r="A5435" s="12"/>
      <c r="B5435" s="13"/>
      <c r="F5435" s="13"/>
    </row>
    <row r="5436" spans="1:6" ht="15.75" customHeight="1" x14ac:dyDescent="0.15">
      <c r="A5436" s="12"/>
      <c r="B5436" s="13"/>
      <c r="F5436" s="13"/>
    </row>
    <row r="5437" spans="1:6" ht="15.75" customHeight="1" x14ac:dyDescent="0.15">
      <c r="A5437" s="12"/>
      <c r="B5437" s="13"/>
      <c r="F5437" s="13"/>
    </row>
    <row r="5438" spans="1:6" ht="15.75" customHeight="1" x14ac:dyDescent="0.15">
      <c r="A5438" s="12"/>
      <c r="B5438" s="13"/>
      <c r="F5438" s="13"/>
    </row>
    <row r="5439" spans="1:6" ht="15.75" customHeight="1" x14ac:dyDescent="0.15">
      <c r="A5439" s="12"/>
      <c r="B5439" s="13"/>
      <c r="F5439" s="13"/>
    </row>
    <row r="5440" spans="1:6" ht="15.75" customHeight="1" x14ac:dyDescent="0.15">
      <c r="A5440" s="12"/>
      <c r="B5440" s="13"/>
      <c r="F5440" s="13"/>
    </row>
    <row r="5441" spans="1:6" ht="15.75" customHeight="1" x14ac:dyDescent="0.15">
      <c r="A5441" s="12"/>
      <c r="B5441" s="13"/>
      <c r="F5441" s="13"/>
    </row>
    <row r="5442" spans="1:6" ht="15.75" customHeight="1" x14ac:dyDescent="0.15">
      <c r="A5442" s="12"/>
      <c r="B5442" s="13"/>
      <c r="F5442" s="13"/>
    </row>
    <row r="5443" spans="1:6" ht="15.75" customHeight="1" x14ac:dyDescent="0.15">
      <c r="A5443" s="12"/>
      <c r="B5443" s="13"/>
      <c r="F5443" s="13"/>
    </row>
    <row r="5444" spans="1:6" ht="15.75" customHeight="1" x14ac:dyDescent="0.15">
      <c r="A5444" s="12"/>
      <c r="B5444" s="13"/>
      <c r="F5444" s="13"/>
    </row>
    <row r="5445" spans="1:6" ht="15.75" customHeight="1" x14ac:dyDescent="0.15">
      <c r="A5445" s="12"/>
      <c r="B5445" s="13"/>
      <c r="F5445" s="13"/>
    </row>
    <row r="5446" spans="1:6" ht="15.75" customHeight="1" x14ac:dyDescent="0.15">
      <c r="A5446" s="12"/>
      <c r="B5446" s="13"/>
      <c r="F5446" s="13"/>
    </row>
    <row r="5447" spans="1:6" ht="15.75" customHeight="1" x14ac:dyDescent="0.15">
      <c r="A5447" s="12"/>
      <c r="B5447" s="13"/>
      <c r="F5447" s="13"/>
    </row>
    <row r="5448" spans="1:6" ht="15.75" customHeight="1" x14ac:dyDescent="0.15">
      <c r="A5448" s="12"/>
      <c r="B5448" s="13"/>
      <c r="F5448" s="13"/>
    </row>
    <row r="5449" spans="1:6" ht="15.75" customHeight="1" x14ac:dyDescent="0.15">
      <c r="A5449" s="12"/>
      <c r="B5449" s="13"/>
      <c r="F5449" s="13"/>
    </row>
    <row r="5450" spans="1:6" ht="15.75" customHeight="1" x14ac:dyDescent="0.15">
      <c r="A5450" s="12"/>
      <c r="B5450" s="13"/>
      <c r="F5450" s="13"/>
    </row>
    <row r="5451" spans="1:6" ht="15.75" customHeight="1" x14ac:dyDescent="0.15">
      <c r="A5451" s="12"/>
      <c r="B5451" s="13"/>
      <c r="F5451" s="13"/>
    </row>
    <row r="5452" spans="1:6" ht="15.75" customHeight="1" x14ac:dyDescent="0.15">
      <c r="A5452" s="12"/>
      <c r="B5452" s="13"/>
      <c r="F5452" s="13"/>
    </row>
    <row r="5453" spans="1:6" ht="15.75" customHeight="1" x14ac:dyDescent="0.15">
      <c r="A5453" s="12"/>
      <c r="B5453" s="13"/>
      <c r="F5453" s="13"/>
    </row>
    <row r="5454" spans="1:6" ht="15.75" customHeight="1" x14ac:dyDescent="0.15">
      <c r="A5454" s="12"/>
      <c r="B5454" s="13"/>
      <c r="F5454" s="13"/>
    </row>
    <row r="5455" spans="1:6" ht="15.75" customHeight="1" x14ac:dyDescent="0.15">
      <c r="A5455" s="12"/>
      <c r="B5455" s="13"/>
      <c r="F5455" s="13"/>
    </row>
    <row r="5456" spans="1:6" ht="15.75" customHeight="1" x14ac:dyDescent="0.15">
      <c r="A5456" s="12"/>
      <c r="B5456" s="13"/>
      <c r="F5456" s="13"/>
    </row>
    <row r="5457" spans="1:6" ht="15.75" customHeight="1" x14ac:dyDescent="0.15">
      <c r="A5457" s="12"/>
      <c r="B5457" s="13"/>
      <c r="F5457" s="13"/>
    </row>
    <row r="5458" spans="1:6" ht="15.75" customHeight="1" x14ac:dyDescent="0.15">
      <c r="A5458" s="12"/>
      <c r="B5458" s="13"/>
      <c r="F5458" s="13"/>
    </row>
    <row r="5459" spans="1:6" ht="15.75" customHeight="1" x14ac:dyDescent="0.15">
      <c r="A5459" s="12"/>
      <c r="B5459" s="13"/>
      <c r="F5459" s="13"/>
    </row>
    <row r="5460" spans="1:6" ht="15.75" customHeight="1" x14ac:dyDescent="0.15">
      <c r="A5460" s="12"/>
      <c r="B5460" s="13"/>
      <c r="F5460" s="13"/>
    </row>
    <row r="5461" spans="1:6" ht="15.75" customHeight="1" x14ac:dyDescent="0.15">
      <c r="A5461" s="12"/>
      <c r="B5461" s="13"/>
      <c r="F5461" s="13"/>
    </row>
    <row r="5462" spans="1:6" ht="15.75" customHeight="1" x14ac:dyDescent="0.15">
      <c r="A5462" s="12"/>
      <c r="B5462" s="13"/>
      <c r="F5462" s="13"/>
    </row>
    <row r="5463" spans="1:6" ht="15.75" customHeight="1" x14ac:dyDescent="0.15">
      <c r="A5463" s="12"/>
      <c r="B5463" s="13"/>
      <c r="F5463" s="13"/>
    </row>
    <row r="5464" spans="1:6" ht="15.75" customHeight="1" x14ac:dyDescent="0.15">
      <c r="A5464" s="12"/>
      <c r="B5464" s="13"/>
      <c r="F5464" s="13"/>
    </row>
    <row r="5465" spans="1:6" ht="15.75" customHeight="1" x14ac:dyDescent="0.15">
      <c r="A5465" s="12"/>
      <c r="B5465" s="13"/>
      <c r="F5465" s="13"/>
    </row>
    <row r="5466" spans="1:6" ht="15.75" customHeight="1" x14ac:dyDescent="0.15">
      <c r="A5466" s="12"/>
      <c r="B5466" s="13"/>
      <c r="F5466" s="13"/>
    </row>
    <row r="5467" spans="1:6" ht="15.75" customHeight="1" x14ac:dyDescent="0.15">
      <c r="A5467" s="12"/>
      <c r="B5467" s="13"/>
      <c r="F5467" s="13"/>
    </row>
    <row r="5468" spans="1:6" ht="15.75" customHeight="1" x14ac:dyDescent="0.15">
      <c r="A5468" s="12"/>
      <c r="B5468" s="13"/>
      <c r="F5468" s="13"/>
    </row>
    <row r="5469" spans="1:6" ht="15.75" customHeight="1" x14ac:dyDescent="0.15">
      <c r="A5469" s="12"/>
      <c r="B5469" s="13"/>
      <c r="F5469" s="13"/>
    </row>
    <row r="5470" spans="1:6" ht="15.75" customHeight="1" x14ac:dyDescent="0.15">
      <c r="A5470" s="12"/>
      <c r="B5470" s="13"/>
      <c r="F5470" s="13"/>
    </row>
    <row r="5471" spans="1:6" ht="15.75" customHeight="1" x14ac:dyDescent="0.15">
      <c r="A5471" s="12"/>
      <c r="B5471" s="13"/>
      <c r="F5471" s="13"/>
    </row>
    <row r="5472" spans="1:6" ht="15.75" customHeight="1" x14ac:dyDescent="0.15">
      <c r="A5472" s="12"/>
      <c r="B5472" s="13"/>
      <c r="F5472" s="13"/>
    </row>
    <row r="5473" spans="1:6" ht="15.75" customHeight="1" x14ac:dyDescent="0.15">
      <c r="A5473" s="12"/>
      <c r="B5473" s="13"/>
      <c r="F5473" s="13"/>
    </row>
    <row r="5474" spans="1:6" ht="15.75" customHeight="1" x14ac:dyDescent="0.15">
      <c r="A5474" s="12"/>
      <c r="B5474" s="13"/>
      <c r="F5474" s="13"/>
    </row>
    <row r="5475" spans="1:6" ht="15.75" customHeight="1" x14ac:dyDescent="0.15">
      <c r="A5475" s="12"/>
      <c r="B5475" s="13"/>
      <c r="F5475" s="13"/>
    </row>
    <row r="5476" spans="1:6" ht="15.75" customHeight="1" x14ac:dyDescent="0.15">
      <c r="A5476" s="12"/>
      <c r="B5476" s="13"/>
      <c r="F5476" s="13"/>
    </row>
    <row r="5477" spans="1:6" ht="15.75" customHeight="1" x14ac:dyDescent="0.15">
      <c r="A5477" s="12"/>
      <c r="B5477" s="13"/>
      <c r="F5477" s="13"/>
    </row>
    <row r="5478" spans="1:6" ht="15.75" customHeight="1" x14ac:dyDescent="0.15">
      <c r="A5478" s="12"/>
      <c r="B5478" s="13"/>
      <c r="F5478" s="13"/>
    </row>
    <row r="5479" spans="1:6" ht="15.75" customHeight="1" x14ac:dyDescent="0.15">
      <c r="A5479" s="12"/>
      <c r="B5479" s="13"/>
      <c r="F5479" s="13"/>
    </row>
    <row r="5480" spans="1:6" ht="15.75" customHeight="1" x14ac:dyDescent="0.15">
      <c r="A5480" s="12"/>
      <c r="B5480" s="13"/>
      <c r="F5480" s="13"/>
    </row>
    <row r="5481" spans="1:6" ht="15.75" customHeight="1" x14ac:dyDescent="0.15">
      <c r="A5481" s="12"/>
      <c r="B5481" s="13"/>
      <c r="F5481" s="13"/>
    </row>
    <row r="5482" spans="1:6" ht="15.75" customHeight="1" x14ac:dyDescent="0.15">
      <c r="A5482" s="12"/>
      <c r="B5482" s="13"/>
      <c r="F5482" s="13"/>
    </row>
    <row r="5483" spans="1:6" ht="15.75" customHeight="1" x14ac:dyDescent="0.15">
      <c r="A5483" s="12"/>
      <c r="B5483" s="13"/>
      <c r="F5483" s="13"/>
    </row>
    <row r="5484" spans="1:6" ht="15.75" customHeight="1" x14ac:dyDescent="0.15">
      <c r="A5484" s="12"/>
      <c r="B5484" s="13"/>
      <c r="F5484" s="13"/>
    </row>
    <row r="5485" spans="1:6" ht="15.75" customHeight="1" x14ac:dyDescent="0.15">
      <c r="A5485" s="12"/>
      <c r="B5485" s="13"/>
      <c r="F5485" s="13"/>
    </row>
    <row r="5486" spans="1:6" ht="15.75" customHeight="1" x14ac:dyDescent="0.15">
      <c r="A5486" s="12"/>
      <c r="B5486" s="13"/>
      <c r="F5486" s="13"/>
    </row>
    <row r="5487" spans="1:6" ht="15.75" customHeight="1" x14ac:dyDescent="0.15">
      <c r="A5487" s="12"/>
      <c r="B5487" s="13"/>
      <c r="F5487" s="13"/>
    </row>
    <row r="5488" spans="1:6" ht="15.75" customHeight="1" x14ac:dyDescent="0.15">
      <c r="A5488" s="12"/>
      <c r="B5488" s="13"/>
      <c r="F5488" s="13"/>
    </row>
    <row r="5489" spans="1:6" ht="15.75" customHeight="1" x14ac:dyDescent="0.15">
      <c r="A5489" s="12"/>
      <c r="B5489" s="13"/>
      <c r="F5489" s="13"/>
    </row>
    <row r="5490" spans="1:6" ht="15.75" customHeight="1" x14ac:dyDescent="0.15">
      <c r="A5490" s="12"/>
      <c r="B5490" s="13"/>
      <c r="F5490" s="13"/>
    </row>
    <row r="5491" spans="1:6" ht="15.75" customHeight="1" x14ac:dyDescent="0.15">
      <c r="A5491" s="12"/>
      <c r="B5491" s="13"/>
      <c r="F5491" s="13"/>
    </row>
    <row r="5492" spans="1:6" ht="15.75" customHeight="1" x14ac:dyDescent="0.15">
      <c r="A5492" s="12"/>
      <c r="B5492" s="13"/>
      <c r="F5492" s="13"/>
    </row>
    <row r="5493" spans="1:6" ht="15.75" customHeight="1" x14ac:dyDescent="0.15">
      <c r="A5493" s="12"/>
      <c r="B5493" s="13"/>
      <c r="F5493" s="13"/>
    </row>
    <row r="5494" spans="1:6" ht="15.75" customHeight="1" x14ac:dyDescent="0.15">
      <c r="A5494" s="12"/>
      <c r="B5494" s="13"/>
      <c r="F5494" s="13"/>
    </row>
    <row r="5495" spans="1:6" ht="15.75" customHeight="1" x14ac:dyDescent="0.15">
      <c r="A5495" s="12"/>
      <c r="B5495" s="13"/>
      <c r="F5495" s="13"/>
    </row>
    <row r="5496" spans="1:6" ht="15.75" customHeight="1" x14ac:dyDescent="0.15">
      <c r="A5496" s="12"/>
      <c r="B5496" s="13"/>
      <c r="F5496" s="13"/>
    </row>
    <row r="5497" spans="1:6" ht="15.75" customHeight="1" x14ac:dyDescent="0.15">
      <c r="A5497" s="12"/>
      <c r="B5497" s="13"/>
      <c r="F549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5497"/>
  <sheetViews>
    <sheetView workbookViewId="0">
      <pane ySplit="1" topLeftCell="A2" activePane="bottomLeft" state="frozen"/>
      <selection pane="bottomLeft" activeCell="K7" sqref="K7"/>
    </sheetView>
  </sheetViews>
  <sheetFormatPr baseColWidth="10" defaultColWidth="14.5" defaultRowHeight="15.75" customHeight="1" x14ac:dyDescent="0.15"/>
  <cols>
    <col min="1" max="1" width="11.6640625" customWidth="1"/>
    <col min="3" max="3" width="18.1640625" customWidth="1"/>
    <col min="4" max="4" width="21.83203125" customWidth="1"/>
    <col min="5" max="5" width="16.1640625" customWidth="1"/>
    <col min="6" max="6" width="14.83203125" customWidth="1"/>
    <col min="7" max="7" width="10.83203125" customWidth="1"/>
    <col min="10" max="10" width="24" customWidth="1"/>
  </cols>
  <sheetData>
    <row r="1" spans="1:18" ht="15.75" customHeight="1" x14ac:dyDescent="0.15">
      <c r="A1" s="1" t="s">
        <v>0</v>
      </c>
      <c r="B1" s="10" t="s">
        <v>3571</v>
      </c>
      <c r="C1" s="16" t="s">
        <v>7103</v>
      </c>
      <c r="D1" s="16" t="s">
        <v>7104</v>
      </c>
      <c r="E1" s="16" t="s">
        <v>2</v>
      </c>
      <c r="F1" s="16" t="s">
        <v>7105</v>
      </c>
      <c r="G1" s="16" t="s">
        <v>7106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15.75" customHeight="1" x14ac:dyDescent="0.15">
      <c r="A2" s="2">
        <v>1912136</v>
      </c>
      <c r="B2" s="12" t="s">
        <v>7107</v>
      </c>
      <c r="C2">
        <v>0</v>
      </c>
      <c r="D2">
        <v>0</v>
      </c>
      <c r="E2">
        <v>0</v>
      </c>
      <c r="F2">
        <v>0</v>
      </c>
      <c r="G2">
        <v>0</v>
      </c>
      <c r="I2">
        <f>SUM(C2:C3600)</f>
        <v>334</v>
      </c>
      <c r="J2" s="16" t="s">
        <v>7103</v>
      </c>
      <c r="K2" t="s">
        <v>10620</v>
      </c>
      <c r="N2" s="18"/>
    </row>
    <row r="3" spans="1:18" ht="15.75" customHeight="1" x14ac:dyDescent="0.15">
      <c r="A3" s="2">
        <v>7241134</v>
      </c>
      <c r="B3" s="12" t="s">
        <v>7108</v>
      </c>
      <c r="C3">
        <v>0</v>
      </c>
      <c r="D3">
        <v>0</v>
      </c>
      <c r="E3">
        <v>0</v>
      </c>
      <c r="F3">
        <v>0</v>
      </c>
      <c r="G3">
        <v>0</v>
      </c>
      <c r="I3">
        <f>SUM(D2:D3600)</f>
        <v>320</v>
      </c>
      <c r="J3" s="16" t="s">
        <v>7104</v>
      </c>
      <c r="K3" t="s">
        <v>10621</v>
      </c>
      <c r="M3" s="18"/>
      <c r="N3" s="18"/>
    </row>
    <row r="4" spans="1:18" ht="15.75" customHeight="1" x14ac:dyDescent="0.15">
      <c r="A4" s="2">
        <v>3515512</v>
      </c>
      <c r="B4" s="12" t="s">
        <v>7109</v>
      </c>
      <c r="C4">
        <v>0</v>
      </c>
      <c r="D4">
        <v>0</v>
      </c>
      <c r="E4">
        <v>0</v>
      </c>
      <c r="F4">
        <v>0</v>
      </c>
      <c r="G4">
        <v>0</v>
      </c>
      <c r="I4">
        <f>SUM(E2:E3600)</f>
        <v>49</v>
      </c>
      <c r="J4" s="16" t="s">
        <v>2</v>
      </c>
      <c r="K4" t="s">
        <v>10622</v>
      </c>
      <c r="N4" s="18"/>
    </row>
    <row r="5" spans="1:18" ht="15.75" customHeight="1" x14ac:dyDescent="0.15">
      <c r="A5" s="2">
        <v>1518785</v>
      </c>
      <c r="B5" s="12" t="s">
        <v>7110</v>
      </c>
      <c r="C5">
        <v>0</v>
      </c>
      <c r="D5">
        <v>0</v>
      </c>
      <c r="E5">
        <v>0</v>
      </c>
      <c r="F5">
        <v>0</v>
      </c>
      <c r="G5">
        <v>0</v>
      </c>
      <c r="I5">
        <f>SUM(F2:F3600)</f>
        <v>113</v>
      </c>
      <c r="J5" s="16" t="s">
        <v>7105</v>
      </c>
      <c r="K5" t="s">
        <v>10623</v>
      </c>
      <c r="N5" s="18"/>
    </row>
    <row r="6" spans="1:18" ht="15.75" customHeight="1" x14ac:dyDescent="0.15">
      <c r="A6" s="2">
        <v>1105711</v>
      </c>
      <c r="B6" s="12" t="s">
        <v>7111</v>
      </c>
      <c r="C6">
        <v>0</v>
      </c>
      <c r="D6">
        <v>0</v>
      </c>
      <c r="E6">
        <v>0</v>
      </c>
      <c r="F6">
        <v>0</v>
      </c>
      <c r="G6">
        <v>0</v>
      </c>
      <c r="I6">
        <f>SUM(G2:G3600)</f>
        <v>86</v>
      </c>
      <c r="J6" s="16" t="s">
        <v>7106</v>
      </c>
      <c r="K6" t="s">
        <v>10624</v>
      </c>
      <c r="N6" s="18"/>
    </row>
    <row r="7" spans="1:18" ht="15.75" customHeight="1" x14ac:dyDescent="0.15">
      <c r="A7" s="2">
        <v>3148266</v>
      </c>
      <c r="B7" s="12" t="s">
        <v>7112</v>
      </c>
      <c r="C7">
        <v>1</v>
      </c>
      <c r="D7">
        <v>0</v>
      </c>
      <c r="E7">
        <v>0</v>
      </c>
      <c r="F7">
        <v>1</v>
      </c>
      <c r="G7">
        <v>0</v>
      </c>
    </row>
    <row r="8" spans="1:18" ht="15.75" customHeight="1" x14ac:dyDescent="0.15">
      <c r="A8" s="2">
        <v>1837492</v>
      </c>
      <c r="B8" s="12" t="s">
        <v>7113</v>
      </c>
      <c r="C8">
        <v>0</v>
      </c>
      <c r="D8">
        <v>1</v>
      </c>
      <c r="E8">
        <v>0</v>
      </c>
      <c r="F8">
        <v>0</v>
      </c>
      <c r="G8">
        <v>0</v>
      </c>
    </row>
    <row r="9" spans="1:18" ht="15.75" customHeight="1" x14ac:dyDescent="0.15">
      <c r="A9" s="2">
        <v>354262</v>
      </c>
      <c r="B9" s="12" t="s">
        <v>7114</v>
      </c>
      <c r="C9">
        <v>0</v>
      </c>
      <c r="D9">
        <v>0</v>
      </c>
      <c r="E9">
        <v>0</v>
      </c>
      <c r="F9">
        <v>0</v>
      </c>
      <c r="G9">
        <v>0</v>
      </c>
    </row>
    <row r="10" spans="1:18" ht="15.75" customHeight="1" x14ac:dyDescent="0.15">
      <c r="A10" s="2">
        <v>1454730</v>
      </c>
      <c r="B10" s="12" t="s">
        <v>7115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8" ht="15.75" customHeight="1" x14ac:dyDescent="0.15">
      <c r="A11" s="2">
        <v>2266639</v>
      </c>
      <c r="B11" s="12" t="s">
        <v>7116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8" ht="15.75" customHeight="1" x14ac:dyDescent="0.15">
      <c r="A12" s="2">
        <v>221728</v>
      </c>
      <c r="B12" s="12" t="s">
        <v>7117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8" ht="15.75" customHeight="1" x14ac:dyDescent="0.15">
      <c r="A13" s="2">
        <v>1307083</v>
      </c>
      <c r="B13" s="12" t="s">
        <v>7118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8" ht="15.75" customHeight="1" x14ac:dyDescent="0.15">
      <c r="A14" s="2">
        <v>3340712</v>
      </c>
      <c r="B14" s="12" t="s">
        <v>7119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8" ht="15.75" customHeight="1" x14ac:dyDescent="0.15">
      <c r="A15" s="2">
        <v>7371666</v>
      </c>
      <c r="B15" s="12">
        <v>1983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8" ht="15.75" customHeight="1" x14ac:dyDescent="0.15">
      <c r="A16" s="2">
        <v>3018364</v>
      </c>
      <c r="B16" s="12">
        <v>1984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ht="15.75" customHeight="1" x14ac:dyDescent="0.15">
      <c r="A17" s="2">
        <v>1845307</v>
      </c>
      <c r="B17" s="12" t="s">
        <v>7120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t="15.75" customHeight="1" x14ac:dyDescent="0.15">
      <c r="A18" s="2">
        <v>319926</v>
      </c>
      <c r="B18" s="12" t="s">
        <v>7121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t="15.75" customHeight="1" x14ac:dyDescent="0.15">
      <c r="A19" s="2">
        <v>92312</v>
      </c>
      <c r="B19" s="12" t="s">
        <v>7122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t="15.75" customHeight="1" x14ac:dyDescent="0.15">
      <c r="A20" s="2">
        <v>285331</v>
      </c>
      <c r="B20" s="12">
        <v>24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t="15.75" customHeight="1" x14ac:dyDescent="0.15">
      <c r="A21" s="2">
        <v>1730751</v>
      </c>
      <c r="B21" s="12" t="s">
        <v>7123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t="15.75" customHeight="1" x14ac:dyDescent="0.15">
      <c r="A22" s="2">
        <v>7768166</v>
      </c>
      <c r="B22" s="12" t="s">
        <v>7124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t="15.75" customHeight="1" x14ac:dyDescent="0.15">
      <c r="A23" s="2">
        <v>5208672</v>
      </c>
      <c r="B23" s="12" t="s">
        <v>7125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t="15.75" customHeight="1" x14ac:dyDescent="0.15">
      <c r="A24" s="2">
        <v>5345490</v>
      </c>
      <c r="B24" s="12" t="s">
        <v>7126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ht="15.75" customHeight="1" x14ac:dyDescent="0.15">
      <c r="A25" s="2">
        <v>101032</v>
      </c>
      <c r="B25" s="12" t="s">
        <v>7127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t="15.75" customHeight="1" x14ac:dyDescent="0.15">
      <c r="A26" s="2">
        <v>2197994</v>
      </c>
      <c r="B26" s="12">
        <v>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ht="15.75" customHeight="1" x14ac:dyDescent="0.15">
      <c r="A27" s="2">
        <v>8607128</v>
      </c>
      <c r="B27" s="12" t="s">
        <v>7128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ht="15.75" customHeight="1" x14ac:dyDescent="0.15">
      <c r="A28" s="2">
        <v>1408430</v>
      </c>
      <c r="B28" s="12" t="s">
        <v>7129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t="15.75" customHeight="1" x14ac:dyDescent="0.15">
      <c r="A29" s="2">
        <v>496424</v>
      </c>
      <c r="B29" s="12" t="s">
        <v>7130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t="15.75" customHeight="1" x14ac:dyDescent="0.15">
      <c r="A30" s="2">
        <v>1874838</v>
      </c>
      <c r="B30" s="12" t="s">
        <v>7131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ht="15.75" customHeight="1" x14ac:dyDescent="0.15">
      <c r="A31" s="2">
        <v>3919200</v>
      </c>
      <c r="B31" s="12" t="s">
        <v>7132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ht="15.75" customHeight="1" x14ac:dyDescent="0.15">
      <c r="A32" s="2">
        <v>7736544</v>
      </c>
      <c r="B32" s="12" t="s">
        <v>7133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ht="15.75" customHeight="1" x14ac:dyDescent="0.15">
      <c r="A33" s="2">
        <v>115082</v>
      </c>
      <c r="B33" s="12" t="s">
        <v>7134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ht="15.75" customHeight="1" x14ac:dyDescent="0.15">
      <c r="A34" s="2">
        <v>271894</v>
      </c>
      <c r="B34" s="12" t="s">
        <v>7135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ht="15.75" customHeight="1" x14ac:dyDescent="0.15">
      <c r="A35" s="2">
        <v>2147134</v>
      </c>
      <c r="B35" s="12" t="s">
        <v>7136</v>
      </c>
      <c r="C35">
        <v>0</v>
      </c>
      <c r="D35">
        <v>0</v>
      </c>
      <c r="E35">
        <v>0</v>
      </c>
      <c r="F35">
        <v>1</v>
      </c>
      <c r="G35">
        <v>0</v>
      </c>
    </row>
    <row r="36" spans="1:7" ht="15.75" customHeight="1" x14ac:dyDescent="0.15">
      <c r="A36" s="2">
        <v>7914168</v>
      </c>
      <c r="B36" s="12" t="s">
        <v>7137</v>
      </c>
      <c r="C36">
        <v>0</v>
      </c>
      <c r="D36">
        <v>0</v>
      </c>
      <c r="E36">
        <v>0</v>
      </c>
      <c r="F36">
        <v>1</v>
      </c>
      <c r="G36">
        <v>1</v>
      </c>
    </row>
    <row r="37" spans="1:7" ht="15.75" customHeight="1" x14ac:dyDescent="0.15">
      <c r="A37" s="2">
        <v>5564124</v>
      </c>
      <c r="B37" s="12" t="s">
        <v>7138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ht="15.75" customHeight="1" x14ac:dyDescent="0.15">
      <c r="A38" s="2">
        <v>3746948</v>
      </c>
      <c r="B38" s="12" t="s">
        <v>7139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ht="15.75" customHeight="1" x14ac:dyDescent="0.15">
      <c r="A39" s="2">
        <v>297482</v>
      </c>
      <c r="B39" s="12" t="s">
        <v>7140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ht="15.75" customHeight="1" x14ac:dyDescent="0.15">
      <c r="A40" s="2">
        <v>115083</v>
      </c>
      <c r="B40" s="12" t="s">
        <v>7141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ht="15.75" customHeight="1" x14ac:dyDescent="0.15">
      <c r="A41" s="2">
        <v>2345459</v>
      </c>
      <c r="B41" s="12" t="s">
        <v>7142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.75" customHeight="1" x14ac:dyDescent="0.15">
      <c r="A42" s="2">
        <v>312081</v>
      </c>
      <c r="B42" s="12" t="s">
        <v>7143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.75" customHeight="1" x14ac:dyDescent="0.15">
      <c r="A43" s="2">
        <v>1820766</v>
      </c>
      <c r="B43" s="12">
        <v>8.1300000000000008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t="15.75" customHeight="1" x14ac:dyDescent="0.15">
      <c r="A44" s="2">
        <v>4380324</v>
      </c>
      <c r="B44" s="12" t="s">
        <v>7144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ht="15.75" customHeight="1" x14ac:dyDescent="0.15">
      <c r="A45" s="2">
        <v>7235466</v>
      </c>
      <c r="B45" s="12">
        <v>37135</v>
      </c>
      <c r="C45">
        <v>0</v>
      </c>
      <c r="D45">
        <v>0</v>
      </c>
      <c r="E45">
        <v>0</v>
      </c>
      <c r="F45">
        <v>0</v>
      </c>
      <c r="G45">
        <v>1</v>
      </c>
    </row>
    <row r="46" spans="1:7" ht="15.75" customHeight="1" x14ac:dyDescent="0.15">
      <c r="A46" s="2">
        <v>3469050</v>
      </c>
      <c r="B46" s="12" t="s">
        <v>7145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ht="15.75" customHeight="1" x14ac:dyDescent="0.15">
      <c r="A47" s="2">
        <v>9170070</v>
      </c>
      <c r="B47" s="12" t="s">
        <v>7146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 ht="15.75" customHeight="1" x14ac:dyDescent="0.15">
      <c r="A48" s="2">
        <v>1225901</v>
      </c>
      <c r="B48" s="12">
        <v>90210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ht="15.75" customHeight="1" x14ac:dyDescent="0.15">
      <c r="A49" s="2">
        <v>96546</v>
      </c>
      <c r="B49" s="12" t="s">
        <v>7147</v>
      </c>
      <c r="C49">
        <v>0</v>
      </c>
      <c r="D49">
        <v>1</v>
      </c>
      <c r="E49">
        <v>0</v>
      </c>
      <c r="F49">
        <v>0</v>
      </c>
      <c r="G49">
        <v>0</v>
      </c>
    </row>
    <row r="50" spans="1:7" ht="13" x14ac:dyDescent="0.15">
      <c r="A50" s="2">
        <v>101049</v>
      </c>
      <c r="B50" s="12" t="s">
        <v>7148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ht="13" x14ac:dyDescent="0.15">
      <c r="A51" s="2">
        <v>1042979</v>
      </c>
      <c r="B51" s="12" t="s">
        <v>7149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ht="13" x14ac:dyDescent="0.15">
      <c r="A52" s="2">
        <v>86689</v>
      </c>
      <c r="B52" s="12" t="s">
        <v>7150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ht="13" x14ac:dyDescent="0.15">
      <c r="A53" s="2">
        <v>3044834</v>
      </c>
      <c r="B53" s="12" t="s">
        <v>7151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ht="13" x14ac:dyDescent="0.15">
      <c r="A54" s="2">
        <v>7215640</v>
      </c>
      <c r="B54" s="12" t="s">
        <v>7152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ht="13" x14ac:dyDescent="0.15">
      <c r="A55" s="2">
        <v>2177461</v>
      </c>
      <c r="B55" s="12" t="s">
        <v>7153</v>
      </c>
      <c r="C55">
        <v>0</v>
      </c>
      <c r="D55">
        <v>1</v>
      </c>
      <c r="E55">
        <v>0</v>
      </c>
      <c r="F55">
        <v>0</v>
      </c>
      <c r="G55">
        <v>0</v>
      </c>
    </row>
    <row r="56" spans="1:7" ht="13" x14ac:dyDescent="0.15">
      <c r="A56" s="2">
        <v>83416</v>
      </c>
      <c r="B56" s="12" t="s">
        <v>7154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ht="13" x14ac:dyDescent="0.15">
      <c r="A57" s="2">
        <v>1474997</v>
      </c>
      <c r="B57" s="12" t="s">
        <v>7155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ht="13" x14ac:dyDescent="0.15">
      <c r="A58" s="2">
        <v>4463798</v>
      </c>
      <c r="B58" s="12" t="s">
        <v>7156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ht="13" x14ac:dyDescent="0.15">
      <c r="A59" s="2">
        <v>484243</v>
      </c>
      <c r="B59" s="12" t="s">
        <v>7157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ht="13" x14ac:dyDescent="0.15">
      <c r="A60" s="2">
        <v>6819698</v>
      </c>
      <c r="B60" s="12" t="s">
        <v>7158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ht="13" x14ac:dyDescent="0.15">
      <c r="A61" s="2">
        <v>7608248</v>
      </c>
      <c r="B61" s="12" t="s">
        <v>7159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ht="13" x14ac:dyDescent="0.15">
      <c r="A62" s="2">
        <v>283205</v>
      </c>
      <c r="B62" s="12" t="s">
        <v>7160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1:7" ht="13" x14ac:dyDescent="0.15">
      <c r="A63" s="2">
        <v>94531</v>
      </c>
      <c r="B63" s="12" t="s">
        <v>7161</v>
      </c>
      <c r="C63">
        <v>1</v>
      </c>
      <c r="D63">
        <v>0</v>
      </c>
      <c r="E63">
        <v>0</v>
      </c>
      <c r="F63">
        <v>0</v>
      </c>
      <c r="G63">
        <v>0</v>
      </c>
    </row>
    <row r="64" spans="1:7" ht="13" x14ac:dyDescent="0.15">
      <c r="A64" s="2">
        <v>4834206</v>
      </c>
      <c r="B64" s="12" t="s">
        <v>7162</v>
      </c>
      <c r="C64">
        <v>0</v>
      </c>
      <c r="D64">
        <v>1</v>
      </c>
      <c r="E64">
        <v>0</v>
      </c>
      <c r="F64">
        <v>1</v>
      </c>
      <c r="G64">
        <v>0</v>
      </c>
    </row>
    <row r="65" spans="1:7" ht="13" x14ac:dyDescent="0.15">
      <c r="A65" s="2">
        <v>1015897</v>
      </c>
      <c r="B65" s="12" t="s">
        <v>7163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ht="13" x14ac:dyDescent="0.15">
      <c r="A66" s="2">
        <v>2240991</v>
      </c>
      <c r="B66" s="12" t="s">
        <v>7164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ht="13" x14ac:dyDescent="0.15">
      <c r="A67" s="2">
        <v>108967</v>
      </c>
      <c r="B67" s="12" t="s">
        <v>7165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 ht="13" x14ac:dyDescent="0.15">
      <c r="A68" s="2">
        <v>8276298</v>
      </c>
      <c r="B68" s="12" t="s">
        <v>7166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ht="13" x14ac:dyDescent="0.15">
      <c r="A69" s="2">
        <v>4976500</v>
      </c>
      <c r="B69" s="12" t="s">
        <v>7167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ht="13" x14ac:dyDescent="0.15">
      <c r="A70" s="2">
        <v>2164430</v>
      </c>
      <c r="B70" s="14" t="s">
        <v>7168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ht="13" x14ac:dyDescent="0.15">
      <c r="A71" s="2">
        <v>4074084</v>
      </c>
      <c r="B71" s="12" t="s">
        <v>7169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ht="13" x14ac:dyDescent="0.15">
      <c r="A72" s="2">
        <v>1772752</v>
      </c>
      <c r="B72" s="12" t="s">
        <v>7170</v>
      </c>
      <c r="C72">
        <v>0</v>
      </c>
      <c r="D72">
        <v>0</v>
      </c>
      <c r="E72">
        <v>0</v>
      </c>
      <c r="F72">
        <v>0</v>
      </c>
      <c r="G72">
        <v>1</v>
      </c>
    </row>
    <row r="73" spans="1:7" ht="13" x14ac:dyDescent="0.15">
      <c r="A73" s="2">
        <v>6461726</v>
      </c>
      <c r="B73" s="12" t="s">
        <v>7171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ht="13" x14ac:dyDescent="0.15">
      <c r="A74" s="2">
        <v>2812214</v>
      </c>
      <c r="B74" s="12" t="s">
        <v>7172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ht="13" x14ac:dyDescent="0.15">
      <c r="A75" s="2">
        <v>11052816</v>
      </c>
      <c r="B75" s="12" t="s">
        <v>7173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ht="13" x14ac:dyDescent="0.15">
      <c r="A76" s="2">
        <v>1114708</v>
      </c>
      <c r="B76" s="12" t="s">
        <v>7174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ht="13" x14ac:dyDescent="0.15">
      <c r="A77" s="2">
        <v>7768346</v>
      </c>
      <c r="B77" s="12" t="s">
        <v>7175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ht="13" x14ac:dyDescent="0.15">
      <c r="A78" s="2">
        <v>5340448</v>
      </c>
      <c r="B78" s="12" t="s">
        <v>7176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ht="13" x14ac:dyDescent="0.15">
      <c r="A79" s="2">
        <v>1247637</v>
      </c>
      <c r="B79" s="12" t="s">
        <v>7177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 ht="13" x14ac:dyDescent="0.15">
      <c r="A80" s="2">
        <v>6794990</v>
      </c>
      <c r="B80" s="12" t="s">
        <v>7178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ht="13" x14ac:dyDescent="0.15">
      <c r="A81" s="2">
        <v>1200756</v>
      </c>
      <c r="B81" s="12" t="s">
        <v>7179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ht="13" x14ac:dyDescent="0.15">
      <c r="A82" s="2">
        <v>105929</v>
      </c>
      <c r="B82" s="12" t="s">
        <v>7180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ht="13" x14ac:dyDescent="0.15">
      <c r="A83" s="2">
        <v>903751</v>
      </c>
      <c r="B83" s="12" t="s">
        <v>7181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ht="13" x14ac:dyDescent="0.15">
      <c r="A84" s="2">
        <v>285351</v>
      </c>
      <c r="B84" s="12" t="s">
        <v>7182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ht="13" x14ac:dyDescent="0.15">
      <c r="A85" s="2">
        <v>842903</v>
      </c>
      <c r="B85" s="12" t="s">
        <v>7183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ht="13" x14ac:dyDescent="0.15">
      <c r="A86" s="2">
        <v>6636246</v>
      </c>
      <c r="B86" s="12" t="s">
        <v>7184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ht="13" x14ac:dyDescent="0.15">
      <c r="A87" s="2">
        <v>960152</v>
      </c>
      <c r="B87" s="12" t="s">
        <v>7185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ht="13" x14ac:dyDescent="0.15">
      <c r="A88" s="2">
        <v>475182</v>
      </c>
      <c r="B88" s="12" t="s">
        <v>7186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ht="13" x14ac:dyDescent="0.15">
      <c r="A89" s="2">
        <v>7105584</v>
      </c>
      <c r="B89" s="12" t="s">
        <v>7187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ht="13" x14ac:dyDescent="0.15">
      <c r="A90" s="2">
        <v>5034326</v>
      </c>
      <c r="B90" s="12" t="s">
        <v>7188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ht="13" x14ac:dyDescent="0.15">
      <c r="A91" s="2">
        <v>1305826</v>
      </c>
      <c r="B91" s="12" t="s">
        <v>7189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ht="13" x14ac:dyDescent="0.15">
      <c r="A92" s="2">
        <v>227868</v>
      </c>
      <c r="B92" s="12" t="s">
        <v>7190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ht="13" x14ac:dyDescent="0.15">
      <c r="A93" s="2">
        <v>88473</v>
      </c>
      <c r="B93" s="12" t="s">
        <v>7191</v>
      </c>
      <c r="C93">
        <v>0</v>
      </c>
      <c r="D93">
        <v>1</v>
      </c>
      <c r="E93">
        <v>0</v>
      </c>
      <c r="F93">
        <v>0</v>
      </c>
      <c r="G93">
        <v>0</v>
      </c>
    </row>
    <row r="94" spans="1:7" ht="13" x14ac:dyDescent="0.15">
      <c r="A94" s="2">
        <v>2273729</v>
      </c>
      <c r="B94" s="12" t="s">
        <v>7192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ht="13" x14ac:dyDescent="0.15">
      <c r="A95" s="2">
        <v>111873</v>
      </c>
      <c r="B95" s="12" t="s">
        <v>7193</v>
      </c>
      <c r="C95">
        <v>0</v>
      </c>
      <c r="D95">
        <v>0</v>
      </c>
      <c r="E95">
        <v>1</v>
      </c>
      <c r="F95">
        <v>0</v>
      </c>
      <c r="G95">
        <v>0</v>
      </c>
    </row>
    <row r="96" spans="1:7" ht="13" x14ac:dyDescent="0.15">
      <c r="A96" s="2">
        <v>8710244</v>
      </c>
      <c r="B96" s="12" t="s">
        <v>7194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ht="13" x14ac:dyDescent="0.15">
      <c r="A97" s="2">
        <v>1734537</v>
      </c>
      <c r="B97" s="12" t="s">
        <v>7195</v>
      </c>
      <c r="C97">
        <v>0</v>
      </c>
      <c r="D97">
        <v>1</v>
      </c>
      <c r="E97">
        <v>0</v>
      </c>
      <c r="F97">
        <v>0</v>
      </c>
      <c r="G97">
        <v>0</v>
      </c>
    </row>
    <row r="98" spans="1:7" ht="13" x14ac:dyDescent="0.15">
      <c r="A98" s="2">
        <v>5015548</v>
      </c>
      <c r="B98" s="12" t="s">
        <v>7196</v>
      </c>
      <c r="C98">
        <v>0</v>
      </c>
      <c r="D98">
        <v>1</v>
      </c>
      <c r="E98">
        <v>0</v>
      </c>
      <c r="F98">
        <v>0</v>
      </c>
      <c r="G98">
        <v>0</v>
      </c>
    </row>
    <row r="99" spans="1:7" ht="13" x14ac:dyDescent="0.15">
      <c r="A99" s="2">
        <v>3475734</v>
      </c>
      <c r="B99" s="12" t="s">
        <v>7197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 ht="13" x14ac:dyDescent="0.15">
      <c r="A100" s="2">
        <v>3499120</v>
      </c>
      <c r="B100" s="12" t="s">
        <v>7198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ht="13" x14ac:dyDescent="0.15">
      <c r="A101" s="2">
        <v>2364582</v>
      </c>
      <c r="B101" s="12" t="s">
        <v>7199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ht="13" x14ac:dyDescent="0.15">
      <c r="A102" s="2">
        <v>872301</v>
      </c>
      <c r="B102" s="12" t="s">
        <v>7200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ht="13" x14ac:dyDescent="0.15">
      <c r="A103" s="2">
        <v>386950</v>
      </c>
      <c r="B103" s="12" t="s">
        <v>7201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ht="13" x14ac:dyDescent="0.15">
      <c r="A104" s="2">
        <v>1808720</v>
      </c>
      <c r="B104" s="12" t="s">
        <v>7202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ht="13" x14ac:dyDescent="0.15">
      <c r="A105" s="2">
        <v>86662</v>
      </c>
      <c r="B105" s="12" t="s">
        <v>7203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ht="13" x14ac:dyDescent="0.15">
      <c r="A106" s="2">
        <v>105935</v>
      </c>
      <c r="B106" s="12" t="s">
        <v>7204</v>
      </c>
      <c r="C106">
        <v>0</v>
      </c>
      <c r="D106">
        <v>0</v>
      </c>
      <c r="E106">
        <v>0</v>
      </c>
      <c r="F106">
        <v>1</v>
      </c>
      <c r="G106">
        <v>0</v>
      </c>
    </row>
    <row r="107" spans="1:7" ht="13" x14ac:dyDescent="0.15">
      <c r="A107" s="2">
        <v>1951459</v>
      </c>
      <c r="B107" s="12" t="s">
        <v>7205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ht="13" x14ac:dyDescent="0.15">
      <c r="A108" s="2">
        <v>115088</v>
      </c>
      <c r="B108" s="12" t="s">
        <v>7206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ht="13" x14ac:dyDescent="0.15">
      <c r="A109" s="2">
        <v>7193240</v>
      </c>
      <c r="B109" s="12" t="s">
        <v>7207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ht="13" x14ac:dyDescent="0.15">
      <c r="A110" s="2">
        <v>6466948</v>
      </c>
      <c r="B110" s="12" t="s">
        <v>7208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ht="13" x14ac:dyDescent="0.15">
      <c r="A111" s="2">
        <v>6916746</v>
      </c>
      <c r="B111" s="12" t="s">
        <v>7209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ht="13" x14ac:dyDescent="0.15">
      <c r="A112" s="2">
        <v>90390</v>
      </c>
      <c r="B112" s="12" t="s">
        <v>7210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ht="13" x14ac:dyDescent="0.15">
      <c r="A113" s="2">
        <v>98737</v>
      </c>
      <c r="B113" s="12" t="s">
        <v>7211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ht="13" x14ac:dyDescent="0.15">
      <c r="A114" s="2">
        <v>12470700</v>
      </c>
      <c r="B114" s="12" t="s">
        <v>7212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ht="13" x14ac:dyDescent="0.15">
      <c r="A115" s="2">
        <v>285333</v>
      </c>
      <c r="B115" s="12" t="s">
        <v>7213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ht="13" x14ac:dyDescent="0.15">
      <c r="A116" s="2">
        <v>96531</v>
      </c>
      <c r="B116" s="12" t="s">
        <v>7214</v>
      </c>
      <c r="C116">
        <v>0</v>
      </c>
      <c r="D116">
        <v>0</v>
      </c>
      <c r="E116">
        <v>0</v>
      </c>
      <c r="F116">
        <v>1</v>
      </c>
      <c r="G116">
        <v>0</v>
      </c>
    </row>
    <row r="117" spans="1:7" ht="13" x14ac:dyDescent="0.15">
      <c r="A117" s="2">
        <v>161124</v>
      </c>
      <c r="B117" s="12" t="s">
        <v>7215</v>
      </c>
      <c r="C117">
        <v>0</v>
      </c>
      <c r="D117">
        <v>1</v>
      </c>
      <c r="E117">
        <v>0</v>
      </c>
      <c r="F117">
        <v>0</v>
      </c>
      <c r="G117">
        <v>0</v>
      </c>
    </row>
    <row r="118" spans="1:7" ht="13" x14ac:dyDescent="0.15">
      <c r="A118" s="2">
        <v>115090</v>
      </c>
      <c r="B118" s="12" t="s">
        <v>7215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 ht="13" x14ac:dyDescent="0.15">
      <c r="A119" s="2">
        <v>116613</v>
      </c>
      <c r="B119" s="12" t="s">
        <v>7216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ht="13" x14ac:dyDescent="0.15">
      <c r="A120" s="2">
        <v>7414406</v>
      </c>
      <c r="B120" s="12" t="s">
        <v>7217</v>
      </c>
      <c r="C120">
        <v>0</v>
      </c>
      <c r="D120">
        <v>0</v>
      </c>
      <c r="E120">
        <v>0</v>
      </c>
      <c r="F120">
        <v>0</v>
      </c>
      <c r="G120">
        <v>1</v>
      </c>
    </row>
    <row r="121" spans="1:7" ht="13" x14ac:dyDescent="0.15">
      <c r="A121" s="2">
        <v>7411686</v>
      </c>
      <c r="B121" s="12" t="s">
        <v>7218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ht="13" x14ac:dyDescent="0.15">
      <c r="A122" s="2">
        <v>387714</v>
      </c>
      <c r="B122" s="12" t="s">
        <v>7219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ht="13" x14ac:dyDescent="0.15">
      <c r="A123" s="2">
        <v>163924</v>
      </c>
      <c r="B123" s="12" t="s">
        <v>7220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ht="13" x14ac:dyDescent="0.15">
      <c r="A124" s="2">
        <v>280229</v>
      </c>
      <c r="B124" s="12" t="s">
        <v>7221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ht="13" x14ac:dyDescent="0.15">
      <c r="A125" s="2">
        <v>1790914</v>
      </c>
      <c r="B125" s="12" t="s">
        <v>7222</v>
      </c>
      <c r="C125">
        <v>0</v>
      </c>
      <c r="D125">
        <v>0</v>
      </c>
      <c r="E125">
        <v>1</v>
      </c>
      <c r="F125">
        <v>0</v>
      </c>
      <c r="G125">
        <v>0</v>
      </c>
    </row>
    <row r="126" spans="1:7" ht="13" x14ac:dyDescent="0.15">
      <c r="A126" s="2">
        <v>106084</v>
      </c>
      <c r="B126" s="12" t="s">
        <v>7223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ht="13" x14ac:dyDescent="0.15">
      <c r="A127" s="2">
        <v>86659</v>
      </c>
      <c r="B127" s="12" t="s">
        <v>7224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ht="13" x14ac:dyDescent="0.15">
      <c r="A128" s="2">
        <v>118254</v>
      </c>
      <c r="B128" s="12" t="s">
        <v>7225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ht="13" x14ac:dyDescent="0.15">
      <c r="A129" s="2">
        <v>105939</v>
      </c>
      <c r="B129" s="12" t="s">
        <v>7226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ht="13" x14ac:dyDescent="0.15">
      <c r="A130" s="2">
        <v>4803766</v>
      </c>
      <c r="B130" s="12" t="s">
        <v>7227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ht="13" x14ac:dyDescent="0.15">
      <c r="A131" s="2">
        <v>5615840</v>
      </c>
      <c r="B131" s="12" t="s">
        <v>7228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ht="13" x14ac:dyDescent="0.15">
      <c r="A132" s="2">
        <v>2261227</v>
      </c>
      <c r="B132" s="12" t="s">
        <v>7229</v>
      </c>
      <c r="C132">
        <v>0</v>
      </c>
      <c r="D132">
        <v>1</v>
      </c>
      <c r="E132">
        <v>0</v>
      </c>
      <c r="F132">
        <v>0</v>
      </c>
      <c r="G132">
        <v>0</v>
      </c>
    </row>
    <row r="133" spans="1:7" ht="13" x14ac:dyDescent="0.15">
      <c r="A133" s="2">
        <v>187666</v>
      </c>
      <c r="B133" s="12" t="s">
        <v>7230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ht="13" x14ac:dyDescent="0.15">
      <c r="A134" s="2">
        <v>3336822</v>
      </c>
      <c r="B134" s="12" t="s">
        <v>7231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ht="13" x14ac:dyDescent="0.15">
      <c r="A135" s="2">
        <v>420362</v>
      </c>
      <c r="B135" s="12" t="s">
        <v>7232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ht="13" x14ac:dyDescent="0.15">
      <c r="A136" s="2">
        <v>2198333</v>
      </c>
      <c r="B136" s="12" t="s">
        <v>7233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ht="13" x14ac:dyDescent="0.15">
      <c r="A137" s="2">
        <v>98740</v>
      </c>
      <c r="B137" s="12" t="s">
        <v>7234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ht="13" x14ac:dyDescent="0.15">
      <c r="A138" s="2">
        <v>94415</v>
      </c>
      <c r="B138" s="12" t="s">
        <v>7235</v>
      </c>
      <c r="C138">
        <v>1</v>
      </c>
      <c r="D138">
        <v>0</v>
      </c>
      <c r="E138">
        <v>0</v>
      </c>
      <c r="F138">
        <v>0</v>
      </c>
      <c r="G138">
        <v>0</v>
      </c>
    </row>
    <row r="139" spans="1:7" ht="13" x14ac:dyDescent="0.15">
      <c r="A139" s="2">
        <v>363307</v>
      </c>
      <c r="B139" s="12" t="s">
        <v>7236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ht="13" x14ac:dyDescent="0.15">
      <c r="A140" s="2">
        <v>2326327</v>
      </c>
      <c r="B140" s="12" t="s">
        <v>7237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ht="13" x14ac:dyDescent="0.15">
      <c r="A141" s="2">
        <v>2788432</v>
      </c>
      <c r="B141" s="12" t="s">
        <v>7238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ht="13" x14ac:dyDescent="0.15">
      <c r="A142" s="2">
        <v>397306</v>
      </c>
      <c r="B142" s="12" t="s">
        <v>7239</v>
      </c>
      <c r="C142">
        <v>0</v>
      </c>
      <c r="D142">
        <v>0</v>
      </c>
      <c r="E142">
        <v>1</v>
      </c>
      <c r="F142">
        <v>0</v>
      </c>
      <c r="G142">
        <v>0</v>
      </c>
    </row>
    <row r="143" spans="1:7" ht="13" x14ac:dyDescent="0.15">
      <c r="A143" s="2">
        <v>429305</v>
      </c>
      <c r="B143" s="12" t="s">
        <v>7240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ht="13" x14ac:dyDescent="0.15">
      <c r="A144" s="2">
        <v>3038126</v>
      </c>
      <c r="B144" s="12" t="s">
        <v>7241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ht="13" x14ac:dyDescent="0.15">
      <c r="A145" s="2">
        <v>319930</v>
      </c>
      <c r="B145" s="12" t="s">
        <v>7242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ht="13" x14ac:dyDescent="0.15">
      <c r="A146" s="2">
        <v>1898069</v>
      </c>
      <c r="B146" s="12" t="s">
        <v>7243</v>
      </c>
      <c r="C146">
        <v>0</v>
      </c>
      <c r="D146">
        <v>1</v>
      </c>
      <c r="E146">
        <v>0</v>
      </c>
      <c r="F146">
        <v>0</v>
      </c>
      <c r="G146">
        <v>0</v>
      </c>
    </row>
    <row r="147" spans="1:7" ht="13" x14ac:dyDescent="0.15">
      <c r="A147" s="2">
        <v>111880</v>
      </c>
      <c r="B147" s="12" t="s">
        <v>7244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ht="13" x14ac:dyDescent="0.15">
      <c r="A148" s="2">
        <v>5257744</v>
      </c>
      <c r="B148" s="12" t="s">
        <v>7244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ht="13" x14ac:dyDescent="0.15">
      <c r="A149" s="2">
        <v>1844624</v>
      </c>
      <c r="B149" s="12" t="s">
        <v>7245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ht="13" x14ac:dyDescent="0.15">
      <c r="A150" s="2">
        <v>319931</v>
      </c>
      <c r="B150" s="12" t="s">
        <v>7246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ht="13" x14ac:dyDescent="0.15">
      <c r="A151" s="2">
        <v>5569012</v>
      </c>
      <c r="B151" s="12" t="s">
        <v>7247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ht="13" x14ac:dyDescent="0.15">
      <c r="A152" s="2">
        <v>3551796</v>
      </c>
      <c r="B152" s="12" t="s">
        <v>7248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ht="13" x14ac:dyDescent="0.15">
      <c r="A153" s="2">
        <v>1596786</v>
      </c>
      <c r="B153" s="12" t="s">
        <v>7249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ht="13" x14ac:dyDescent="0.15">
      <c r="A154" s="2">
        <v>423613</v>
      </c>
      <c r="B154" s="12" t="s">
        <v>7250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ht="13" x14ac:dyDescent="0.15">
      <c r="A155" s="2">
        <v>5968748</v>
      </c>
      <c r="B155" s="12" t="s">
        <v>7251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ht="13" x14ac:dyDescent="0.15">
      <c r="A156" s="2">
        <v>5910786</v>
      </c>
      <c r="B156" s="12" t="s">
        <v>7252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ht="13" x14ac:dyDescent="0.15">
      <c r="A157" s="2">
        <v>7224692</v>
      </c>
      <c r="B157" s="12" t="s">
        <v>7253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ht="13" x14ac:dyDescent="0.15">
      <c r="A158" s="2">
        <v>6536204</v>
      </c>
      <c r="B158" s="12" t="s">
        <v>7254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ht="13" x14ac:dyDescent="0.15">
      <c r="A159" s="2">
        <v>1086221</v>
      </c>
      <c r="B159" s="12" t="s">
        <v>7255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ht="13" x14ac:dyDescent="0.15">
      <c r="A160" s="2">
        <v>8050740</v>
      </c>
      <c r="B160" s="12" t="s">
        <v>7256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ht="13" x14ac:dyDescent="0.15">
      <c r="A161" s="2">
        <v>1702042</v>
      </c>
      <c r="B161" s="12" t="s">
        <v>7257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ht="13" x14ac:dyDescent="0.15">
      <c r="A162" s="2">
        <v>1643266</v>
      </c>
      <c r="B162" s="12" t="s">
        <v>7258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ht="13" x14ac:dyDescent="0.15">
      <c r="A163" s="2">
        <v>5195114</v>
      </c>
      <c r="B163" s="12" t="s">
        <v>7259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ht="13" x14ac:dyDescent="0.15">
      <c r="A164" s="2">
        <v>2441214</v>
      </c>
      <c r="B164" s="12" t="s">
        <v>7260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ht="13" x14ac:dyDescent="0.15">
      <c r="A165" s="2">
        <v>213327</v>
      </c>
      <c r="B165" s="12" t="s">
        <v>7261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ht="13" x14ac:dyDescent="0.15">
      <c r="A166" s="2">
        <v>7424818</v>
      </c>
      <c r="B166" s="12" t="s">
        <v>7262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ht="13" x14ac:dyDescent="0.15">
      <c r="A167" s="2">
        <v>1369711</v>
      </c>
      <c r="B167" s="12" t="s">
        <v>7263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ht="13" x14ac:dyDescent="0.15">
      <c r="A168" s="2">
        <v>162065</v>
      </c>
      <c r="B168" s="12" t="s">
        <v>7264</v>
      </c>
      <c r="C168">
        <v>1</v>
      </c>
      <c r="D168">
        <v>1</v>
      </c>
      <c r="E168">
        <v>0</v>
      </c>
      <c r="F168">
        <v>0</v>
      </c>
      <c r="G168">
        <v>0</v>
      </c>
    </row>
    <row r="169" spans="1:7" ht="13" x14ac:dyDescent="0.15">
      <c r="A169" s="2">
        <v>343274</v>
      </c>
      <c r="B169" s="12" t="s">
        <v>7265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ht="13" x14ac:dyDescent="0.15">
      <c r="A170" s="2">
        <v>1986770</v>
      </c>
      <c r="B170" s="12" t="s">
        <v>7266</v>
      </c>
      <c r="C170">
        <v>0</v>
      </c>
      <c r="D170">
        <v>0</v>
      </c>
      <c r="E170">
        <v>0</v>
      </c>
      <c r="F170">
        <v>1</v>
      </c>
      <c r="G170">
        <v>0</v>
      </c>
    </row>
    <row r="171" spans="1:7" ht="13" x14ac:dyDescent="0.15">
      <c r="A171" s="2">
        <v>3597790</v>
      </c>
      <c r="B171" s="12" t="s">
        <v>7267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ht="13" x14ac:dyDescent="0.15">
      <c r="A172" s="2">
        <v>1327845</v>
      </c>
      <c r="B172" s="12" t="s">
        <v>7268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ht="13" x14ac:dyDescent="0.15">
      <c r="A173" s="2">
        <v>5574490</v>
      </c>
      <c r="B173" s="12" t="s">
        <v>7269</v>
      </c>
      <c r="C173">
        <v>1</v>
      </c>
      <c r="D173">
        <v>0</v>
      </c>
      <c r="E173">
        <v>0</v>
      </c>
      <c r="F173">
        <v>1</v>
      </c>
      <c r="G173">
        <v>0</v>
      </c>
    </row>
    <row r="174" spans="1:7" ht="13" x14ac:dyDescent="0.15">
      <c r="A174" s="2">
        <v>105941</v>
      </c>
      <c r="B174" s="12" t="s">
        <v>7270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ht="13" x14ac:dyDescent="0.15">
      <c r="A175" s="2">
        <v>2293415</v>
      </c>
      <c r="B175" s="12" t="s">
        <v>7271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ht="13" x14ac:dyDescent="0.15">
      <c r="A176" s="2">
        <v>7535706</v>
      </c>
      <c r="B176" s="12" t="s">
        <v>7272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ht="13" x14ac:dyDescent="0.15">
      <c r="A177" s="2">
        <v>1263713</v>
      </c>
      <c r="B177" s="12" t="s">
        <v>7273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ht="13" x14ac:dyDescent="0.15">
      <c r="A178" s="2">
        <v>7122040</v>
      </c>
      <c r="B178" s="12" t="s">
        <v>7274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ht="13" x14ac:dyDescent="0.15">
      <c r="A179" s="2">
        <v>7419010</v>
      </c>
      <c r="B179" s="12" t="s">
        <v>7275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ht="13" x14ac:dyDescent="0.15">
      <c r="A180" s="2">
        <v>11646394</v>
      </c>
      <c r="B180" s="12" t="s">
        <v>7276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ht="13" x14ac:dyDescent="0.15">
      <c r="A181" s="2">
        <v>1913273</v>
      </c>
      <c r="B181" s="12" t="s">
        <v>7277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ht="13" x14ac:dyDescent="0.15">
      <c r="A182" s="2">
        <v>2176165</v>
      </c>
      <c r="B182" s="12" t="s">
        <v>7278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ht="13" x14ac:dyDescent="0.15">
      <c r="A183" s="2">
        <v>3593432</v>
      </c>
      <c r="B183" s="12" t="s">
        <v>7279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ht="13" x14ac:dyDescent="0.15">
      <c r="A184" s="2">
        <v>2845786</v>
      </c>
      <c r="B184" s="12" t="s">
        <v>7280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ht="13" x14ac:dyDescent="0.15">
      <c r="A185" s="2">
        <v>161233</v>
      </c>
      <c r="B185" s="12" t="s">
        <v>7281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ht="13" x14ac:dyDescent="0.15">
      <c r="A186" s="2">
        <v>1385817</v>
      </c>
      <c r="B186" s="12" t="s">
        <v>7282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ht="13" x14ac:dyDescent="0.15">
      <c r="A187" s="2">
        <v>297494</v>
      </c>
      <c r="B187" s="12" t="s">
        <v>7283</v>
      </c>
      <c r="C187">
        <v>0</v>
      </c>
      <c r="D187">
        <v>0</v>
      </c>
      <c r="E187">
        <v>1</v>
      </c>
      <c r="F187">
        <v>0</v>
      </c>
      <c r="G187">
        <v>0</v>
      </c>
    </row>
    <row r="188" spans="1:7" ht="13" x14ac:dyDescent="0.15">
      <c r="A188" s="2">
        <v>3768572</v>
      </c>
      <c r="B188" s="12" t="s">
        <v>7284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ht="13" x14ac:dyDescent="0.15">
      <c r="A189" s="2">
        <v>381733</v>
      </c>
      <c r="B189" s="12" t="s">
        <v>7285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ht="13" x14ac:dyDescent="0.15">
      <c r="A190" s="2">
        <v>904447</v>
      </c>
      <c r="B190" s="12" t="s">
        <v>7286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ht="13" x14ac:dyDescent="0.15">
      <c r="A191" s="2">
        <v>2216600</v>
      </c>
      <c r="B191" s="12" t="s">
        <v>7287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ht="13" x14ac:dyDescent="0.15">
      <c r="A192" s="2">
        <v>1486217</v>
      </c>
      <c r="B192" s="12" t="s">
        <v>7288</v>
      </c>
      <c r="C192">
        <v>0</v>
      </c>
      <c r="D192">
        <v>0</v>
      </c>
      <c r="E192">
        <v>1</v>
      </c>
      <c r="F192">
        <v>0</v>
      </c>
      <c r="G192">
        <v>0</v>
      </c>
    </row>
    <row r="193" spans="1:7" ht="13" x14ac:dyDescent="0.15">
      <c r="A193" s="2">
        <v>229878</v>
      </c>
      <c r="B193" s="12" t="s">
        <v>7289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ht="13" x14ac:dyDescent="0.15">
      <c r="A194" s="2">
        <v>103352</v>
      </c>
      <c r="B194" s="12" t="s">
        <v>7290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ht="13" x14ac:dyDescent="0.15">
      <c r="A195" s="2">
        <v>3484274</v>
      </c>
      <c r="B195" s="12" t="s">
        <v>7291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ht="13" x14ac:dyDescent="0.15">
      <c r="A196" s="2">
        <v>1256124</v>
      </c>
      <c r="B196" s="12" t="s">
        <v>7292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ht="13" x14ac:dyDescent="0.15">
      <c r="A197" s="2">
        <v>443301</v>
      </c>
      <c r="B197" s="12" t="s">
        <v>7293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ht="13" x14ac:dyDescent="0.15">
      <c r="A198" s="2">
        <v>349046</v>
      </c>
      <c r="B198" s="12" t="s">
        <v>7294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ht="13" x14ac:dyDescent="0.15">
      <c r="A199" s="2">
        <v>859592</v>
      </c>
      <c r="B199" s="12" t="s">
        <v>7295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ht="13" x14ac:dyDescent="0.15">
      <c r="A200" s="2">
        <v>135114</v>
      </c>
      <c r="B200" s="12" t="s">
        <v>7296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ht="13" x14ac:dyDescent="0.15">
      <c r="A201" s="2">
        <v>367279</v>
      </c>
      <c r="B201" s="12" t="s">
        <v>7297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ht="13" x14ac:dyDescent="0.15">
      <c r="A202" s="2">
        <v>2193021</v>
      </c>
      <c r="B202" s="12" t="s">
        <v>7298</v>
      </c>
      <c r="C202">
        <v>0</v>
      </c>
      <c r="D202">
        <v>1</v>
      </c>
      <c r="E202">
        <v>0</v>
      </c>
      <c r="F202">
        <v>0</v>
      </c>
      <c r="G202">
        <v>0</v>
      </c>
    </row>
    <row r="203" spans="1:7" ht="13" x14ac:dyDescent="0.15">
      <c r="A203" s="2">
        <v>363314</v>
      </c>
      <c r="B203" s="12" t="s">
        <v>7299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ht="13" x14ac:dyDescent="0.15">
      <c r="A204" s="2">
        <v>9048728</v>
      </c>
      <c r="B204" s="12" t="s">
        <v>7300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ht="13" x14ac:dyDescent="0.15">
      <c r="A205" s="2">
        <v>2034855</v>
      </c>
      <c r="B205" s="12" t="s">
        <v>7301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ht="13" x14ac:dyDescent="0.15">
      <c r="A206" s="2">
        <v>105943</v>
      </c>
      <c r="B206" s="12" t="s">
        <v>7302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ht="13" x14ac:dyDescent="0.15">
      <c r="A207" s="2">
        <v>4189022</v>
      </c>
      <c r="B207" s="12" t="s">
        <v>7303</v>
      </c>
      <c r="C207">
        <v>0</v>
      </c>
      <c r="D207">
        <v>0</v>
      </c>
      <c r="E207">
        <v>0</v>
      </c>
      <c r="F207">
        <v>1</v>
      </c>
      <c r="G207">
        <v>0</v>
      </c>
    </row>
    <row r="208" spans="1:7" ht="13" x14ac:dyDescent="0.15">
      <c r="A208" s="2">
        <v>1008108</v>
      </c>
      <c r="B208" s="12" t="s">
        <v>7304</v>
      </c>
      <c r="C208">
        <v>1</v>
      </c>
      <c r="D208">
        <v>0</v>
      </c>
      <c r="E208">
        <v>0</v>
      </c>
      <c r="F208">
        <v>0</v>
      </c>
      <c r="G208">
        <v>0</v>
      </c>
    </row>
    <row r="209" spans="1:7" ht="13" x14ac:dyDescent="0.15">
      <c r="A209" s="2">
        <v>341688</v>
      </c>
      <c r="B209" s="12" t="s">
        <v>7305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ht="13" x14ac:dyDescent="0.15">
      <c r="A210" s="2">
        <v>951261</v>
      </c>
      <c r="B210" s="12" t="s">
        <v>7306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ht="13" x14ac:dyDescent="0.15">
      <c r="A211" s="2">
        <v>6520964</v>
      </c>
      <c r="B211" s="12" t="s">
        <v>7307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ht="13" x14ac:dyDescent="0.15">
      <c r="A212" s="2">
        <v>13097854</v>
      </c>
      <c r="B212" s="12" t="s">
        <v>7308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ht="13" x14ac:dyDescent="0.15">
      <c r="A213" s="2">
        <v>8911876</v>
      </c>
      <c r="B213" s="12" t="s">
        <v>7309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ht="13" x14ac:dyDescent="0.15">
      <c r="A214" s="2">
        <v>6520982</v>
      </c>
      <c r="B214" s="12" t="s">
        <v>7310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ht="13" x14ac:dyDescent="0.15">
      <c r="A215" s="2">
        <v>1422225</v>
      </c>
      <c r="B215" s="12" t="s">
        <v>7311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ht="13" x14ac:dyDescent="0.15">
      <c r="A216" s="2">
        <v>7152616</v>
      </c>
      <c r="B216" s="12" t="s">
        <v>7312</v>
      </c>
      <c r="C216">
        <v>0</v>
      </c>
      <c r="D216">
        <v>0</v>
      </c>
      <c r="E216">
        <v>0</v>
      </c>
      <c r="F216">
        <v>0</v>
      </c>
      <c r="G216">
        <v>1</v>
      </c>
    </row>
    <row r="217" spans="1:7" ht="13" x14ac:dyDescent="0.15">
      <c r="A217" s="2">
        <v>2705602</v>
      </c>
      <c r="B217" s="12" t="s">
        <v>7313</v>
      </c>
      <c r="C217">
        <v>0</v>
      </c>
      <c r="D217">
        <v>1</v>
      </c>
      <c r="E217">
        <v>0</v>
      </c>
      <c r="F217">
        <v>0</v>
      </c>
      <c r="G217">
        <v>0</v>
      </c>
    </row>
    <row r="218" spans="1:7" ht="13" x14ac:dyDescent="0.15">
      <c r="A218" s="2">
        <v>1381421</v>
      </c>
      <c r="B218" s="12" t="s">
        <v>7314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ht="13" x14ac:dyDescent="0.15">
      <c r="A219" s="2">
        <v>2560140</v>
      </c>
      <c r="B219" s="12" t="s">
        <v>7315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ht="13" x14ac:dyDescent="0.15">
      <c r="A220" s="2">
        <v>6315640</v>
      </c>
      <c r="B220" s="12" t="s">
        <v>7316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ht="13" x14ac:dyDescent="0.15">
      <c r="A221" s="2">
        <v>86665</v>
      </c>
      <c r="B221" s="12" t="s">
        <v>7317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ht="13" x14ac:dyDescent="0.15">
      <c r="A222" s="2">
        <v>1830491</v>
      </c>
      <c r="B222" s="12" t="s">
        <v>7318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ht="13" x14ac:dyDescent="0.15">
      <c r="A223" s="2">
        <v>9614362</v>
      </c>
      <c r="B223" s="12" t="s">
        <v>7319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ht="13" x14ac:dyDescent="0.15">
      <c r="A224" s="2">
        <v>835977</v>
      </c>
      <c r="B224" s="12" t="s">
        <v>7320</v>
      </c>
      <c r="C224">
        <v>1</v>
      </c>
      <c r="D224">
        <v>0</v>
      </c>
      <c r="E224">
        <v>0</v>
      </c>
      <c r="F224">
        <v>0</v>
      </c>
      <c r="G224">
        <v>0</v>
      </c>
    </row>
    <row r="225" spans="1:7" ht="13" x14ac:dyDescent="0.15">
      <c r="A225" s="2">
        <v>9552510</v>
      </c>
      <c r="B225" s="12" t="s">
        <v>7321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ht="13" x14ac:dyDescent="0.15">
      <c r="A226" s="2">
        <v>8134232</v>
      </c>
      <c r="B226" s="12" t="s">
        <v>7322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ht="13" x14ac:dyDescent="0.15">
      <c r="A227" s="2">
        <v>417299</v>
      </c>
      <c r="B227" s="12" t="s">
        <v>7323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ht="13" x14ac:dyDescent="0.15">
      <c r="A228" s="2">
        <v>203247</v>
      </c>
      <c r="B228" s="12" t="s">
        <v>7324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ht="13" x14ac:dyDescent="0.15">
      <c r="A229" s="2">
        <v>380850</v>
      </c>
      <c r="B229" s="12" t="s">
        <v>7325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ht="13" x14ac:dyDescent="0.15">
      <c r="A230" s="2">
        <v>364785</v>
      </c>
      <c r="B230" s="12" t="s">
        <v>7326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ht="13" x14ac:dyDescent="0.15">
      <c r="A231" s="2">
        <v>98900</v>
      </c>
      <c r="B231" s="12" t="s">
        <v>7327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ht="13" x14ac:dyDescent="0.15">
      <c r="A232" s="2">
        <v>1663676</v>
      </c>
      <c r="B232" s="12" t="s">
        <v>7328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ht="13" x14ac:dyDescent="0.15">
      <c r="A233" s="2">
        <v>1197649</v>
      </c>
      <c r="B233" s="12" t="s">
        <v>7329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ht="13" x14ac:dyDescent="0.15">
      <c r="A234" s="2">
        <v>2207861</v>
      </c>
      <c r="B234" s="12" t="s">
        <v>7330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ht="13" x14ac:dyDescent="0.15">
      <c r="A235" s="2">
        <v>339955</v>
      </c>
      <c r="B235" s="12" t="s">
        <v>7331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ht="13" x14ac:dyDescent="0.15">
      <c r="A236" s="2">
        <v>1149354</v>
      </c>
      <c r="B236" s="12" t="s">
        <v>7332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ht="13" x14ac:dyDescent="0.15">
      <c r="A237" s="2">
        <v>156200</v>
      </c>
      <c r="B237" s="12" t="s">
        <v>7333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ht="13" x14ac:dyDescent="0.15">
      <c r="A238" s="2">
        <v>2177489</v>
      </c>
      <c r="B238" s="12" t="s">
        <v>7334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ht="13" x14ac:dyDescent="0.15">
      <c r="A239" s="2">
        <v>338580</v>
      </c>
      <c r="B239" s="12" t="s">
        <v>7335</v>
      </c>
      <c r="C239">
        <v>1</v>
      </c>
      <c r="D239">
        <v>0</v>
      </c>
      <c r="E239">
        <v>0</v>
      </c>
      <c r="F239">
        <v>0</v>
      </c>
      <c r="G239">
        <v>0</v>
      </c>
    </row>
    <row r="240" spans="1:7" ht="13" x14ac:dyDescent="0.15">
      <c r="A240" s="2">
        <v>105946</v>
      </c>
      <c r="B240" s="12" t="s">
        <v>7336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ht="13" x14ac:dyDescent="0.15">
      <c r="A241" s="2">
        <v>4378376</v>
      </c>
      <c r="B241" s="12" t="s">
        <v>7337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ht="13" x14ac:dyDescent="0.15">
      <c r="A242" s="2">
        <v>1334722</v>
      </c>
      <c r="B242" s="12" t="s">
        <v>7338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ht="13" x14ac:dyDescent="0.15">
      <c r="A243" s="2">
        <v>3780132</v>
      </c>
      <c r="B243" s="12" t="s">
        <v>7339</v>
      </c>
      <c r="C243">
        <v>1</v>
      </c>
      <c r="D243">
        <v>0</v>
      </c>
      <c r="E243">
        <v>0</v>
      </c>
      <c r="F243">
        <v>0</v>
      </c>
      <c r="G243">
        <v>0</v>
      </c>
    </row>
    <row r="244" spans="1:7" ht="13" x14ac:dyDescent="0.15">
      <c r="A244" s="2">
        <v>1583428</v>
      </c>
      <c r="B244" s="12" t="s">
        <v>7340</v>
      </c>
      <c r="C244">
        <v>1</v>
      </c>
      <c r="D244">
        <v>0</v>
      </c>
      <c r="E244">
        <v>0</v>
      </c>
      <c r="F244">
        <v>0</v>
      </c>
      <c r="G244">
        <v>0</v>
      </c>
    </row>
    <row r="245" spans="1:7" ht="13" x14ac:dyDescent="0.15">
      <c r="A245" s="2">
        <v>5676590</v>
      </c>
      <c r="B245" s="12" t="s">
        <v>7341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ht="13" x14ac:dyDescent="0.15">
      <c r="A246" s="2">
        <v>3180224</v>
      </c>
      <c r="B246" s="12" t="s">
        <v>7342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ht="13" x14ac:dyDescent="0.15">
      <c r="A247" s="2">
        <v>300727</v>
      </c>
      <c r="B247" s="12" t="s">
        <v>7343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ht="13" x14ac:dyDescent="0.15">
      <c r="A248" s="2">
        <v>9460582</v>
      </c>
      <c r="B248" s="12" t="s">
        <v>7344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ht="13" x14ac:dyDescent="0.15">
      <c r="A249" s="2">
        <v>101042</v>
      </c>
      <c r="B249" s="12" t="s">
        <v>7345</v>
      </c>
      <c r="C249">
        <v>1</v>
      </c>
      <c r="D249">
        <v>0</v>
      </c>
      <c r="E249">
        <v>0</v>
      </c>
      <c r="F249">
        <v>1</v>
      </c>
      <c r="G249">
        <v>0</v>
      </c>
    </row>
    <row r="250" spans="1:7" ht="13" x14ac:dyDescent="0.15">
      <c r="A250" s="2">
        <v>9237988</v>
      </c>
      <c r="B250" s="12" t="s">
        <v>7346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ht="13" x14ac:dyDescent="0.15">
      <c r="A251" s="2">
        <v>6423364</v>
      </c>
      <c r="B251" s="12" t="s">
        <v>7347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ht="13" x14ac:dyDescent="0.15">
      <c r="A252" s="2">
        <v>203248</v>
      </c>
      <c r="B252" s="12" t="s">
        <v>7348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ht="13" x14ac:dyDescent="0.15">
      <c r="A253" s="2">
        <v>7387350</v>
      </c>
      <c r="B253" s="12" t="s">
        <v>7349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ht="13" x14ac:dyDescent="0.15">
      <c r="A254" s="2">
        <v>118264</v>
      </c>
      <c r="B254" s="12" t="s">
        <v>7350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ht="13" x14ac:dyDescent="0.15">
      <c r="A255" s="2">
        <v>856128</v>
      </c>
      <c r="B255" s="12" t="s">
        <v>7351</v>
      </c>
      <c r="C255">
        <v>0</v>
      </c>
      <c r="D255">
        <v>0</v>
      </c>
      <c r="E255">
        <v>0</v>
      </c>
      <c r="F255">
        <v>1</v>
      </c>
      <c r="G255">
        <v>0</v>
      </c>
    </row>
    <row r="256" spans="1:7" ht="13" x14ac:dyDescent="0.15">
      <c r="A256" s="2">
        <v>981456</v>
      </c>
      <c r="B256" s="12" t="s">
        <v>7352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ht="13" x14ac:dyDescent="0.15">
      <c r="A257" s="2">
        <v>2103372</v>
      </c>
      <c r="B257" s="12" t="s">
        <v>7353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ht="13" x14ac:dyDescent="0.15">
      <c r="A258" s="2">
        <v>4006080</v>
      </c>
      <c r="B258" s="12" t="s">
        <v>7354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ht="13" x14ac:dyDescent="0.15">
      <c r="A259" s="2">
        <v>2891574</v>
      </c>
      <c r="B259" s="12" t="s">
        <v>7355</v>
      </c>
      <c r="C259">
        <v>0</v>
      </c>
      <c r="D259">
        <v>0</v>
      </c>
      <c r="E259">
        <v>0</v>
      </c>
      <c r="F259">
        <v>0</v>
      </c>
      <c r="G259">
        <v>1</v>
      </c>
    </row>
    <row r="260" spans="1:7" ht="13" x14ac:dyDescent="0.15">
      <c r="A260" s="2">
        <v>8170404</v>
      </c>
      <c r="B260" s="12" t="s">
        <v>7356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ht="13" x14ac:dyDescent="0.15">
      <c r="A261" s="2">
        <v>1922857</v>
      </c>
      <c r="B261" s="12" t="s">
        <v>7357</v>
      </c>
      <c r="C261">
        <v>1</v>
      </c>
      <c r="D261">
        <v>0</v>
      </c>
      <c r="E261">
        <v>0</v>
      </c>
      <c r="F261">
        <v>0</v>
      </c>
      <c r="G261">
        <v>0</v>
      </c>
    </row>
    <row r="262" spans="1:7" ht="13" x14ac:dyDescent="0.15">
      <c r="A262" s="2">
        <v>239160</v>
      </c>
      <c r="B262" s="12" t="s">
        <v>7358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ht="13" x14ac:dyDescent="0.15">
      <c r="A263" s="2">
        <v>1829088</v>
      </c>
      <c r="B263" s="12" t="s">
        <v>7359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ht="13" x14ac:dyDescent="0.15">
      <c r="A264" s="2">
        <v>7194490</v>
      </c>
      <c r="B264" s="12" t="s">
        <v>7360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ht="13" x14ac:dyDescent="0.15">
      <c r="A265" s="2">
        <v>840064</v>
      </c>
      <c r="B265" s="12" t="s">
        <v>7361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ht="13" x14ac:dyDescent="0.15">
      <c r="A266" s="2">
        <v>2017109</v>
      </c>
      <c r="B266" s="12" t="s">
        <v>7362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ht="13" x14ac:dyDescent="0.15">
      <c r="A267" s="2">
        <v>3966412</v>
      </c>
      <c r="B267" s="12" t="s">
        <v>7363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ht="13" x14ac:dyDescent="0.15">
      <c r="A268" s="2">
        <v>1863526</v>
      </c>
      <c r="B268" s="12" t="s">
        <v>7364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ht="13" x14ac:dyDescent="0.15">
      <c r="A269" s="2">
        <v>1209452</v>
      </c>
      <c r="B269" s="12" t="s">
        <v>7365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ht="13" x14ac:dyDescent="0.15">
      <c r="A270" s="2">
        <v>5807292</v>
      </c>
      <c r="B270" s="12" t="s">
        <v>7366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ht="13" x14ac:dyDescent="0.15">
      <c r="A271" s="2">
        <v>6684226</v>
      </c>
      <c r="B271" s="12" t="s">
        <v>7367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ht="13" x14ac:dyDescent="0.15">
      <c r="A272" s="2">
        <v>783322</v>
      </c>
      <c r="B272" s="12" t="s">
        <v>7368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ht="13" x14ac:dyDescent="0.15">
      <c r="A273" s="2">
        <v>283172</v>
      </c>
      <c r="B273" s="12" t="s">
        <v>7369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ht="13" x14ac:dyDescent="0.15">
      <c r="A274" s="2">
        <v>4919930</v>
      </c>
      <c r="B274" s="12" t="s">
        <v>7370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ht="13" x14ac:dyDescent="0.15">
      <c r="A275" s="2">
        <v>5348176</v>
      </c>
      <c r="B275" s="12" t="s">
        <v>7371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ht="13" x14ac:dyDescent="0.15">
      <c r="A276" s="2">
        <v>856348</v>
      </c>
      <c r="B276" s="12" t="s">
        <v>7372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ht="13" x14ac:dyDescent="0.15">
      <c r="A277" s="2">
        <v>1637756</v>
      </c>
      <c r="B277" s="12" t="s">
        <v>7373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ht="13" x14ac:dyDescent="0.15">
      <c r="A278" s="2">
        <v>2188671</v>
      </c>
      <c r="B278" s="12" t="s">
        <v>7374</v>
      </c>
      <c r="C278">
        <v>0</v>
      </c>
      <c r="D278">
        <v>0</v>
      </c>
      <c r="E278">
        <v>0</v>
      </c>
      <c r="F278">
        <v>1</v>
      </c>
      <c r="G278">
        <v>0</v>
      </c>
    </row>
    <row r="279" spans="1:7" ht="13" x14ac:dyDescent="0.15">
      <c r="A279" s="2">
        <v>147746</v>
      </c>
      <c r="B279" s="12" t="s">
        <v>7375</v>
      </c>
      <c r="C279">
        <v>0</v>
      </c>
      <c r="D279">
        <v>1</v>
      </c>
      <c r="E279">
        <v>0</v>
      </c>
      <c r="F279">
        <v>0</v>
      </c>
      <c r="G279">
        <v>0</v>
      </c>
    </row>
    <row r="280" spans="1:7" ht="13" x14ac:dyDescent="0.15">
      <c r="A280" s="2">
        <v>103359</v>
      </c>
      <c r="B280" s="12" t="s">
        <v>7376</v>
      </c>
      <c r="C280">
        <v>0</v>
      </c>
      <c r="D280">
        <v>1</v>
      </c>
      <c r="E280">
        <v>0</v>
      </c>
      <c r="F280">
        <v>0</v>
      </c>
      <c r="G280">
        <v>0</v>
      </c>
    </row>
    <row r="281" spans="1:7" ht="13" x14ac:dyDescent="0.15">
      <c r="A281" s="2">
        <v>1213218</v>
      </c>
      <c r="B281" s="12" t="s">
        <v>7377</v>
      </c>
      <c r="C281">
        <v>0</v>
      </c>
      <c r="D281">
        <v>1</v>
      </c>
      <c r="E281">
        <v>0</v>
      </c>
      <c r="F281">
        <v>0</v>
      </c>
      <c r="G281">
        <v>0</v>
      </c>
    </row>
    <row r="282" spans="1:7" ht="13" x14ac:dyDescent="0.15">
      <c r="A282" s="2">
        <v>3215364</v>
      </c>
      <c r="B282" s="12" t="s">
        <v>7378</v>
      </c>
      <c r="C282">
        <v>0</v>
      </c>
      <c r="D282">
        <v>0</v>
      </c>
      <c r="E282">
        <v>0</v>
      </c>
      <c r="F282">
        <v>0</v>
      </c>
      <c r="G282">
        <v>1</v>
      </c>
    </row>
    <row r="283" spans="1:7" ht="13" x14ac:dyDescent="0.15">
      <c r="A283" s="2">
        <v>1686925</v>
      </c>
      <c r="B283" s="12" t="s">
        <v>7379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ht="13" x14ac:dyDescent="0.15">
      <c r="A284" s="2">
        <v>2184862</v>
      </c>
      <c r="B284" s="12" t="s">
        <v>7380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ht="13" x14ac:dyDescent="0.15">
      <c r="A285" s="2">
        <v>407362</v>
      </c>
      <c r="B285" s="12" t="s">
        <v>7381</v>
      </c>
      <c r="C285">
        <v>1</v>
      </c>
      <c r="D285">
        <v>0</v>
      </c>
      <c r="E285">
        <v>0</v>
      </c>
      <c r="F285">
        <v>0</v>
      </c>
      <c r="G285">
        <v>0</v>
      </c>
    </row>
    <row r="286" spans="1:7" ht="13" x14ac:dyDescent="0.15">
      <c r="A286" s="2">
        <v>8712204</v>
      </c>
      <c r="B286" s="12" t="s">
        <v>7382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 ht="13" x14ac:dyDescent="0.15">
      <c r="A287" s="2">
        <v>96542</v>
      </c>
      <c r="B287" s="12" t="s">
        <v>7383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ht="13" x14ac:dyDescent="0.15">
      <c r="A288" s="2">
        <v>111892</v>
      </c>
      <c r="B288" s="12" t="s">
        <v>7384</v>
      </c>
      <c r="C288">
        <v>1</v>
      </c>
      <c r="D288">
        <v>0</v>
      </c>
      <c r="E288">
        <v>0</v>
      </c>
      <c r="F288">
        <v>0</v>
      </c>
      <c r="G288">
        <v>0</v>
      </c>
    </row>
    <row r="289" spans="1:7" ht="13" x14ac:dyDescent="0.15">
      <c r="A289" s="2">
        <v>1554330</v>
      </c>
      <c r="B289" s="12" t="s">
        <v>7385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ht="13" x14ac:dyDescent="0.15">
      <c r="A290" s="2">
        <v>4215734</v>
      </c>
      <c r="B290" s="12" t="s">
        <v>7386</v>
      </c>
      <c r="C290">
        <v>1</v>
      </c>
      <c r="D290">
        <v>0</v>
      </c>
      <c r="E290">
        <v>0</v>
      </c>
      <c r="F290">
        <v>0</v>
      </c>
      <c r="G290">
        <v>0</v>
      </c>
    </row>
    <row r="291" spans="1:7" ht="13" x14ac:dyDescent="0.15">
      <c r="A291" s="2">
        <v>1179798</v>
      </c>
      <c r="B291" s="12" t="s">
        <v>7387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ht="13" x14ac:dyDescent="0.15">
      <c r="A292" s="2">
        <v>4224476</v>
      </c>
      <c r="B292" s="12" t="s">
        <v>7388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ht="13" x14ac:dyDescent="0.15">
      <c r="A293" s="2">
        <v>9689610</v>
      </c>
      <c r="B293" s="12" t="s">
        <v>7389</v>
      </c>
      <c r="C293">
        <v>1</v>
      </c>
      <c r="D293">
        <v>0</v>
      </c>
      <c r="E293">
        <v>0</v>
      </c>
      <c r="F293">
        <v>0</v>
      </c>
      <c r="G293">
        <v>0</v>
      </c>
    </row>
    <row r="294" spans="1:7" ht="13" x14ac:dyDescent="0.15">
      <c r="A294" s="2">
        <v>189315</v>
      </c>
      <c r="B294" s="12" t="s">
        <v>7390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ht="13" x14ac:dyDescent="0.15">
      <c r="A295" s="2">
        <v>115108</v>
      </c>
      <c r="B295" s="12" t="s">
        <v>7391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ht="13" x14ac:dyDescent="0.15">
      <c r="A296" s="2">
        <v>215392</v>
      </c>
      <c r="B296" s="12" t="s">
        <v>7392</v>
      </c>
      <c r="C296">
        <v>1</v>
      </c>
      <c r="D296">
        <v>0</v>
      </c>
      <c r="E296">
        <v>0</v>
      </c>
      <c r="F296">
        <v>1</v>
      </c>
      <c r="G296">
        <v>0</v>
      </c>
    </row>
    <row r="297" spans="1:7" ht="13" x14ac:dyDescent="0.15">
      <c r="A297" s="2">
        <v>7095194</v>
      </c>
      <c r="B297" s="12" t="s">
        <v>7393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ht="13" x14ac:dyDescent="0.15">
      <c r="A298" s="2">
        <v>1246607</v>
      </c>
      <c r="B298" s="12" t="s">
        <v>7394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ht="13" x14ac:dyDescent="0.15">
      <c r="A299" s="2">
        <v>460625</v>
      </c>
      <c r="B299" s="12" t="s">
        <v>7395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ht="13" x14ac:dyDescent="0.15">
      <c r="A300" s="2">
        <v>3078774</v>
      </c>
      <c r="B300" s="12" t="s">
        <v>7396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ht="13" x14ac:dyDescent="0.15">
      <c r="A301" s="2">
        <v>105950</v>
      </c>
      <c r="B301" s="12" t="s">
        <v>7397</v>
      </c>
      <c r="C301">
        <v>0</v>
      </c>
      <c r="D301">
        <v>0</v>
      </c>
      <c r="E301">
        <v>1</v>
      </c>
      <c r="F301">
        <v>0</v>
      </c>
      <c r="G301">
        <v>0</v>
      </c>
    </row>
    <row r="302" spans="1:7" ht="13" x14ac:dyDescent="0.15">
      <c r="A302" s="2">
        <v>7397288</v>
      </c>
      <c r="B302" s="12" t="s">
        <v>7398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ht="13" x14ac:dyDescent="0.15">
      <c r="A303" s="2">
        <v>907683</v>
      </c>
      <c r="B303" s="12" t="s">
        <v>7399</v>
      </c>
      <c r="C303">
        <v>1</v>
      </c>
      <c r="D303">
        <v>0</v>
      </c>
      <c r="E303">
        <v>0</v>
      </c>
      <c r="F303">
        <v>0</v>
      </c>
      <c r="G303">
        <v>0</v>
      </c>
    </row>
    <row r="304" spans="1:7" ht="13" x14ac:dyDescent="0.15">
      <c r="A304" s="2">
        <v>434662</v>
      </c>
      <c r="B304" s="12" t="s">
        <v>7400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ht="13" x14ac:dyDescent="0.15">
      <c r="A305" s="2">
        <v>174378</v>
      </c>
      <c r="B305" s="12" t="s">
        <v>7401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ht="13" x14ac:dyDescent="0.15">
      <c r="A306" s="2">
        <v>115110</v>
      </c>
      <c r="B306" s="12" t="s">
        <v>7402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ht="13" x14ac:dyDescent="0.15">
      <c r="A307" s="2">
        <v>294012</v>
      </c>
      <c r="B307" s="12" t="s">
        <v>7402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ht="13" x14ac:dyDescent="0.15">
      <c r="A308" s="2">
        <v>115674</v>
      </c>
      <c r="B308" s="12" t="s">
        <v>7403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ht="13" x14ac:dyDescent="0.15">
      <c r="A309" s="2">
        <v>96543</v>
      </c>
      <c r="B309" s="12" t="s">
        <v>7404</v>
      </c>
      <c r="C309">
        <v>0</v>
      </c>
      <c r="D309">
        <v>0</v>
      </c>
      <c r="E309">
        <v>0</v>
      </c>
      <c r="F309">
        <v>1</v>
      </c>
      <c r="G309">
        <v>0</v>
      </c>
    </row>
    <row r="310" spans="1:7" ht="13" x14ac:dyDescent="0.15">
      <c r="A310" s="2">
        <v>5598192</v>
      </c>
      <c r="B310" s="12" t="s">
        <v>7405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ht="13" x14ac:dyDescent="0.15">
      <c r="A311" s="2">
        <v>298673</v>
      </c>
      <c r="B311" s="12" t="s">
        <v>7406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ht="13" x14ac:dyDescent="0.15">
      <c r="A312" s="2">
        <v>1920029</v>
      </c>
      <c r="B312" s="12" t="s">
        <v>7407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ht="13" x14ac:dyDescent="0.15">
      <c r="A313" s="2">
        <v>159156</v>
      </c>
      <c r="B313" s="12" t="s">
        <v>7408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ht="13" x14ac:dyDescent="0.15">
      <c r="A314" s="2">
        <v>1595680</v>
      </c>
      <c r="B314" s="12" t="s">
        <v>7409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ht="13" x14ac:dyDescent="0.15">
      <c r="A315" s="2">
        <v>2345481</v>
      </c>
      <c r="B315" s="12" t="s">
        <v>7410</v>
      </c>
      <c r="C315">
        <v>0</v>
      </c>
      <c r="D315">
        <v>0</v>
      </c>
      <c r="E315">
        <v>0</v>
      </c>
      <c r="F315">
        <v>0</v>
      </c>
      <c r="G315">
        <v>1</v>
      </c>
    </row>
    <row r="316" spans="1:7" ht="13" x14ac:dyDescent="0.15">
      <c r="A316" s="2">
        <v>2592094</v>
      </c>
      <c r="B316" s="12" t="s">
        <v>7411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ht="13" x14ac:dyDescent="0.15">
      <c r="A317" s="2">
        <v>488259</v>
      </c>
      <c r="B317" s="12" t="s">
        <v>7412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ht="13" x14ac:dyDescent="0.15">
      <c r="A318" s="2">
        <v>283710</v>
      </c>
      <c r="B318" s="12" t="s">
        <v>7413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ht="13" x14ac:dyDescent="0.15">
      <c r="A319" s="2">
        <v>6082618</v>
      </c>
      <c r="B319" s="12" t="s">
        <v>7414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ht="13" x14ac:dyDescent="0.15">
      <c r="A320" s="2">
        <v>2342499</v>
      </c>
      <c r="B320" s="12" t="s">
        <v>7415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ht="13" x14ac:dyDescent="0.15">
      <c r="A321" s="2">
        <v>5180734</v>
      </c>
      <c r="B321" s="12" t="s">
        <v>7416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ht="13" x14ac:dyDescent="0.15">
      <c r="A322" s="2">
        <v>1436544</v>
      </c>
      <c r="B322" s="12" t="s">
        <v>7417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ht="13" x14ac:dyDescent="0.15">
      <c r="A323" s="2">
        <v>760437</v>
      </c>
      <c r="B323" s="12" t="s">
        <v>7418</v>
      </c>
      <c r="C323">
        <v>1</v>
      </c>
      <c r="D323">
        <v>0</v>
      </c>
      <c r="E323">
        <v>0</v>
      </c>
      <c r="F323">
        <v>0</v>
      </c>
      <c r="G323">
        <v>0</v>
      </c>
    </row>
    <row r="324" spans="1:7" ht="13" x14ac:dyDescent="0.15">
      <c r="A324" s="2">
        <v>6148376</v>
      </c>
      <c r="B324" s="12" t="s">
        <v>7418</v>
      </c>
      <c r="C324">
        <v>1</v>
      </c>
      <c r="D324">
        <v>0</v>
      </c>
      <c r="E324">
        <v>0</v>
      </c>
      <c r="F324">
        <v>0</v>
      </c>
      <c r="G324">
        <v>0</v>
      </c>
    </row>
    <row r="325" spans="1:7" ht="13" x14ac:dyDescent="0.15">
      <c r="A325" s="2">
        <v>1192169</v>
      </c>
      <c r="B325" s="12" t="s">
        <v>7419</v>
      </c>
      <c r="C325">
        <v>1</v>
      </c>
      <c r="D325">
        <v>0</v>
      </c>
      <c r="E325">
        <v>0</v>
      </c>
      <c r="F325">
        <v>0</v>
      </c>
      <c r="G325">
        <v>0</v>
      </c>
    </row>
    <row r="326" spans="1:7" ht="13" x14ac:dyDescent="0.15">
      <c r="A326" s="2">
        <v>2177491</v>
      </c>
      <c r="B326" s="12" t="s">
        <v>7420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ht="13" x14ac:dyDescent="0.15">
      <c r="A327" s="2">
        <v>7407732</v>
      </c>
      <c r="B327" s="12" t="s">
        <v>7421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ht="13" x14ac:dyDescent="0.15">
      <c r="A328" s="2">
        <v>5263082</v>
      </c>
      <c r="B328" s="12" t="s">
        <v>7422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ht="13" x14ac:dyDescent="0.15">
      <c r="A329" s="2">
        <v>5191110</v>
      </c>
      <c r="B329" s="12" t="s">
        <v>7423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ht="13" x14ac:dyDescent="0.15">
      <c r="A330" s="2">
        <v>318871</v>
      </c>
      <c r="B330" s="12" t="s">
        <v>7424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ht="13" x14ac:dyDescent="0.15">
      <c r="A331" s="2">
        <v>108703</v>
      </c>
      <c r="B331" s="12" t="s">
        <v>7425</v>
      </c>
      <c r="C331">
        <v>0</v>
      </c>
      <c r="D331">
        <v>1</v>
      </c>
      <c r="E331">
        <v>0</v>
      </c>
      <c r="F331">
        <v>0</v>
      </c>
      <c r="G331">
        <v>0</v>
      </c>
    </row>
    <row r="332" spans="1:7" ht="13" x14ac:dyDescent="0.15">
      <c r="A332" s="2">
        <v>6137460</v>
      </c>
      <c r="B332" s="12" t="s">
        <v>7426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ht="13" x14ac:dyDescent="0.15">
      <c r="A333" s="2">
        <v>3139776</v>
      </c>
      <c r="B333" s="12" t="s">
        <v>7427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ht="13" x14ac:dyDescent="0.15">
      <c r="A334" s="2">
        <v>2751074</v>
      </c>
      <c r="B334" s="12" t="s">
        <v>7428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ht="13" x14ac:dyDescent="0.15">
      <c r="A335" s="2">
        <v>3032476</v>
      </c>
      <c r="B335" s="12" t="s">
        <v>7429</v>
      </c>
      <c r="C335">
        <v>1</v>
      </c>
      <c r="D335">
        <v>0</v>
      </c>
      <c r="E335">
        <v>0</v>
      </c>
      <c r="F335">
        <v>0</v>
      </c>
      <c r="G335">
        <v>0</v>
      </c>
    </row>
    <row r="336" spans="1:7" ht="13" x14ac:dyDescent="0.15">
      <c r="A336" s="2">
        <v>4370596</v>
      </c>
      <c r="B336" s="12" t="s">
        <v>7430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ht="13" x14ac:dyDescent="0.15">
      <c r="A337" s="2">
        <v>428093</v>
      </c>
      <c r="B337" s="12" t="s">
        <v>7431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ht="13" x14ac:dyDescent="0.15">
      <c r="A338" s="2">
        <v>1879713</v>
      </c>
      <c r="B338" s="12" t="s">
        <v>7432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ht="13" x14ac:dyDescent="0.15">
      <c r="A339" s="2">
        <v>103362</v>
      </c>
      <c r="B339" s="12" t="s">
        <v>7433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ht="13" x14ac:dyDescent="0.15">
      <c r="A340" s="2">
        <v>2392683</v>
      </c>
      <c r="B340" s="12" t="s">
        <v>7434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ht="13" x14ac:dyDescent="0.15">
      <c r="A341" s="2">
        <v>98749</v>
      </c>
      <c r="B341" s="12" t="s">
        <v>7435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ht="13" x14ac:dyDescent="0.15">
      <c r="A342" s="2">
        <v>2329077</v>
      </c>
      <c r="B342" s="12" t="s">
        <v>7436</v>
      </c>
      <c r="C342">
        <v>0</v>
      </c>
      <c r="D342">
        <v>1</v>
      </c>
      <c r="E342">
        <v>0</v>
      </c>
      <c r="F342">
        <v>0</v>
      </c>
      <c r="G342">
        <v>0</v>
      </c>
    </row>
    <row r="343" spans="1:7" ht="13" x14ac:dyDescent="0.15">
      <c r="A343" s="2">
        <v>6348126</v>
      </c>
      <c r="B343" s="12" t="s">
        <v>7437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ht="13" x14ac:dyDescent="0.15">
      <c r="A344" s="2">
        <v>101046</v>
      </c>
      <c r="B344" s="12" t="s">
        <v>7438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ht="13" x14ac:dyDescent="0.15">
      <c r="A345" s="2">
        <v>4524424</v>
      </c>
      <c r="B345" s="12" t="s">
        <v>7439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ht="13" x14ac:dyDescent="0.15">
      <c r="A346" s="2">
        <v>11090246</v>
      </c>
      <c r="B346" s="14" t="s">
        <v>7440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ht="13" x14ac:dyDescent="0.15">
      <c r="A347" s="2">
        <v>11609900</v>
      </c>
      <c r="B347" s="12" t="s">
        <v>7441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ht="13" x14ac:dyDescent="0.15">
      <c r="A348" s="2">
        <v>369277</v>
      </c>
      <c r="B348" s="12" t="s">
        <v>7442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ht="13" x14ac:dyDescent="0.15">
      <c r="A349" s="2">
        <v>4501434</v>
      </c>
      <c r="B349" s="12" t="s">
        <v>7443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ht="13" x14ac:dyDescent="0.15">
      <c r="A350" s="2">
        <v>4616994</v>
      </c>
      <c r="B350" s="12" t="s">
        <v>7444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ht="13" x14ac:dyDescent="0.15">
      <c r="A351" s="2">
        <v>262149</v>
      </c>
      <c r="B351" s="12" t="s">
        <v>7445</v>
      </c>
      <c r="C351">
        <v>1</v>
      </c>
      <c r="D351">
        <v>0</v>
      </c>
      <c r="E351">
        <v>0</v>
      </c>
      <c r="F351">
        <v>0</v>
      </c>
      <c r="G351">
        <v>0</v>
      </c>
    </row>
    <row r="352" spans="1:7" ht="13" x14ac:dyDescent="0.15">
      <c r="A352" s="2">
        <v>257295</v>
      </c>
      <c r="B352" s="12" t="s">
        <v>7445</v>
      </c>
      <c r="C352">
        <v>1</v>
      </c>
      <c r="D352">
        <v>0</v>
      </c>
      <c r="E352">
        <v>0</v>
      </c>
      <c r="F352">
        <v>0</v>
      </c>
      <c r="G352">
        <v>0</v>
      </c>
    </row>
    <row r="353" spans="1:7" ht="13" x14ac:dyDescent="0.15">
      <c r="A353" s="2">
        <v>251497</v>
      </c>
      <c r="B353" s="12" t="s">
        <v>7445</v>
      </c>
      <c r="C353">
        <v>1</v>
      </c>
      <c r="D353">
        <v>0</v>
      </c>
      <c r="E353">
        <v>0</v>
      </c>
      <c r="F353">
        <v>0</v>
      </c>
      <c r="G353">
        <v>0</v>
      </c>
    </row>
    <row r="354" spans="1:7" ht="13" x14ac:dyDescent="0.15">
      <c r="A354" s="2">
        <v>341136</v>
      </c>
      <c r="B354" s="12" t="s">
        <v>7446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ht="13" x14ac:dyDescent="0.15">
      <c r="A355" s="2">
        <v>7165904</v>
      </c>
      <c r="B355" s="12" t="s">
        <v>7447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ht="13" x14ac:dyDescent="0.15">
      <c r="A356" s="2">
        <v>9505986</v>
      </c>
      <c r="B356" s="12" t="s">
        <v>7448</v>
      </c>
      <c r="C356">
        <v>0</v>
      </c>
      <c r="D356">
        <v>0</v>
      </c>
      <c r="E356">
        <v>0</v>
      </c>
      <c r="F356">
        <v>1</v>
      </c>
      <c r="G356">
        <v>0</v>
      </c>
    </row>
    <row r="357" spans="1:7" ht="13" x14ac:dyDescent="0.15">
      <c r="A357" s="2">
        <v>5515212</v>
      </c>
      <c r="B357" s="12" t="s">
        <v>7449</v>
      </c>
      <c r="C357">
        <v>0</v>
      </c>
      <c r="D357">
        <v>0</v>
      </c>
      <c r="E357">
        <v>0</v>
      </c>
      <c r="F357">
        <v>1</v>
      </c>
      <c r="G357">
        <v>0</v>
      </c>
    </row>
    <row r="358" spans="1:7" ht="13" x14ac:dyDescent="0.15">
      <c r="A358" s="2">
        <v>3920596</v>
      </c>
      <c r="B358" s="12" t="s">
        <v>7450</v>
      </c>
      <c r="C358">
        <v>0</v>
      </c>
      <c r="D358">
        <v>1</v>
      </c>
      <c r="E358">
        <v>0</v>
      </c>
      <c r="F358">
        <v>0</v>
      </c>
      <c r="G358">
        <v>0</v>
      </c>
    </row>
    <row r="359" spans="1:7" ht="13" x14ac:dyDescent="0.15">
      <c r="A359" s="2">
        <v>421030</v>
      </c>
      <c r="B359" s="12" t="s">
        <v>7451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ht="13" x14ac:dyDescent="0.15">
      <c r="A360" s="2">
        <v>6524350</v>
      </c>
      <c r="B360" s="12" t="s">
        <v>7452</v>
      </c>
      <c r="C360">
        <v>0</v>
      </c>
      <c r="D360">
        <v>0</v>
      </c>
      <c r="E360">
        <v>1</v>
      </c>
      <c r="F360">
        <v>0</v>
      </c>
      <c r="G360">
        <v>0</v>
      </c>
    </row>
    <row r="361" spans="1:7" ht="13" x14ac:dyDescent="0.15">
      <c r="A361" s="2">
        <v>9426376</v>
      </c>
      <c r="B361" s="12" t="s">
        <v>7453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ht="13" x14ac:dyDescent="0.15">
      <c r="A362" s="2">
        <v>178126</v>
      </c>
      <c r="B362" s="12" t="s">
        <v>7454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ht="13" x14ac:dyDescent="0.15">
      <c r="A363" s="2">
        <v>98752</v>
      </c>
      <c r="B363" s="12" t="s">
        <v>7455</v>
      </c>
      <c r="C363">
        <v>0</v>
      </c>
      <c r="D363">
        <v>0</v>
      </c>
      <c r="E363">
        <v>0</v>
      </c>
      <c r="F363">
        <v>1</v>
      </c>
      <c r="G363">
        <v>0</v>
      </c>
    </row>
    <row r="364" spans="1:7" ht="13" x14ac:dyDescent="0.15">
      <c r="A364" s="2">
        <v>173528</v>
      </c>
      <c r="B364" s="12" t="s">
        <v>7456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ht="13" x14ac:dyDescent="0.15">
      <c r="A365" s="2">
        <v>4270492</v>
      </c>
      <c r="B365" s="12" t="s">
        <v>7457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ht="13" x14ac:dyDescent="0.15">
      <c r="A366" s="2">
        <v>6412478</v>
      </c>
      <c r="B366" s="12" t="s">
        <v>7458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ht="13" x14ac:dyDescent="0.15">
      <c r="A367" s="2">
        <v>92323</v>
      </c>
      <c r="B367" s="12" t="s">
        <v>7459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ht="13" x14ac:dyDescent="0.15">
      <c r="A368" s="2">
        <v>312098</v>
      </c>
      <c r="B368" s="12" t="s">
        <v>7460</v>
      </c>
      <c r="C368">
        <v>0</v>
      </c>
      <c r="D368">
        <v>1</v>
      </c>
      <c r="E368">
        <v>0</v>
      </c>
      <c r="F368">
        <v>0</v>
      </c>
      <c r="G368">
        <v>0</v>
      </c>
    </row>
    <row r="369" spans="1:7" ht="13" x14ac:dyDescent="0.15">
      <c r="A369" s="2">
        <v>2365946</v>
      </c>
      <c r="B369" s="12" t="s">
        <v>7461</v>
      </c>
      <c r="C369">
        <v>0</v>
      </c>
      <c r="D369">
        <v>1</v>
      </c>
      <c r="E369">
        <v>0</v>
      </c>
      <c r="F369">
        <v>0</v>
      </c>
      <c r="G369">
        <v>0</v>
      </c>
    </row>
    <row r="370" spans="1:7" ht="13" x14ac:dyDescent="0.15">
      <c r="A370" s="2">
        <v>4800624</v>
      </c>
      <c r="B370" s="12" t="s">
        <v>7462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ht="13" x14ac:dyDescent="0.15">
      <c r="A371" s="2">
        <v>80200</v>
      </c>
      <c r="B371" s="12" t="s">
        <v>7463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ht="13" x14ac:dyDescent="0.15">
      <c r="A372" s="2">
        <v>1138645</v>
      </c>
      <c r="B372" s="12" t="s">
        <v>7464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ht="13" x14ac:dyDescent="0.15">
      <c r="A373" s="2">
        <v>7298976</v>
      </c>
      <c r="B373" s="12" t="s">
        <v>7465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ht="13" x14ac:dyDescent="0.15">
      <c r="A374" s="2">
        <v>92324</v>
      </c>
      <c r="B374" s="12" t="s">
        <v>7466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ht="13" x14ac:dyDescent="0.15">
      <c r="A375" s="2">
        <v>7550774</v>
      </c>
      <c r="B375" s="12" t="s">
        <v>7467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ht="13" x14ac:dyDescent="0.15">
      <c r="A376" s="2">
        <v>262150</v>
      </c>
      <c r="B376" s="12" t="s">
        <v>7468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ht="13" x14ac:dyDescent="0.15">
      <c r="A377" s="2">
        <v>1316554</v>
      </c>
      <c r="B377" s="12" t="s">
        <v>7469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ht="13" x14ac:dyDescent="0.15">
      <c r="A378" s="2">
        <v>2738096</v>
      </c>
      <c r="B378" s="12" t="s">
        <v>7470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ht="13" x14ac:dyDescent="0.15">
      <c r="A379" s="2">
        <v>3589872</v>
      </c>
      <c r="B379" s="12" t="s">
        <v>7471</v>
      </c>
      <c r="C379">
        <v>0</v>
      </c>
      <c r="D379">
        <v>0</v>
      </c>
      <c r="E379">
        <v>0</v>
      </c>
      <c r="F379">
        <v>0</v>
      </c>
      <c r="G379">
        <v>1</v>
      </c>
    </row>
    <row r="380" spans="1:7" ht="13" x14ac:dyDescent="0.15">
      <c r="A380" s="2">
        <v>962826</v>
      </c>
      <c r="B380" s="12" t="s">
        <v>7472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ht="13" x14ac:dyDescent="0.15">
      <c r="A381" s="2">
        <v>6045840</v>
      </c>
      <c r="B381" s="12" t="s">
        <v>7473</v>
      </c>
      <c r="C381">
        <v>0</v>
      </c>
      <c r="D381">
        <v>1</v>
      </c>
      <c r="E381">
        <v>0</v>
      </c>
      <c r="F381">
        <v>0</v>
      </c>
      <c r="G381">
        <v>0</v>
      </c>
    </row>
    <row r="382" spans="1:7" ht="13" x14ac:dyDescent="0.15">
      <c r="A382" s="2">
        <v>2085059</v>
      </c>
      <c r="B382" s="12" t="s">
        <v>7474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ht="13" x14ac:dyDescent="0.15">
      <c r="A383" s="2">
        <v>7406334</v>
      </c>
      <c r="B383" s="12" t="s">
        <v>7475</v>
      </c>
      <c r="C383">
        <v>0</v>
      </c>
      <c r="D383">
        <v>0</v>
      </c>
      <c r="E383">
        <v>0</v>
      </c>
      <c r="F383">
        <v>0</v>
      </c>
      <c r="G383">
        <v>1</v>
      </c>
    </row>
    <row r="384" spans="1:7" ht="13" x14ac:dyDescent="0.15">
      <c r="A384" s="2">
        <v>2375692</v>
      </c>
      <c r="B384" s="12" t="s">
        <v>7476</v>
      </c>
      <c r="C384">
        <v>0</v>
      </c>
      <c r="D384">
        <v>1</v>
      </c>
      <c r="E384">
        <v>0</v>
      </c>
      <c r="F384">
        <v>0</v>
      </c>
      <c r="G384">
        <v>0</v>
      </c>
    </row>
    <row r="385" spans="1:7" ht="13" x14ac:dyDescent="0.15">
      <c r="A385" s="2">
        <v>155425</v>
      </c>
      <c r="B385" s="12" t="s">
        <v>7477</v>
      </c>
      <c r="C385">
        <v>0</v>
      </c>
      <c r="D385">
        <v>0</v>
      </c>
      <c r="E385">
        <v>0</v>
      </c>
      <c r="F385">
        <v>1</v>
      </c>
      <c r="G385">
        <v>0</v>
      </c>
    </row>
    <row r="386" spans="1:7" ht="13" x14ac:dyDescent="0.15">
      <c r="A386" s="2">
        <v>6519410</v>
      </c>
      <c r="B386" s="12" t="s">
        <v>7478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ht="13" x14ac:dyDescent="0.15">
      <c r="A387" s="2">
        <v>408374</v>
      </c>
      <c r="B387" s="12" t="s">
        <v>7479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ht="13" x14ac:dyDescent="0.15">
      <c r="A388" s="2">
        <v>88484</v>
      </c>
      <c r="B388" s="12" t="s">
        <v>7480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ht="13" x14ac:dyDescent="0.15">
      <c r="A389" s="2">
        <v>3487356</v>
      </c>
      <c r="B389" s="12" t="s">
        <v>7481</v>
      </c>
      <c r="C389">
        <v>0</v>
      </c>
      <c r="D389">
        <v>0</v>
      </c>
      <c r="E389">
        <v>0</v>
      </c>
      <c r="F389">
        <v>0</v>
      </c>
      <c r="G389">
        <v>1</v>
      </c>
    </row>
    <row r="390" spans="1:7" ht="13" x14ac:dyDescent="0.15">
      <c r="A390" s="2">
        <v>96548</v>
      </c>
      <c r="B390" s="12" t="s">
        <v>7482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ht="13" x14ac:dyDescent="0.15">
      <c r="A391" s="2">
        <v>7771836</v>
      </c>
      <c r="B391" s="12" t="s">
        <v>7483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ht="13" x14ac:dyDescent="0.15">
      <c r="A392" s="2">
        <v>170881</v>
      </c>
      <c r="B392" s="12" t="s">
        <v>7484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ht="13" x14ac:dyDescent="0.15">
      <c r="A393" s="2">
        <v>823333</v>
      </c>
      <c r="B393" s="12" t="s">
        <v>7485</v>
      </c>
      <c r="C393">
        <v>0</v>
      </c>
      <c r="D393">
        <v>0</v>
      </c>
      <c r="E393">
        <v>0</v>
      </c>
      <c r="F393">
        <v>1</v>
      </c>
      <c r="G393">
        <v>1</v>
      </c>
    </row>
    <row r="394" spans="1:7" ht="13" x14ac:dyDescent="0.15">
      <c r="A394" s="2">
        <v>221026</v>
      </c>
      <c r="B394" s="12" t="s">
        <v>7486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ht="13" x14ac:dyDescent="0.15">
      <c r="A395" s="2">
        <v>4458594</v>
      </c>
      <c r="B395" s="12" t="s">
        <v>7487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ht="13" x14ac:dyDescent="0.15">
      <c r="A396" s="2">
        <v>88486</v>
      </c>
      <c r="B396" s="12" t="s">
        <v>7488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ht="13" x14ac:dyDescent="0.15">
      <c r="A397" s="2">
        <v>4474344</v>
      </c>
      <c r="B397" s="12" t="s">
        <v>7489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ht="13" x14ac:dyDescent="0.15">
      <c r="A398" s="2">
        <v>302076</v>
      </c>
      <c r="B398" s="12" t="s">
        <v>7490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ht="13" x14ac:dyDescent="0.15">
      <c r="A399" s="2">
        <v>4428022</v>
      </c>
      <c r="B399" s="12" t="s">
        <v>7491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ht="13" x14ac:dyDescent="0.15">
      <c r="A400" s="2">
        <v>7712598</v>
      </c>
      <c r="B400" s="12" t="s">
        <v>7492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ht="13" x14ac:dyDescent="0.15">
      <c r="A401" s="2">
        <v>83662</v>
      </c>
      <c r="B401" s="12" t="s">
        <v>7493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ht="13" x14ac:dyDescent="0.15">
      <c r="A402" s="2">
        <v>4898282</v>
      </c>
      <c r="B402" s="12" t="s">
        <v>7494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ht="13" x14ac:dyDescent="0.15">
      <c r="A403" s="2">
        <v>1890725</v>
      </c>
      <c r="B403" s="12" t="s">
        <v>7495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ht="13" x14ac:dyDescent="0.15">
      <c r="A404" s="2">
        <v>482855</v>
      </c>
      <c r="B404" s="12" t="s">
        <v>7496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ht="13" x14ac:dyDescent="0.15">
      <c r="A405" s="2">
        <v>6362756</v>
      </c>
      <c r="B405" s="12" t="s">
        <v>7497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ht="13" x14ac:dyDescent="0.15">
      <c r="A406" s="2">
        <v>3520702</v>
      </c>
      <c r="B406" s="12" t="s">
        <v>7498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ht="13" x14ac:dyDescent="0.15">
      <c r="A407" s="2">
        <v>2125743</v>
      </c>
      <c r="B407" s="12" t="s">
        <v>7499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ht="13" x14ac:dyDescent="0.15">
      <c r="A408" s="2">
        <v>101050</v>
      </c>
      <c r="B408" s="12" t="s">
        <v>7500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ht="13" x14ac:dyDescent="0.15">
      <c r="A409" s="2">
        <v>464769</v>
      </c>
      <c r="B409" s="12" t="s">
        <v>7501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ht="13" x14ac:dyDescent="0.15">
      <c r="A410" s="2">
        <v>1595859</v>
      </c>
      <c r="B410" s="12" t="s">
        <v>7502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ht="13" x14ac:dyDescent="0.15">
      <c r="A411" s="2">
        <v>1139447</v>
      </c>
      <c r="B411" s="12" t="s">
        <v>7503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ht="13" x14ac:dyDescent="0.15">
      <c r="A412" s="2">
        <v>387724</v>
      </c>
      <c r="B412" s="12" t="s">
        <v>7504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ht="13" x14ac:dyDescent="0.15">
      <c r="A413" s="2">
        <v>9413930</v>
      </c>
      <c r="B413" s="12" t="s">
        <v>7505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ht="13" x14ac:dyDescent="0.15">
      <c r="A414" s="2">
        <v>163929</v>
      </c>
      <c r="B414" s="12" t="s">
        <v>7506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ht="13" x14ac:dyDescent="0.15">
      <c r="A415" s="2">
        <v>2708572</v>
      </c>
      <c r="B415" s="12" t="s">
        <v>7507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ht="13" x14ac:dyDescent="0.15">
      <c r="A416" s="2">
        <v>7575678</v>
      </c>
      <c r="B416" s="12" t="s">
        <v>7508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ht="13" x14ac:dyDescent="0.15">
      <c r="A417" s="2">
        <v>979432</v>
      </c>
      <c r="B417" s="12" t="s">
        <v>7509</v>
      </c>
      <c r="C417">
        <v>0</v>
      </c>
      <c r="D417">
        <v>1</v>
      </c>
      <c r="E417">
        <v>0</v>
      </c>
      <c r="F417">
        <v>0</v>
      </c>
      <c r="G417">
        <v>0</v>
      </c>
    </row>
    <row r="418" spans="1:7" ht="13" x14ac:dyDescent="0.15">
      <c r="A418" s="2">
        <v>1430652</v>
      </c>
      <c r="B418" s="12" t="s">
        <v>7510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ht="13" x14ac:dyDescent="0.15">
      <c r="A419" s="2">
        <v>295071</v>
      </c>
      <c r="B419" s="12" t="s">
        <v>7511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ht="13" x14ac:dyDescent="0.15">
      <c r="A420" s="2">
        <v>262151</v>
      </c>
      <c r="B420" s="12" t="s">
        <v>7512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ht="13" x14ac:dyDescent="0.15">
      <c r="A421" s="2">
        <v>1561755</v>
      </c>
      <c r="B421" s="12" t="s">
        <v>7513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ht="13" x14ac:dyDescent="0.15">
      <c r="A422" s="2">
        <v>9425082</v>
      </c>
      <c r="B422" s="12" t="s">
        <v>7514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ht="13" x14ac:dyDescent="0.15">
      <c r="A423" s="2">
        <v>407367</v>
      </c>
      <c r="B423" s="12" t="s">
        <v>7515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ht="13" x14ac:dyDescent="0.15">
      <c r="A424" s="2">
        <v>1587669</v>
      </c>
      <c r="B424" s="12" t="s">
        <v>7516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ht="13" x14ac:dyDescent="0.15">
      <c r="A425" s="2">
        <v>7493974</v>
      </c>
      <c r="B425" s="12" t="s">
        <v>7517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ht="13" x14ac:dyDescent="0.15">
      <c r="A426" s="2">
        <v>2731846</v>
      </c>
      <c r="B426" s="12" t="s">
        <v>7518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ht="13" x14ac:dyDescent="0.15">
      <c r="A427" s="2">
        <v>3398228</v>
      </c>
      <c r="B427" s="12" t="s">
        <v>7519</v>
      </c>
      <c r="C427">
        <v>0</v>
      </c>
      <c r="D427">
        <v>0</v>
      </c>
      <c r="E427">
        <v>1</v>
      </c>
      <c r="F427">
        <v>0</v>
      </c>
      <c r="G427">
        <v>0</v>
      </c>
    </row>
    <row r="428" spans="1:7" ht="13" x14ac:dyDescent="0.15">
      <c r="A428" s="2">
        <v>6740148</v>
      </c>
      <c r="B428" s="12" t="s">
        <v>7520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ht="13" x14ac:dyDescent="0.15">
      <c r="A429" s="2">
        <v>1955311</v>
      </c>
      <c r="B429" s="12" t="s">
        <v>7521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ht="13" x14ac:dyDescent="0.15">
      <c r="A430" s="2">
        <v>1723626</v>
      </c>
      <c r="B430" s="12" t="s">
        <v>7522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ht="13" x14ac:dyDescent="0.15">
      <c r="A431" s="2">
        <v>7718088</v>
      </c>
      <c r="B431" s="12" t="s">
        <v>7523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ht="13" x14ac:dyDescent="0.15">
      <c r="A432" s="2">
        <v>460627</v>
      </c>
      <c r="B432" s="12" t="s">
        <v>7524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ht="13" x14ac:dyDescent="0.15">
      <c r="A433" s="2">
        <v>319960</v>
      </c>
      <c r="B433" s="12" t="s">
        <v>7525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ht="13" x14ac:dyDescent="0.15">
      <c r="A434" s="2">
        <v>90400</v>
      </c>
      <c r="B434" s="12" t="s">
        <v>7526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ht="13" x14ac:dyDescent="0.15">
      <c r="A435" s="2">
        <v>5813158</v>
      </c>
      <c r="B435" s="12" t="s">
        <v>7527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ht="13" x14ac:dyDescent="0.15">
      <c r="A436" s="2">
        <v>4937942</v>
      </c>
      <c r="B436" s="12" t="s">
        <v>7528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ht="13" x14ac:dyDescent="0.15">
      <c r="A437" s="2">
        <v>3323254</v>
      </c>
      <c r="B437" s="12" t="s">
        <v>7528</v>
      </c>
      <c r="C437">
        <v>0</v>
      </c>
      <c r="D437">
        <v>0</v>
      </c>
      <c r="E437">
        <v>1</v>
      </c>
      <c r="F437">
        <v>0</v>
      </c>
      <c r="G437">
        <v>0</v>
      </c>
    </row>
    <row r="438" spans="1:7" ht="13" x14ac:dyDescent="0.15">
      <c r="A438" s="2">
        <v>1255913</v>
      </c>
      <c r="B438" s="12" t="s">
        <v>7529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ht="13" x14ac:dyDescent="0.15">
      <c r="A439" s="2">
        <v>1736341</v>
      </c>
      <c r="B439" s="12" t="s">
        <v>7530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ht="13" x14ac:dyDescent="0.15">
      <c r="A440" s="2">
        <v>3502248</v>
      </c>
      <c r="B440" s="12" t="s">
        <v>7531</v>
      </c>
      <c r="C440">
        <v>0</v>
      </c>
      <c r="D440">
        <v>1</v>
      </c>
      <c r="E440">
        <v>0</v>
      </c>
      <c r="F440">
        <v>0</v>
      </c>
      <c r="G440">
        <v>0</v>
      </c>
    </row>
    <row r="441" spans="1:7" ht="13" x14ac:dyDescent="0.15">
      <c r="A441" s="2">
        <v>1833285</v>
      </c>
      <c r="B441" s="12" t="s">
        <v>7532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ht="13" x14ac:dyDescent="0.15">
      <c r="A442" s="2">
        <v>402711</v>
      </c>
      <c r="B442" s="12" t="s">
        <v>7533</v>
      </c>
      <c r="C442">
        <v>1</v>
      </c>
      <c r="D442">
        <v>0</v>
      </c>
      <c r="E442">
        <v>0</v>
      </c>
      <c r="F442">
        <v>0</v>
      </c>
      <c r="G442">
        <v>0</v>
      </c>
    </row>
    <row r="443" spans="1:7" ht="13" x14ac:dyDescent="0.15">
      <c r="A443" s="2">
        <v>1673792</v>
      </c>
      <c r="B443" s="12" t="s">
        <v>7534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ht="13" x14ac:dyDescent="0.15">
      <c r="A444" s="2">
        <v>247081</v>
      </c>
      <c r="B444" s="12" t="s">
        <v>7535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ht="13" x14ac:dyDescent="0.15">
      <c r="A445" s="2">
        <v>3781836</v>
      </c>
      <c r="B445" s="12" t="s">
        <v>7536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ht="13" x14ac:dyDescent="0.15">
      <c r="A446" s="2">
        <v>103376</v>
      </c>
      <c r="B446" s="12" t="s">
        <v>7537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ht="13" x14ac:dyDescent="0.15">
      <c r="A447" s="2">
        <v>7350790</v>
      </c>
      <c r="B447" s="12" t="s">
        <v>7538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ht="13" x14ac:dyDescent="0.15">
      <c r="A448" s="2">
        <v>5000634</v>
      </c>
      <c r="B448" s="12" t="s">
        <v>7539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ht="13" x14ac:dyDescent="0.15">
      <c r="A449" s="2">
        <v>105958</v>
      </c>
      <c r="B449" s="12" t="s">
        <v>7540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ht="13" x14ac:dyDescent="0.15">
      <c r="A450" s="2">
        <v>2078690</v>
      </c>
      <c r="B450" s="12" t="s">
        <v>7541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ht="13" x14ac:dyDescent="0.15">
      <c r="A451" s="2">
        <v>4877736</v>
      </c>
      <c r="B451" s="12" t="s">
        <v>7542</v>
      </c>
      <c r="C451">
        <v>1</v>
      </c>
      <c r="D451">
        <v>1</v>
      </c>
      <c r="E451">
        <v>0</v>
      </c>
      <c r="F451">
        <v>0</v>
      </c>
      <c r="G451">
        <v>0</v>
      </c>
    </row>
    <row r="452" spans="1:7" ht="13" x14ac:dyDescent="0.15">
      <c r="A452" s="2">
        <v>442633</v>
      </c>
      <c r="B452" s="12" t="s">
        <v>7543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ht="13" x14ac:dyDescent="0.15">
      <c r="A453" s="2">
        <v>111899</v>
      </c>
      <c r="B453" s="12" t="s">
        <v>7544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ht="13" x14ac:dyDescent="0.15">
      <c r="A454" s="2">
        <v>127471</v>
      </c>
      <c r="B454" s="12" t="s">
        <v>7545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ht="13" x14ac:dyDescent="0.15">
      <c r="A455" s="2">
        <v>2303077</v>
      </c>
      <c r="B455" s="12" t="s">
        <v>7546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ht="13" x14ac:dyDescent="0.15">
      <c r="A456" s="2">
        <v>90402</v>
      </c>
      <c r="B456" s="12" t="s">
        <v>7547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ht="13" x14ac:dyDescent="0.15">
      <c r="A457" s="2">
        <v>1916865</v>
      </c>
      <c r="B457" s="12" t="s">
        <v>7548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ht="13" x14ac:dyDescent="0.15">
      <c r="A458" s="2">
        <v>2386354</v>
      </c>
      <c r="B458" s="12" t="s">
        <v>7549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ht="13" x14ac:dyDescent="0.15">
      <c r="A459" s="2">
        <v>3057670</v>
      </c>
      <c r="B459" s="12" t="s">
        <v>7550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ht="13" x14ac:dyDescent="0.15">
      <c r="A460" s="2">
        <v>903747</v>
      </c>
      <c r="B460" s="12" t="s">
        <v>7551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ht="13" x14ac:dyDescent="0.15">
      <c r="A461" s="2">
        <v>7878864</v>
      </c>
      <c r="B461" s="12" t="s">
        <v>7552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ht="13" x14ac:dyDescent="0.15">
      <c r="A462" s="2">
        <v>2290981</v>
      </c>
      <c r="B462" s="12" t="s">
        <v>7553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ht="13" x14ac:dyDescent="0.15">
      <c r="A463" s="2">
        <v>1590961</v>
      </c>
      <c r="B463" s="12" t="s">
        <v>7554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ht="13" x14ac:dyDescent="0.15">
      <c r="A464" s="2">
        <v>278236</v>
      </c>
      <c r="B464" s="12" t="s">
        <v>7555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ht="13" x14ac:dyDescent="0.15">
      <c r="A465" s="2">
        <v>2022713</v>
      </c>
      <c r="B465" s="12" t="s">
        <v>7556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ht="13" x14ac:dyDescent="0.15">
      <c r="A466" s="2">
        <v>3139942</v>
      </c>
      <c r="B466" s="12" t="s">
        <v>7557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ht="13" x14ac:dyDescent="0.15">
      <c r="A467" s="2">
        <v>4814120</v>
      </c>
      <c r="B467" s="12" t="s">
        <v>7558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ht="13" x14ac:dyDescent="0.15">
      <c r="A468" s="2">
        <v>462085</v>
      </c>
      <c r="B468" s="12" t="s">
        <v>7559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ht="13" x14ac:dyDescent="0.15">
      <c r="A469" s="2">
        <v>165564</v>
      </c>
      <c r="B469" s="12" t="s">
        <v>7560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ht="13" x14ac:dyDescent="0.15">
      <c r="A470" s="2">
        <v>83391</v>
      </c>
      <c r="B470" s="12" t="s">
        <v>7561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ht="13" x14ac:dyDescent="0.15">
      <c r="A471" s="2">
        <v>3704280</v>
      </c>
      <c r="B471" s="12" t="s">
        <v>7562</v>
      </c>
      <c r="C471">
        <v>0</v>
      </c>
      <c r="D471">
        <v>0</v>
      </c>
      <c r="E471">
        <v>0</v>
      </c>
      <c r="F471">
        <v>1</v>
      </c>
      <c r="G471">
        <v>0</v>
      </c>
    </row>
    <row r="472" spans="1:7" ht="13" x14ac:dyDescent="0.15">
      <c r="A472" s="2">
        <v>88489</v>
      </c>
      <c r="B472" s="12" t="s">
        <v>7563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ht="13" x14ac:dyDescent="0.15">
      <c r="A473" s="2">
        <v>481440</v>
      </c>
      <c r="B473" s="12" t="s">
        <v>7564</v>
      </c>
      <c r="C473">
        <v>1</v>
      </c>
      <c r="D473">
        <v>0</v>
      </c>
      <c r="E473">
        <v>0</v>
      </c>
      <c r="F473">
        <v>0</v>
      </c>
      <c r="G473">
        <v>0</v>
      </c>
    </row>
    <row r="474" spans="1:7" ht="13" x14ac:dyDescent="0.15">
      <c r="A474" s="2">
        <v>3678740</v>
      </c>
      <c r="B474" s="12" t="s">
        <v>7565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ht="13" x14ac:dyDescent="0.15">
      <c r="A475" s="2">
        <v>7838332</v>
      </c>
      <c r="B475" s="12" t="s">
        <v>7566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ht="13" x14ac:dyDescent="0.15">
      <c r="A476" s="2">
        <v>1049244</v>
      </c>
      <c r="B476" s="12" t="s">
        <v>7567</v>
      </c>
      <c r="C476">
        <v>1</v>
      </c>
      <c r="D476">
        <v>0</v>
      </c>
      <c r="E476">
        <v>0</v>
      </c>
      <c r="F476">
        <v>0</v>
      </c>
      <c r="G476">
        <v>0</v>
      </c>
    </row>
    <row r="477" spans="1:7" ht="13" x14ac:dyDescent="0.15">
      <c r="A477" s="2">
        <v>1034201</v>
      </c>
      <c r="B477" s="12" t="s">
        <v>7568</v>
      </c>
      <c r="C477">
        <v>1</v>
      </c>
      <c r="D477">
        <v>0</v>
      </c>
      <c r="E477">
        <v>0</v>
      </c>
      <c r="F477">
        <v>0</v>
      </c>
      <c r="G477">
        <v>0</v>
      </c>
    </row>
    <row r="478" spans="1:7" ht="13" x14ac:dyDescent="0.15">
      <c r="A478" s="2">
        <v>4693368</v>
      </c>
      <c r="B478" s="12" t="s">
        <v>7569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ht="13" x14ac:dyDescent="0.15">
      <c r="A479" s="2">
        <v>5932548</v>
      </c>
      <c r="B479" s="12" t="s">
        <v>7570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ht="13" x14ac:dyDescent="0.15">
      <c r="A480" s="2">
        <v>7770556</v>
      </c>
      <c r="B480" s="12" t="s">
        <v>7571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ht="13" x14ac:dyDescent="0.15">
      <c r="A481" s="2">
        <v>101143</v>
      </c>
      <c r="B481" s="12" t="s">
        <v>7572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ht="13" x14ac:dyDescent="0.15">
      <c r="A482" s="2">
        <v>6520874</v>
      </c>
      <c r="B482" s="12" t="s">
        <v>7573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ht="13" x14ac:dyDescent="0.15">
      <c r="A483" s="2">
        <v>2578560</v>
      </c>
      <c r="B483" s="12" t="s">
        <v>7574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ht="13" x14ac:dyDescent="0.15">
      <c r="A484" s="2">
        <v>2249364</v>
      </c>
      <c r="B484" s="12" t="s">
        <v>7575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ht="13" x14ac:dyDescent="0.15">
      <c r="A485" s="2">
        <v>5722190</v>
      </c>
      <c r="B485" s="12" t="s">
        <v>7576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ht="13" x14ac:dyDescent="0.15">
      <c r="A486" s="2">
        <v>3330908</v>
      </c>
      <c r="B486" s="12" t="s">
        <v>7577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ht="13" x14ac:dyDescent="0.15">
      <c r="A487" s="2">
        <v>11168226</v>
      </c>
      <c r="B487" s="12" t="s">
        <v>7578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ht="13" x14ac:dyDescent="0.15">
      <c r="A488" s="2">
        <v>451002</v>
      </c>
      <c r="B488" s="12" t="s">
        <v>7579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ht="13" x14ac:dyDescent="0.15">
      <c r="A489" s="2">
        <v>8082124</v>
      </c>
      <c r="B489" s="12" t="s">
        <v>7580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ht="13" x14ac:dyDescent="0.15">
      <c r="A490" s="2">
        <v>453418</v>
      </c>
      <c r="B490" s="12" t="s">
        <v>7581</v>
      </c>
      <c r="C490">
        <v>0</v>
      </c>
      <c r="D490">
        <v>0</v>
      </c>
      <c r="E490">
        <v>1</v>
      </c>
      <c r="F490">
        <v>0</v>
      </c>
      <c r="G490">
        <v>0</v>
      </c>
    </row>
    <row r="491" spans="1:7" ht="13" x14ac:dyDescent="0.15">
      <c r="A491" s="2">
        <v>101055</v>
      </c>
      <c r="B491" s="12" t="s">
        <v>7582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ht="13" x14ac:dyDescent="0.15">
      <c r="A492" s="2">
        <v>2947494</v>
      </c>
      <c r="B492" s="12" t="s">
        <v>7583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ht="13" x14ac:dyDescent="0.15">
      <c r="A493" s="2">
        <v>2467372</v>
      </c>
      <c r="B493" s="12" t="s">
        <v>7584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ht="13" x14ac:dyDescent="0.15">
      <c r="A494" s="2">
        <v>2850332</v>
      </c>
      <c r="B494" s="12" t="s">
        <v>7585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ht="13" x14ac:dyDescent="0.15">
      <c r="A495" s="2">
        <v>457229</v>
      </c>
      <c r="B495" s="12" t="s">
        <v>7586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ht="13" x14ac:dyDescent="0.15">
      <c r="A496" s="2">
        <v>111901</v>
      </c>
      <c r="B496" s="12" t="s">
        <v>7587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ht="13" x14ac:dyDescent="0.15">
      <c r="A497" s="2">
        <v>758737</v>
      </c>
      <c r="B497" s="12" t="s">
        <v>7588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ht="13" x14ac:dyDescent="0.15">
      <c r="A498" s="2">
        <v>3563898</v>
      </c>
      <c r="B498" s="12" t="s">
        <v>7589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ht="13" x14ac:dyDescent="0.15">
      <c r="A499" s="2">
        <v>2329220</v>
      </c>
      <c r="B499" s="12" t="s">
        <v>7590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ht="13" x14ac:dyDescent="0.15">
      <c r="A500" s="2">
        <v>8139230</v>
      </c>
      <c r="B500" s="12" t="s">
        <v>7591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ht="13" x14ac:dyDescent="0.15">
      <c r="A501" s="2">
        <v>1888795</v>
      </c>
      <c r="B501" s="12" t="s">
        <v>7592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ht="13" x14ac:dyDescent="0.15">
      <c r="A502" s="2">
        <v>2555880</v>
      </c>
      <c r="B502" s="12" t="s">
        <v>7593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ht="13" x14ac:dyDescent="0.15">
      <c r="A503" s="2">
        <v>1047724</v>
      </c>
      <c r="B503" s="12" t="s">
        <v>7594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ht="13" x14ac:dyDescent="0.15">
      <c r="A504" s="2">
        <v>118276</v>
      </c>
      <c r="B504" s="12" t="s">
        <v>7595</v>
      </c>
      <c r="C504">
        <v>0</v>
      </c>
      <c r="D504">
        <v>0</v>
      </c>
      <c r="E504">
        <v>0</v>
      </c>
      <c r="F504">
        <v>1</v>
      </c>
      <c r="G504">
        <v>0</v>
      </c>
    </row>
    <row r="505" spans="1:7" ht="13" x14ac:dyDescent="0.15">
      <c r="A505" s="2">
        <v>217916</v>
      </c>
      <c r="B505" s="12" t="s">
        <v>7596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ht="13" x14ac:dyDescent="0.15">
      <c r="A506" s="2">
        <v>5827228</v>
      </c>
      <c r="B506" s="12" t="s">
        <v>7597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ht="13" x14ac:dyDescent="0.15">
      <c r="A507" s="2">
        <v>8038720</v>
      </c>
      <c r="B507" s="12" t="s">
        <v>7598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ht="13" x14ac:dyDescent="0.15">
      <c r="A508" s="2">
        <v>200329</v>
      </c>
      <c r="B508" s="12" t="s">
        <v>7599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ht="13" x14ac:dyDescent="0.15">
      <c r="A509" s="2">
        <v>3864476</v>
      </c>
      <c r="B509" s="12" t="s">
        <v>7600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ht="13" x14ac:dyDescent="0.15">
      <c r="A510" s="2">
        <v>5444412</v>
      </c>
      <c r="B510" s="12" t="s">
        <v>7601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ht="13" x14ac:dyDescent="0.15">
      <c r="A511" s="2">
        <v>6987476</v>
      </c>
      <c r="B511" s="12" t="s">
        <v>7602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ht="13" x14ac:dyDescent="0.15">
      <c r="A512" s="2">
        <v>4256032</v>
      </c>
      <c r="B512" s="12" t="s">
        <v>7603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ht="13" x14ac:dyDescent="0.15">
      <c r="A513" s="2">
        <v>810788</v>
      </c>
      <c r="B513" s="12" t="s">
        <v>7604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ht="13" x14ac:dyDescent="0.15">
      <c r="A514" s="2">
        <v>1489312</v>
      </c>
      <c r="B514" s="12" t="s">
        <v>7605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ht="13" x14ac:dyDescent="0.15">
      <c r="A515" s="2">
        <v>3719900</v>
      </c>
      <c r="B515" s="12" t="s">
        <v>7606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ht="13" x14ac:dyDescent="0.15">
      <c r="A516" s="2">
        <v>260602</v>
      </c>
      <c r="B516" s="12" t="s">
        <v>7607</v>
      </c>
      <c r="C516">
        <v>1</v>
      </c>
      <c r="D516">
        <v>0</v>
      </c>
      <c r="E516">
        <v>0</v>
      </c>
      <c r="F516">
        <v>1</v>
      </c>
      <c r="G516">
        <v>0</v>
      </c>
    </row>
    <row r="517" spans="1:7" ht="13" x14ac:dyDescent="0.15">
      <c r="A517" s="2">
        <v>6723522</v>
      </c>
      <c r="B517" s="12" t="s">
        <v>7608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ht="13" x14ac:dyDescent="0.15">
      <c r="A518" s="2">
        <v>163437</v>
      </c>
      <c r="B518" s="12" t="s">
        <v>7609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ht="13" x14ac:dyDescent="0.15">
      <c r="A519" s="2">
        <v>344994</v>
      </c>
      <c r="B519" s="12" t="s">
        <v>7610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ht="13" x14ac:dyDescent="0.15">
      <c r="A520" s="2">
        <v>4276618</v>
      </c>
      <c r="B520" s="12" t="s">
        <v>7611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ht="13" x14ac:dyDescent="0.15">
      <c r="A521" s="2">
        <v>83395</v>
      </c>
      <c r="B521" s="12" t="s">
        <v>7612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ht="13" x14ac:dyDescent="0.15">
      <c r="A522" s="2">
        <v>1444382</v>
      </c>
      <c r="B522" s="12" t="s">
        <v>7613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ht="13" x14ac:dyDescent="0.15">
      <c r="A523" s="2">
        <v>1794050</v>
      </c>
      <c r="B523" s="12" t="s">
        <v>7614</v>
      </c>
      <c r="C523">
        <v>1</v>
      </c>
      <c r="D523">
        <v>0</v>
      </c>
      <c r="E523">
        <v>0</v>
      </c>
      <c r="F523">
        <v>0</v>
      </c>
      <c r="G523">
        <v>0</v>
      </c>
    </row>
    <row r="524" spans="1:7" ht="13" x14ac:dyDescent="0.15">
      <c r="A524" s="2">
        <v>4718570</v>
      </c>
      <c r="B524" s="12" t="s">
        <v>7615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ht="13" x14ac:dyDescent="0.15">
      <c r="A525" s="2">
        <v>103380</v>
      </c>
      <c r="B525" s="12" t="s">
        <v>7616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ht="13" x14ac:dyDescent="0.15">
      <c r="A526" s="2">
        <v>904208</v>
      </c>
      <c r="B526" s="12" t="s">
        <v>7617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ht="13" x14ac:dyDescent="0.15">
      <c r="A527" s="2">
        <v>2099854</v>
      </c>
      <c r="B527" s="12" t="s">
        <v>7618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ht="13" x14ac:dyDescent="0.15">
      <c r="A528" s="2">
        <v>7392140</v>
      </c>
      <c r="B528" s="12" t="s">
        <v>7619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ht="13" x14ac:dyDescent="0.15">
      <c r="A529" s="2">
        <v>1983079</v>
      </c>
      <c r="B529" s="12" t="s">
        <v>7620</v>
      </c>
      <c r="C529">
        <v>0</v>
      </c>
      <c r="D529">
        <v>1</v>
      </c>
      <c r="E529">
        <v>0</v>
      </c>
      <c r="F529">
        <v>0</v>
      </c>
      <c r="G529">
        <v>0</v>
      </c>
    </row>
    <row r="530" spans="1:7" ht="13" x14ac:dyDescent="0.15">
      <c r="A530" s="2">
        <v>1672189</v>
      </c>
      <c r="B530" s="12" t="s">
        <v>7621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ht="13" x14ac:dyDescent="0.15">
      <c r="A531" s="2">
        <v>2708560</v>
      </c>
      <c r="B531" s="12" t="s">
        <v>7622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ht="13" x14ac:dyDescent="0.15">
      <c r="A532" s="2">
        <v>2492366</v>
      </c>
      <c r="B532" s="12" t="s">
        <v>7623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ht="13" x14ac:dyDescent="0.15">
      <c r="A533" s="2">
        <v>1331516</v>
      </c>
      <c r="B533" s="12" t="s">
        <v>7624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ht="13" x14ac:dyDescent="0.15">
      <c r="A534" s="2">
        <v>6135070</v>
      </c>
      <c r="B534" s="12" t="s">
        <v>7625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ht="13" x14ac:dyDescent="0.15">
      <c r="A535" s="2">
        <v>3731178</v>
      </c>
      <c r="B535" s="12" t="s">
        <v>7626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ht="13" x14ac:dyDescent="0.15">
      <c r="A536" s="2">
        <v>103383</v>
      </c>
      <c r="B536" s="12" t="s">
        <v>7627</v>
      </c>
      <c r="C536">
        <v>0</v>
      </c>
      <c r="D536">
        <v>0</v>
      </c>
      <c r="E536">
        <v>1</v>
      </c>
      <c r="F536">
        <v>0</v>
      </c>
      <c r="G536">
        <v>0</v>
      </c>
    </row>
    <row r="537" spans="1:7" ht="13" x14ac:dyDescent="0.15">
      <c r="A537" s="2">
        <v>4067492</v>
      </c>
      <c r="B537" s="12" t="s">
        <v>7628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ht="13" x14ac:dyDescent="0.15">
      <c r="A538" s="2">
        <v>799862</v>
      </c>
      <c r="B538" s="12" t="s">
        <v>7629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ht="13" x14ac:dyDescent="0.15">
      <c r="A539" s="2">
        <v>827545</v>
      </c>
      <c r="B539" s="12" t="s">
        <v>7630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ht="13" x14ac:dyDescent="0.15">
      <c r="A540" s="2">
        <v>5252734</v>
      </c>
      <c r="B540" s="12" t="s">
        <v>7631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ht="13" x14ac:dyDescent="0.15">
      <c r="A541" s="2">
        <v>96554</v>
      </c>
      <c r="B541" s="12" t="s">
        <v>7632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ht="13" x14ac:dyDescent="0.15">
      <c r="A542" s="2">
        <v>98763</v>
      </c>
      <c r="B542" s="12" t="s">
        <v>7633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ht="13" x14ac:dyDescent="0.15">
      <c r="A543" s="2">
        <v>408377</v>
      </c>
      <c r="B543" s="12" t="s">
        <v>7634</v>
      </c>
      <c r="C543">
        <v>1</v>
      </c>
      <c r="D543">
        <v>0</v>
      </c>
      <c r="E543">
        <v>0</v>
      </c>
      <c r="F543">
        <v>0</v>
      </c>
      <c r="G543">
        <v>0</v>
      </c>
    </row>
    <row r="544" spans="1:7" ht="13" x14ac:dyDescent="0.15">
      <c r="A544" s="2">
        <v>3067882</v>
      </c>
      <c r="B544" s="12" t="s">
        <v>7635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ht="13" x14ac:dyDescent="0.15">
      <c r="A545" s="2">
        <v>3110590</v>
      </c>
      <c r="B545" s="12" t="s">
        <v>7636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ht="13" x14ac:dyDescent="0.15">
      <c r="A546" s="2">
        <v>221735</v>
      </c>
      <c r="B546" s="12" t="s">
        <v>7637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ht="13" x14ac:dyDescent="0.15">
      <c r="A547" s="2">
        <v>5583512</v>
      </c>
      <c r="B547" s="12" t="s">
        <v>7638</v>
      </c>
      <c r="C547">
        <v>0</v>
      </c>
      <c r="D547">
        <v>1</v>
      </c>
      <c r="E547">
        <v>0</v>
      </c>
      <c r="F547">
        <v>0</v>
      </c>
      <c r="G547">
        <v>0</v>
      </c>
    </row>
    <row r="548" spans="1:7" ht="13" x14ac:dyDescent="0.15">
      <c r="A548" s="2">
        <v>1156752</v>
      </c>
      <c r="B548" s="12" t="s">
        <v>7639</v>
      </c>
      <c r="C548">
        <v>0</v>
      </c>
      <c r="D548">
        <v>1</v>
      </c>
      <c r="E548">
        <v>0</v>
      </c>
      <c r="F548">
        <v>0</v>
      </c>
      <c r="G548">
        <v>0</v>
      </c>
    </row>
    <row r="549" spans="1:7" ht="13" x14ac:dyDescent="0.15">
      <c r="A549" s="2">
        <v>2216314</v>
      </c>
      <c r="B549" s="12" t="s">
        <v>7640</v>
      </c>
      <c r="C549">
        <v>0</v>
      </c>
      <c r="D549">
        <v>1</v>
      </c>
      <c r="E549">
        <v>0</v>
      </c>
      <c r="F549">
        <v>0</v>
      </c>
      <c r="G549">
        <v>0</v>
      </c>
    </row>
    <row r="550" spans="1:7" ht="13" x14ac:dyDescent="0.15">
      <c r="A550" s="2">
        <v>2033563</v>
      </c>
      <c r="B550" s="12" t="s">
        <v>7641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ht="13" x14ac:dyDescent="0.15">
      <c r="A551" s="2">
        <v>1502717</v>
      </c>
      <c r="B551" s="12" t="s">
        <v>7642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ht="13" x14ac:dyDescent="0.15">
      <c r="A552" s="2">
        <v>4127260</v>
      </c>
      <c r="B552" s="12" t="s">
        <v>7643</v>
      </c>
      <c r="C552">
        <v>0</v>
      </c>
      <c r="D552">
        <v>1</v>
      </c>
      <c r="E552">
        <v>0</v>
      </c>
      <c r="F552">
        <v>0</v>
      </c>
      <c r="G552">
        <v>0</v>
      </c>
    </row>
    <row r="553" spans="1:7" ht="13" x14ac:dyDescent="0.15">
      <c r="A553" s="2">
        <v>489974</v>
      </c>
      <c r="B553" s="12" t="s">
        <v>7644</v>
      </c>
      <c r="C553">
        <v>0</v>
      </c>
      <c r="D553">
        <v>1</v>
      </c>
      <c r="E553">
        <v>0</v>
      </c>
      <c r="F553">
        <v>0</v>
      </c>
      <c r="G553">
        <v>0</v>
      </c>
    </row>
    <row r="554" spans="1:7" ht="13" x14ac:dyDescent="0.15">
      <c r="A554" s="2">
        <v>319969</v>
      </c>
      <c r="B554" s="12" t="s">
        <v>7645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ht="13" x14ac:dyDescent="0.15">
      <c r="A555" s="2">
        <v>7214094</v>
      </c>
      <c r="B555" s="12" t="s">
        <v>7646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ht="13" x14ac:dyDescent="0.15">
      <c r="A556" s="2">
        <v>7083006</v>
      </c>
      <c r="B556" s="12" t="s">
        <v>7647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ht="13" x14ac:dyDescent="0.15">
      <c r="A557" s="2">
        <v>5843072</v>
      </c>
      <c r="B557" s="12" t="s">
        <v>7648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ht="13" x14ac:dyDescent="0.15">
      <c r="A558" s="2">
        <v>302083</v>
      </c>
      <c r="B558" s="12" t="s">
        <v>7649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ht="13" x14ac:dyDescent="0.15">
      <c r="A559" s="2">
        <v>1383237</v>
      </c>
      <c r="B559" s="12" t="s">
        <v>7650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ht="13" x14ac:dyDescent="0.15">
      <c r="A560" s="2">
        <v>4832650</v>
      </c>
      <c r="B560" s="12" t="s">
        <v>7651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ht="13" x14ac:dyDescent="0.15">
      <c r="A561" s="2">
        <v>1744638</v>
      </c>
      <c r="B561" s="12" t="s">
        <v>7652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ht="13" x14ac:dyDescent="0.15">
      <c r="A562" s="2">
        <v>4817038</v>
      </c>
      <c r="B562" s="12" t="s">
        <v>7653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ht="13" x14ac:dyDescent="0.15">
      <c r="A563" s="2">
        <v>5915978</v>
      </c>
      <c r="B563" s="12" t="s">
        <v>7654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ht="13" x14ac:dyDescent="0.15">
      <c r="A564" s="2">
        <v>938567</v>
      </c>
      <c r="B564" s="12" t="s">
        <v>7655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ht="13" x14ac:dyDescent="0.15">
      <c r="A565" s="2">
        <v>484912</v>
      </c>
      <c r="B565" s="12" t="s">
        <v>7656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ht="13" x14ac:dyDescent="0.15">
      <c r="A566" s="2">
        <v>8589128</v>
      </c>
      <c r="B566" s="12" t="s">
        <v>7657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ht="13" x14ac:dyDescent="0.15">
      <c r="A567" s="2">
        <v>1219024</v>
      </c>
      <c r="B567" s="12" t="s">
        <v>7658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ht="13" x14ac:dyDescent="0.15">
      <c r="A568" s="2">
        <v>6548228</v>
      </c>
      <c r="B568" s="12" t="s">
        <v>7659</v>
      </c>
      <c r="C568">
        <v>0</v>
      </c>
      <c r="D568">
        <v>1</v>
      </c>
      <c r="E568">
        <v>0</v>
      </c>
      <c r="F568">
        <v>0</v>
      </c>
      <c r="G568">
        <v>0</v>
      </c>
    </row>
    <row r="569" spans="1:7" ht="13" x14ac:dyDescent="0.15">
      <c r="A569" s="2">
        <v>96555</v>
      </c>
      <c r="B569" s="12" t="s">
        <v>7660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ht="13" x14ac:dyDescent="0.15">
      <c r="A570" s="2">
        <v>485556</v>
      </c>
      <c r="B570" s="12" t="s">
        <v>7661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ht="13" x14ac:dyDescent="0.15">
      <c r="A571" s="2">
        <v>131160</v>
      </c>
      <c r="B571" s="12" t="s">
        <v>7662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ht="13" x14ac:dyDescent="0.15">
      <c r="A572" s="2">
        <v>4374208</v>
      </c>
      <c r="B572" s="12" t="s">
        <v>7663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ht="13" x14ac:dyDescent="0.15">
      <c r="A573" s="2">
        <v>2740382</v>
      </c>
      <c r="B573" s="12" t="s">
        <v>7664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ht="13" x14ac:dyDescent="0.15">
      <c r="A574" s="2">
        <v>2498968</v>
      </c>
      <c r="B574" s="12" t="s">
        <v>7665</v>
      </c>
      <c r="C574">
        <v>0</v>
      </c>
      <c r="D574">
        <v>0</v>
      </c>
      <c r="E574">
        <v>0</v>
      </c>
      <c r="F574">
        <v>1</v>
      </c>
      <c r="G574">
        <v>0</v>
      </c>
    </row>
    <row r="575" spans="1:7" ht="13" x14ac:dyDescent="0.15">
      <c r="A575" s="2">
        <v>1807142</v>
      </c>
      <c r="B575" s="12" t="s">
        <v>7666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ht="13" x14ac:dyDescent="0.15">
      <c r="A576" s="2">
        <v>906840</v>
      </c>
      <c r="B576" s="12" t="s">
        <v>7667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ht="13" x14ac:dyDescent="0.15">
      <c r="A577" s="2">
        <v>208614</v>
      </c>
      <c r="B577" s="12" t="s">
        <v>7668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ht="13" x14ac:dyDescent="0.15">
      <c r="A578" s="2">
        <v>2184509</v>
      </c>
      <c r="B578" s="12" t="s">
        <v>7669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ht="13" x14ac:dyDescent="0.15">
      <c r="A579" s="2">
        <v>2125758</v>
      </c>
      <c r="B579" s="12" t="s">
        <v>7670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ht="13" x14ac:dyDescent="0.15">
      <c r="A580" s="2">
        <v>5993484</v>
      </c>
      <c r="B580" s="12" t="s">
        <v>7671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ht="13" x14ac:dyDescent="0.15">
      <c r="A581" s="2">
        <v>9015832</v>
      </c>
      <c r="B581" s="12" t="s">
        <v>7672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ht="13" x14ac:dyDescent="0.15">
      <c r="A582" s="2">
        <v>236893</v>
      </c>
      <c r="B582" s="12" t="s">
        <v>7673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ht="13" x14ac:dyDescent="0.15">
      <c r="A583" s="2">
        <v>3648438</v>
      </c>
      <c r="B583" s="12" t="s">
        <v>7674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ht="13" x14ac:dyDescent="0.15">
      <c r="A584" s="2">
        <v>217312</v>
      </c>
      <c r="B584" s="12" t="s">
        <v>7675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ht="13" x14ac:dyDescent="0.15">
      <c r="A585" s="2">
        <v>6377436</v>
      </c>
      <c r="B585" s="12" t="s">
        <v>7676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ht="13" x14ac:dyDescent="0.15">
      <c r="A586" s="2">
        <v>139769</v>
      </c>
      <c r="B586" s="12" t="s">
        <v>7677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ht="13" x14ac:dyDescent="0.15">
      <c r="A587" s="2">
        <v>7949204</v>
      </c>
      <c r="B587" s="12" t="s">
        <v>7678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ht="13" x14ac:dyDescent="0.15">
      <c r="A588" s="2">
        <v>6470396</v>
      </c>
      <c r="B588" s="12" t="s">
        <v>7679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ht="13" x14ac:dyDescent="0.15">
      <c r="A589" s="2">
        <v>5620076</v>
      </c>
      <c r="B589" s="12" t="s">
        <v>7680</v>
      </c>
      <c r="C589">
        <v>0</v>
      </c>
      <c r="D589">
        <v>1</v>
      </c>
      <c r="E589">
        <v>0</v>
      </c>
      <c r="F589">
        <v>0</v>
      </c>
      <c r="G589">
        <v>0</v>
      </c>
    </row>
    <row r="590" spans="1:7" ht="13" x14ac:dyDescent="0.15">
      <c r="A590" s="2">
        <v>353049</v>
      </c>
      <c r="B590" s="12" t="s">
        <v>7681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ht="13" x14ac:dyDescent="0.15">
      <c r="A591" s="2">
        <v>86681</v>
      </c>
      <c r="B591" s="12" t="s">
        <v>7682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ht="13" x14ac:dyDescent="0.15">
      <c r="A592" s="2">
        <v>11661448</v>
      </c>
      <c r="B592" s="12" t="s">
        <v>7683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ht="13" x14ac:dyDescent="0.15">
      <c r="A593" s="2">
        <v>158552</v>
      </c>
      <c r="B593" s="12" t="s">
        <v>7684</v>
      </c>
      <c r="C593">
        <v>1</v>
      </c>
      <c r="D593">
        <v>0</v>
      </c>
      <c r="E593">
        <v>0</v>
      </c>
      <c r="F593">
        <v>0</v>
      </c>
      <c r="G593">
        <v>0</v>
      </c>
    </row>
    <row r="594" spans="1:7" ht="13" x14ac:dyDescent="0.15">
      <c r="A594" s="2">
        <v>6394324</v>
      </c>
      <c r="B594" s="12" t="s">
        <v>7684</v>
      </c>
      <c r="C594">
        <v>1</v>
      </c>
      <c r="D594">
        <v>0</v>
      </c>
      <c r="E594">
        <v>0</v>
      </c>
      <c r="F594">
        <v>0</v>
      </c>
      <c r="G594">
        <v>1</v>
      </c>
    </row>
    <row r="595" spans="1:7" ht="13" x14ac:dyDescent="0.15">
      <c r="A595" s="2">
        <v>6266698</v>
      </c>
      <c r="B595" s="12" t="s">
        <v>7685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ht="13" x14ac:dyDescent="0.15">
      <c r="A596" s="2">
        <v>1604096</v>
      </c>
      <c r="B596" s="12" t="s">
        <v>7686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ht="13" x14ac:dyDescent="0.15">
      <c r="A597" s="2">
        <v>83399</v>
      </c>
      <c r="B597" s="12" t="s">
        <v>7687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ht="13" x14ac:dyDescent="0.15">
      <c r="A598" s="2">
        <v>4295140</v>
      </c>
      <c r="B598" s="12" t="s">
        <v>7688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ht="13" x14ac:dyDescent="0.15">
      <c r="A599" s="2">
        <v>6088326</v>
      </c>
      <c r="B599" s="12" t="s">
        <v>7689</v>
      </c>
      <c r="C599">
        <v>1</v>
      </c>
      <c r="D599">
        <v>0</v>
      </c>
      <c r="E599">
        <v>0</v>
      </c>
      <c r="F599">
        <v>0</v>
      </c>
      <c r="G599">
        <v>0</v>
      </c>
    </row>
    <row r="600" spans="1:7" ht="13" x14ac:dyDescent="0.15">
      <c r="A600" s="2">
        <v>5275894</v>
      </c>
      <c r="B600" s="12" t="s">
        <v>7690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ht="13" x14ac:dyDescent="0.15">
      <c r="A601" s="2">
        <v>5151816</v>
      </c>
      <c r="B601" s="12" t="s">
        <v>7691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ht="13" x14ac:dyDescent="0.15">
      <c r="A602" s="2">
        <v>229890</v>
      </c>
      <c r="B602" s="12" t="s">
        <v>7692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ht="13" x14ac:dyDescent="0.15">
      <c r="A603" s="2">
        <v>2261391</v>
      </c>
      <c r="B603" s="12" t="s">
        <v>7693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ht="13" x14ac:dyDescent="0.15">
      <c r="A604" s="2">
        <v>108724</v>
      </c>
      <c r="B604" s="12" t="s">
        <v>7694</v>
      </c>
      <c r="C604">
        <v>1</v>
      </c>
      <c r="D604">
        <v>0</v>
      </c>
      <c r="E604">
        <v>0</v>
      </c>
      <c r="F604">
        <v>0</v>
      </c>
      <c r="G604">
        <v>0</v>
      </c>
    </row>
    <row r="605" spans="1:7" ht="13" x14ac:dyDescent="0.15">
      <c r="A605" s="2">
        <v>5640060</v>
      </c>
      <c r="B605" s="12" t="s">
        <v>7695</v>
      </c>
      <c r="C605">
        <v>1</v>
      </c>
      <c r="D605">
        <v>0</v>
      </c>
      <c r="E605">
        <v>0</v>
      </c>
      <c r="F605">
        <v>0</v>
      </c>
      <c r="G605">
        <v>0</v>
      </c>
    </row>
    <row r="606" spans="1:7" ht="13" x14ac:dyDescent="0.15">
      <c r="A606" s="2">
        <v>2805096</v>
      </c>
      <c r="B606" s="12" t="s">
        <v>7696</v>
      </c>
      <c r="C606">
        <v>1</v>
      </c>
      <c r="D606">
        <v>0</v>
      </c>
      <c r="E606">
        <v>0</v>
      </c>
      <c r="F606">
        <v>0</v>
      </c>
      <c r="G606">
        <v>0</v>
      </c>
    </row>
    <row r="607" spans="1:7" ht="13" x14ac:dyDescent="0.15">
      <c r="A607" s="2">
        <v>1325113</v>
      </c>
      <c r="B607" s="12" t="s">
        <v>7697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ht="13" x14ac:dyDescent="0.15">
      <c r="A608" s="2">
        <v>7569592</v>
      </c>
      <c r="B608" s="12" t="s">
        <v>7698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 ht="13" x14ac:dyDescent="0.15">
      <c r="A609" s="2">
        <v>154063</v>
      </c>
      <c r="B609" s="12" t="s">
        <v>7699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ht="13" x14ac:dyDescent="0.15">
      <c r="A610" s="2">
        <v>2734004</v>
      </c>
      <c r="B610" s="12" t="s">
        <v>7699</v>
      </c>
      <c r="C610">
        <v>1</v>
      </c>
      <c r="D610">
        <v>0</v>
      </c>
      <c r="E610">
        <v>0</v>
      </c>
      <c r="F610">
        <v>0</v>
      </c>
      <c r="G610">
        <v>0</v>
      </c>
    </row>
    <row r="611" spans="1:7" ht="13" x14ac:dyDescent="0.15">
      <c r="A611" s="2">
        <v>154062</v>
      </c>
      <c r="B611" s="12" t="s">
        <v>7700</v>
      </c>
      <c r="C611">
        <v>1</v>
      </c>
      <c r="D611">
        <v>0</v>
      </c>
      <c r="E611">
        <v>0</v>
      </c>
      <c r="F611">
        <v>0</v>
      </c>
      <c r="G611">
        <v>0</v>
      </c>
    </row>
    <row r="612" spans="1:7" ht="13" x14ac:dyDescent="0.15">
      <c r="A612" s="2">
        <v>326672</v>
      </c>
      <c r="B612" s="12" t="s">
        <v>7701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ht="13" x14ac:dyDescent="0.15">
      <c r="A613" s="2">
        <v>1043721</v>
      </c>
      <c r="B613" s="12" t="s">
        <v>7702</v>
      </c>
      <c r="C613">
        <v>0</v>
      </c>
      <c r="D613">
        <v>0</v>
      </c>
      <c r="E613">
        <v>0</v>
      </c>
      <c r="F613">
        <v>0</v>
      </c>
      <c r="G613">
        <v>1</v>
      </c>
    </row>
    <row r="614" spans="1:7" ht="13" x14ac:dyDescent="0.15">
      <c r="A614" s="2">
        <v>4203928</v>
      </c>
      <c r="B614" s="12" t="s">
        <v>7703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ht="13" x14ac:dyDescent="0.15">
      <c r="A615" s="2">
        <v>1353281</v>
      </c>
      <c r="B615" s="12" t="s">
        <v>7704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ht="13" x14ac:dyDescent="0.15">
      <c r="A616" s="2">
        <v>1140100</v>
      </c>
      <c r="B616" s="12" t="s">
        <v>7705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ht="13" x14ac:dyDescent="0.15">
      <c r="A617" s="2">
        <v>434670</v>
      </c>
      <c r="B617" s="12" t="s">
        <v>7706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ht="13" x14ac:dyDescent="0.15">
      <c r="A618" s="2">
        <v>934814</v>
      </c>
      <c r="B618" s="12" t="s">
        <v>7707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ht="13" x14ac:dyDescent="0.15">
      <c r="A619" s="2">
        <v>165166</v>
      </c>
      <c r="B619" s="12" t="s">
        <v>7708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ht="13" x14ac:dyDescent="0.15">
      <c r="A620" s="2">
        <v>1743990</v>
      </c>
      <c r="B620" s="12" t="s">
        <v>7709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ht="13" x14ac:dyDescent="0.15">
      <c r="A621" s="2">
        <v>7521578</v>
      </c>
      <c r="B621" s="12" t="s">
        <v>7710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ht="13" x14ac:dyDescent="0.15">
      <c r="A622" s="2">
        <v>1024932</v>
      </c>
      <c r="B622" s="12" t="s">
        <v>7711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ht="13" x14ac:dyDescent="0.15">
      <c r="A623" s="2">
        <v>7187044</v>
      </c>
      <c r="B623" s="12" t="s">
        <v>7712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ht="13" x14ac:dyDescent="0.15">
      <c r="A624" s="2">
        <v>275265</v>
      </c>
      <c r="B624" s="14" t="s">
        <v>7713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ht="13" x14ac:dyDescent="0.15">
      <c r="A625" s="2">
        <v>1118804</v>
      </c>
      <c r="B625" s="12" t="s">
        <v>7714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ht="13" x14ac:dyDescent="0.15">
      <c r="A626" s="2">
        <v>101066</v>
      </c>
      <c r="B626" s="12" t="s">
        <v>7715</v>
      </c>
      <c r="C626">
        <v>0</v>
      </c>
      <c r="D626">
        <v>1</v>
      </c>
      <c r="E626">
        <v>0</v>
      </c>
      <c r="F626">
        <v>0</v>
      </c>
      <c r="G626">
        <v>0</v>
      </c>
    </row>
    <row r="627" spans="1:7" ht="13" x14ac:dyDescent="0.15">
      <c r="A627" s="2">
        <v>101065</v>
      </c>
      <c r="B627" s="12" t="s">
        <v>7716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ht="13" x14ac:dyDescent="0.15">
      <c r="A628" s="2">
        <v>914803</v>
      </c>
      <c r="B628" s="12" t="s">
        <v>7717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ht="13" x14ac:dyDescent="0.15">
      <c r="A629" s="2">
        <v>485840</v>
      </c>
      <c r="B629" s="12" t="s">
        <v>7718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ht="13" x14ac:dyDescent="0.15">
      <c r="A630" s="2">
        <v>5640558</v>
      </c>
      <c r="B630" s="12" t="s">
        <v>7719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ht="13" x14ac:dyDescent="0.15">
      <c r="A631" s="2">
        <v>985344</v>
      </c>
      <c r="B631" s="12" t="s">
        <v>7720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ht="13" x14ac:dyDescent="0.15">
      <c r="A632" s="2">
        <v>210413</v>
      </c>
      <c r="B632" s="12" t="s">
        <v>7721</v>
      </c>
      <c r="C632">
        <v>0</v>
      </c>
      <c r="D632">
        <v>0</v>
      </c>
      <c r="E632">
        <v>1</v>
      </c>
      <c r="F632">
        <v>1</v>
      </c>
      <c r="G632">
        <v>0</v>
      </c>
    </row>
    <row r="633" spans="1:7" ht="13" x14ac:dyDescent="0.15">
      <c r="A633" s="2">
        <v>4412754</v>
      </c>
      <c r="B633" s="12" t="s">
        <v>7722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ht="13" x14ac:dyDescent="0.15">
      <c r="A634" s="2">
        <v>4649420</v>
      </c>
      <c r="B634" s="12" t="s">
        <v>7723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ht="13" x14ac:dyDescent="0.15">
      <c r="A635" s="2">
        <v>1790938</v>
      </c>
      <c r="B635" s="12" t="s">
        <v>7724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ht="13" x14ac:dyDescent="0.15">
      <c r="A636" s="2">
        <v>243183</v>
      </c>
      <c r="B636" s="12" t="s">
        <v>7725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ht="13" x14ac:dyDescent="0.15">
      <c r="A637" s="2">
        <v>305011</v>
      </c>
      <c r="B637" s="12" t="s">
        <v>7726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ht="13" x14ac:dyDescent="0.15">
      <c r="A638" s="2">
        <v>343252</v>
      </c>
      <c r="B638" s="12" t="s">
        <v>7727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ht="13" x14ac:dyDescent="0.15">
      <c r="A639" s="2">
        <v>115137</v>
      </c>
      <c r="B639" s="12" t="s">
        <v>7728</v>
      </c>
      <c r="C639">
        <v>1</v>
      </c>
      <c r="D639">
        <v>0</v>
      </c>
      <c r="E639">
        <v>0</v>
      </c>
      <c r="F639">
        <v>1</v>
      </c>
      <c r="G639">
        <v>0</v>
      </c>
    </row>
    <row r="640" spans="1:7" ht="13" x14ac:dyDescent="0.15">
      <c r="A640" s="2">
        <v>5697642</v>
      </c>
      <c r="B640" s="12" t="s">
        <v>7729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ht="13" x14ac:dyDescent="0.15">
      <c r="A641" s="2">
        <v>105973</v>
      </c>
      <c r="B641" s="12" t="s">
        <v>7730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ht="13" x14ac:dyDescent="0.15">
      <c r="A642" s="2">
        <v>7221388</v>
      </c>
      <c r="B642" s="12" t="s">
        <v>7731</v>
      </c>
      <c r="C642">
        <v>1</v>
      </c>
      <c r="D642">
        <v>0</v>
      </c>
      <c r="E642">
        <v>0</v>
      </c>
      <c r="F642">
        <v>1</v>
      </c>
      <c r="G642">
        <v>0</v>
      </c>
    </row>
    <row r="643" spans="1:7" ht="13" x14ac:dyDescent="0.15">
      <c r="A643" s="2">
        <v>2454264</v>
      </c>
      <c r="B643" s="12" t="s">
        <v>7732</v>
      </c>
      <c r="C643">
        <v>1</v>
      </c>
      <c r="D643">
        <v>0</v>
      </c>
      <c r="E643">
        <v>0</v>
      </c>
      <c r="F643">
        <v>0</v>
      </c>
      <c r="G643">
        <v>0</v>
      </c>
    </row>
    <row r="644" spans="1:7" ht="13" x14ac:dyDescent="0.15">
      <c r="A644" s="2">
        <v>1152802</v>
      </c>
      <c r="B644" s="12" t="s">
        <v>7733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ht="13" x14ac:dyDescent="0.15">
      <c r="A645" s="2">
        <v>994314</v>
      </c>
      <c r="B645" s="12" t="s">
        <v>7734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ht="13" x14ac:dyDescent="0.15">
      <c r="A646" s="2">
        <v>6320574</v>
      </c>
      <c r="B646" s="12" t="s">
        <v>7735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ht="13" x14ac:dyDescent="0.15">
      <c r="A647" s="2">
        <v>312109</v>
      </c>
      <c r="B647" s="12" t="s">
        <v>7736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ht="13" x14ac:dyDescent="0.15">
      <c r="A648" s="2">
        <v>5086662</v>
      </c>
      <c r="B648" s="12" t="s">
        <v>7737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ht="13" x14ac:dyDescent="0.15">
      <c r="A649" s="2">
        <v>368479</v>
      </c>
      <c r="B649" s="12" t="s">
        <v>7738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ht="13" x14ac:dyDescent="0.15">
      <c r="A650" s="2">
        <v>1</v>
      </c>
      <c r="B650" s="12" t="s">
        <v>7739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ht="13" x14ac:dyDescent="0.15">
      <c r="A651" s="2">
        <v>4661598</v>
      </c>
      <c r="B651" s="12" t="s">
        <v>7740</v>
      </c>
      <c r="C651">
        <v>1</v>
      </c>
      <c r="D651">
        <v>0</v>
      </c>
      <c r="E651">
        <v>0</v>
      </c>
      <c r="F651">
        <v>0</v>
      </c>
      <c r="G651">
        <v>0</v>
      </c>
    </row>
    <row r="652" spans="1:7" ht="13" x14ac:dyDescent="0.15">
      <c r="A652" s="2">
        <v>8451694</v>
      </c>
      <c r="B652" s="12" t="s">
        <v>7741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ht="13" x14ac:dyDescent="0.15">
      <c r="A653" s="2">
        <v>8672112</v>
      </c>
      <c r="B653" s="12" t="s">
        <v>7742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ht="13" x14ac:dyDescent="0.15">
      <c r="A654" s="2">
        <v>8672090</v>
      </c>
      <c r="B654" s="12" t="s">
        <v>7743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ht="13" x14ac:dyDescent="0.15">
      <c r="A655" s="2">
        <v>4467116</v>
      </c>
      <c r="B655" s="12" t="s">
        <v>7744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ht="13" x14ac:dyDescent="0.15">
      <c r="A656" s="2">
        <v>4209256</v>
      </c>
      <c r="B656" s="12" t="s">
        <v>7745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ht="13" x14ac:dyDescent="0.15">
      <c r="A657" s="2">
        <v>343253</v>
      </c>
      <c r="B657" s="12" t="s">
        <v>7746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ht="13" x14ac:dyDescent="0.15">
      <c r="A658" s="2">
        <v>1829891</v>
      </c>
      <c r="B658" s="12" t="s">
        <v>7747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ht="13" x14ac:dyDescent="0.15">
      <c r="A659" s="2">
        <v>8001146</v>
      </c>
      <c r="B659" s="12" t="s">
        <v>7748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ht="13" x14ac:dyDescent="0.15">
      <c r="A660" s="2">
        <v>1321261</v>
      </c>
      <c r="B660" s="12" t="s">
        <v>7749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ht="13" x14ac:dyDescent="0.15">
      <c r="A661" s="2">
        <v>497480</v>
      </c>
      <c r="B661" s="12" t="s">
        <v>7750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ht="13" x14ac:dyDescent="0.15">
      <c r="A662" s="2">
        <v>466201</v>
      </c>
      <c r="B662" s="12" t="s">
        <v>7751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ht="13" x14ac:dyDescent="0.15">
      <c r="A663" s="2">
        <v>246359</v>
      </c>
      <c r="B663" s="12" t="s">
        <v>7752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ht="13" x14ac:dyDescent="0.15">
      <c r="A664" s="2">
        <v>429455</v>
      </c>
      <c r="B664" s="12" t="s">
        <v>7753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ht="13" x14ac:dyDescent="0.15">
      <c r="A665" s="2">
        <v>1439629</v>
      </c>
      <c r="B665" s="12" t="s">
        <v>7754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ht="13" x14ac:dyDescent="0.15">
      <c r="A666" s="2">
        <v>124938</v>
      </c>
      <c r="B666" s="12" t="s">
        <v>7755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ht="13" x14ac:dyDescent="0.15">
      <c r="A667" s="2">
        <v>300748</v>
      </c>
      <c r="B667" s="12" t="s">
        <v>7756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ht="13" x14ac:dyDescent="0.15">
      <c r="A668" s="2">
        <v>435563</v>
      </c>
      <c r="B668" s="12" t="s">
        <v>7757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ht="13" x14ac:dyDescent="0.15">
      <c r="A669" s="2">
        <v>120569</v>
      </c>
      <c r="B669" s="12" t="s">
        <v>7758</v>
      </c>
      <c r="C669">
        <v>0</v>
      </c>
      <c r="D669">
        <v>1</v>
      </c>
      <c r="E669">
        <v>0</v>
      </c>
      <c r="F669">
        <v>1</v>
      </c>
      <c r="G669">
        <v>0</v>
      </c>
    </row>
    <row r="670" spans="1:7" ht="13" x14ac:dyDescent="0.15">
      <c r="A670" s="2">
        <v>315429</v>
      </c>
      <c r="B670" s="12" t="s">
        <v>7759</v>
      </c>
      <c r="C670">
        <v>0</v>
      </c>
      <c r="D670">
        <v>1</v>
      </c>
      <c r="E670">
        <v>0</v>
      </c>
      <c r="F670">
        <v>1</v>
      </c>
      <c r="G670">
        <v>0</v>
      </c>
    </row>
    <row r="671" spans="1:7" ht="13" x14ac:dyDescent="0.15">
      <c r="A671" s="2">
        <v>2436444</v>
      </c>
      <c r="B671" s="12" t="s">
        <v>7760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ht="13" x14ac:dyDescent="0.15">
      <c r="A672" s="2">
        <v>2565808</v>
      </c>
      <c r="B672" s="12" t="s">
        <v>7761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ht="13" x14ac:dyDescent="0.15">
      <c r="A673" s="2">
        <v>1351355</v>
      </c>
      <c r="B673" s="12" t="s">
        <v>7762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ht="13" x14ac:dyDescent="0.15">
      <c r="A674" s="2">
        <v>1572498</v>
      </c>
      <c r="B674" s="12" t="s">
        <v>7763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ht="13" x14ac:dyDescent="0.15">
      <c r="A675" s="2">
        <v>3489184</v>
      </c>
      <c r="B675" s="12" t="s">
        <v>7764</v>
      </c>
      <c r="C675">
        <v>0</v>
      </c>
      <c r="D675">
        <v>1</v>
      </c>
      <c r="E675">
        <v>0</v>
      </c>
      <c r="F675">
        <v>0</v>
      </c>
      <c r="G675">
        <v>0</v>
      </c>
    </row>
    <row r="676" spans="1:7" ht="13" x14ac:dyDescent="0.15">
      <c r="A676" s="2">
        <v>6111552</v>
      </c>
      <c r="B676" s="12" t="s">
        <v>7765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ht="13" x14ac:dyDescent="0.15">
      <c r="A677" s="2">
        <v>8154598</v>
      </c>
      <c r="B677" s="12" t="s">
        <v>7766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ht="13" x14ac:dyDescent="0.15">
      <c r="A678" s="2">
        <v>1954347</v>
      </c>
      <c r="B678" s="12" t="s">
        <v>7767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ht="13" x14ac:dyDescent="0.15">
      <c r="A679" s="2">
        <v>7224760</v>
      </c>
      <c r="B679" s="12" t="s">
        <v>7768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ht="13" x14ac:dyDescent="0.15">
      <c r="A680" s="2">
        <v>2006374</v>
      </c>
      <c r="B680" s="12" t="s">
        <v>7769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ht="13" x14ac:dyDescent="0.15">
      <c r="A681" s="2">
        <v>96563</v>
      </c>
      <c r="B681" s="12" t="s">
        <v>7770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ht="13" x14ac:dyDescent="0.15">
      <c r="A682" s="2">
        <v>6249134</v>
      </c>
      <c r="B682" s="12" t="s">
        <v>7771</v>
      </c>
      <c r="C682">
        <v>1</v>
      </c>
      <c r="D682">
        <v>0</v>
      </c>
      <c r="E682">
        <v>0</v>
      </c>
      <c r="F682">
        <v>0</v>
      </c>
      <c r="G682">
        <v>0</v>
      </c>
    </row>
    <row r="683" spans="1:7" ht="13" x14ac:dyDescent="0.15">
      <c r="A683" s="2">
        <v>5545018</v>
      </c>
      <c r="B683" s="12" t="s">
        <v>7772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ht="13" x14ac:dyDescent="0.15">
      <c r="A684" s="2">
        <v>3560430</v>
      </c>
      <c r="B684" s="12" t="s">
        <v>7773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ht="13" x14ac:dyDescent="0.15">
      <c r="A685" s="2">
        <v>397138</v>
      </c>
      <c r="B685" s="12" t="s">
        <v>7774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ht="13" x14ac:dyDescent="0.15">
      <c r="A686" s="2">
        <v>4715562</v>
      </c>
      <c r="B686" s="12" t="s">
        <v>7775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ht="13" x14ac:dyDescent="0.15">
      <c r="A687" s="2">
        <v>320850</v>
      </c>
      <c r="B687" s="12" t="s">
        <v>7776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ht="13" x14ac:dyDescent="0.15">
      <c r="A688" s="2">
        <v>3039270</v>
      </c>
      <c r="B688" s="12" t="s">
        <v>7777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ht="13" x14ac:dyDescent="0.15">
      <c r="A689" s="2">
        <v>88500</v>
      </c>
      <c r="B689" s="12" t="s">
        <v>7778</v>
      </c>
      <c r="C689">
        <v>1</v>
      </c>
      <c r="D689">
        <v>0</v>
      </c>
      <c r="E689">
        <v>0</v>
      </c>
      <c r="F689">
        <v>0</v>
      </c>
      <c r="G689">
        <v>0</v>
      </c>
    </row>
    <row r="690" spans="1:7" ht="13" x14ac:dyDescent="0.15">
      <c r="A690" s="2">
        <v>138228</v>
      </c>
      <c r="B690" s="12" t="s">
        <v>7779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ht="13" x14ac:dyDescent="0.15">
      <c r="A691" s="2">
        <v>5314166</v>
      </c>
      <c r="B691" s="12" t="s">
        <v>7780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ht="13" x14ac:dyDescent="0.15">
      <c r="A692" s="2">
        <v>5717906</v>
      </c>
      <c r="B692" s="12" t="s">
        <v>7781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ht="13" x14ac:dyDescent="0.15">
      <c r="A693" s="2">
        <v>4643084</v>
      </c>
      <c r="B693" s="12" t="s">
        <v>7782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ht="13" x14ac:dyDescent="0.15">
      <c r="A694" s="2">
        <v>5866536</v>
      </c>
      <c r="B694" s="12" t="s">
        <v>7783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ht="13" x14ac:dyDescent="0.15">
      <c r="A695" s="2">
        <v>3855202</v>
      </c>
      <c r="B695" s="12" t="s">
        <v>7784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ht="13" x14ac:dyDescent="0.15">
      <c r="A696" s="2">
        <v>237123</v>
      </c>
      <c r="B696" s="12" t="s">
        <v>7785</v>
      </c>
      <c r="C696">
        <v>1</v>
      </c>
      <c r="D696">
        <v>0</v>
      </c>
      <c r="E696">
        <v>0</v>
      </c>
      <c r="F696">
        <v>0</v>
      </c>
      <c r="G696">
        <v>0</v>
      </c>
    </row>
    <row r="697" spans="1:7" ht="13" x14ac:dyDescent="0.15">
      <c r="A697" s="2">
        <v>220880</v>
      </c>
      <c r="B697" s="12" t="s">
        <v>7786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ht="13" x14ac:dyDescent="0.15">
      <c r="A698" s="2">
        <v>1495708</v>
      </c>
      <c r="B698" s="12" t="s">
        <v>7787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ht="13" x14ac:dyDescent="0.15">
      <c r="A699" s="2">
        <v>213338</v>
      </c>
      <c r="B699" s="12" t="s">
        <v>7788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ht="13" x14ac:dyDescent="0.15">
      <c r="A700" s="2">
        <v>1467403</v>
      </c>
      <c r="B700" s="12" t="s">
        <v>7789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ht="13" x14ac:dyDescent="0.15">
      <c r="A701" s="2">
        <v>105977</v>
      </c>
      <c r="B701" s="12" t="s">
        <v>7790</v>
      </c>
      <c r="C701">
        <v>1</v>
      </c>
      <c r="D701">
        <v>0</v>
      </c>
      <c r="E701">
        <v>0</v>
      </c>
      <c r="F701">
        <v>0</v>
      </c>
      <c r="G701">
        <v>0</v>
      </c>
    </row>
    <row r="702" spans="1:7" ht="13" x14ac:dyDescent="0.15">
      <c r="A702" s="2">
        <v>7713450</v>
      </c>
      <c r="B702" s="12" t="s">
        <v>7791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ht="13" x14ac:dyDescent="0.15">
      <c r="A703" s="2">
        <v>5037914</v>
      </c>
      <c r="B703" s="12" t="s">
        <v>7792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ht="13" x14ac:dyDescent="0.15">
      <c r="A704" s="2">
        <v>4851552</v>
      </c>
      <c r="B704" s="12" t="s">
        <v>7793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ht="13" x14ac:dyDescent="0.15">
      <c r="A705" s="2">
        <v>4094300</v>
      </c>
      <c r="B705" s="12" t="s">
        <v>7794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ht="13" x14ac:dyDescent="0.15">
      <c r="A706" s="2">
        <v>3523048</v>
      </c>
      <c r="B706" s="12" t="s">
        <v>7795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ht="13" x14ac:dyDescent="0.15">
      <c r="A707" s="2">
        <v>3801750</v>
      </c>
      <c r="B707" s="12" t="s">
        <v>7796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ht="13" x14ac:dyDescent="0.15">
      <c r="A708" s="2">
        <v>3720610</v>
      </c>
      <c r="B708" s="12" t="s">
        <v>7796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ht="13" x14ac:dyDescent="0.15">
      <c r="A709" s="2">
        <v>324742</v>
      </c>
      <c r="B709" s="12" t="s">
        <v>7797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ht="13" x14ac:dyDescent="0.15">
      <c r="A710" s="2">
        <v>7573024</v>
      </c>
      <c r="B710" s="12" t="s">
        <v>7798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ht="13" x14ac:dyDescent="0.15">
      <c r="A711" s="2">
        <v>1159604</v>
      </c>
      <c r="B711" s="12" t="s">
        <v>7799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ht="13" x14ac:dyDescent="0.15">
      <c r="A712" s="2">
        <v>221740</v>
      </c>
      <c r="B712" s="12" t="s">
        <v>7800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ht="13" x14ac:dyDescent="0.15">
      <c r="A713" s="2">
        <v>2509528</v>
      </c>
      <c r="B713" s="12" t="s">
        <v>7800</v>
      </c>
      <c r="C713">
        <v>1</v>
      </c>
      <c r="D713">
        <v>0</v>
      </c>
      <c r="E713">
        <v>0</v>
      </c>
      <c r="F713">
        <v>0</v>
      </c>
      <c r="G713">
        <v>0</v>
      </c>
    </row>
    <row r="714" spans="1:7" ht="13" x14ac:dyDescent="0.15">
      <c r="A714" s="2">
        <v>452046</v>
      </c>
      <c r="B714" s="12" t="s">
        <v>7801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ht="13" x14ac:dyDescent="0.15">
      <c r="A715" s="2">
        <v>4364202</v>
      </c>
      <c r="B715" s="12" t="s">
        <v>7802</v>
      </c>
      <c r="C715">
        <v>1</v>
      </c>
      <c r="D715">
        <v>0</v>
      </c>
      <c r="E715">
        <v>0</v>
      </c>
      <c r="F715">
        <v>0</v>
      </c>
      <c r="G715">
        <v>0</v>
      </c>
    </row>
    <row r="716" spans="1:7" ht="13" x14ac:dyDescent="0.15">
      <c r="A716" s="2">
        <v>1703874</v>
      </c>
      <c r="B716" s="12" t="s">
        <v>7803</v>
      </c>
      <c r="C716">
        <v>1</v>
      </c>
      <c r="D716">
        <v>0</v>
      </c>
      <c r="E716">
        <v>0</v>
      </c>
      <c r="F716">
        <v>0</v>
      </c>
      <c r="G716">
        <v>0</v>
      </c>
    </row>
    <row r="717" spans="1:7" ht="13" x14ac:dyDescent="0.15">
      <c r="A717" s="2">
        <v>7830028</v>
      </c>
      <c r="B717" s="12" t="s">
        <v>7804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ht="13" x14ac:dyDescent="0.15">
      <c r="A718" s="2">
        <v>2322158</v>
      </c>
      <c r="B718" s="12" t="s">
        <v>7805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ht="13" x14ac:dyDescent="0.15">
      <c r="A719" s="2">
        <v>252130</v>
      </c>
      <c r="B719" s="12" t="s">
        <v>7806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ht="13" x14ac:dyDescent="0.15">
      <c r="A720" s="2">
        <v>284718</v>
      </c>
      <c r="B720" s="12" t="s">
        <v>7807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ht="13" x14ac:dyDescent="0.15">
      <c r="A721" s="2">
        <v>2427220</v>
      </c>
      <c r="B721" s="12" t="s">
        <v>7808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ht="13" x14ac:dyDescent="0.15">
      <c r="A722" s="2">
        <v>6493842</v>
      </c>
      <c r="B722" s="12" t="s">
        <v>7809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ht="13" x14ac:dyDescent="0.15">
      <c r="A723" s="2">
        <v>1117552</v>
      </c>
      <c r="B723" s="12" t="s">
        <v>7810</v>
      </c>
      <c r="C723">
        <v>0</v>
      </c>
      <c r="D723">
        <v>1</v>
      </c>
      <c r="E723">
        <v>0</v>
      </c>
      <c r="F723">
        <v>0</v>
      </c>
      <c r="G723">
        <v>0</v>
      </c>
    </row>
    <row r="724" spans="1:7" ht="13" x14ac:dyDescent="0.15">
      <c r="A724" s="2">
        <v>5666362</v>
      </c>
      <c r="B724" s="12" t="s">
        <v>7811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ht="13" x14ac:dyDescent="0.15">
      <c r="A725" s="2">
        <v>247082</v>
      </c>
      <c r="B725" s="12" t="s">
        <v>7812</v>
      </c>
      <c r="C725">
        <v>1</v>
      </c>
      <c r="D725">
        <v>0</v>
      </c>
      <c r="E725">
        <v>0</v>
      </c>
      <c r="F725">
        <v>0</v>
      </c>
      <c r="G725">
        <v>0</v>
      </c>
    </row>
    <row r="726" spans="1:7" ht="13" x14ac:dyDescent="0.15">
      <c r="A726" s="2">
        <v>3560060</v>
      </c>
      <c r="B726" s="12" t="s">
        <v>7813</v>
      </c>
      <c r="C726">
        <v>1</v>
      </c>
      <c r="D726">
        <v>0</v>
      </c>
      <c r="E726">
        <v>0</v>
      </c>
      <c r="F726">
        <v>0</v>
      </c>
      <c r="G726">
        <v>0</v>
      </c>
    </row>
    <row r="727" spans="1:7" ht="13" x14ac:dyDescent="0.15">
      <c r="A727" s="2">
        <v>313043</v>
      </c>
      <c r="B727" s="12" t="s">
        <v>7814</v>
      </c>
      <c r="C727">
        <v>1</v>
      </c>
      <c r="D727">
        <v>0</v>
      </c>
      <c r="E727">
        <v>0</v>
      </c>
      <c r="F727">
        <v>0</v>
      </c>
      <c r="G727">
        <v>0</v>
      </c>
    </row>
    <row r="728" spans="1:7" ht="13" x14ac:dyDescent="0.15">
      <c r="A728" s="2">
        <v>395843</v>
      </c>
      <c r="B728" s="12" t="s">
        <v>7815</v>
      </c>
      <c r="C728">
        <v>1</v>
      </c>
      <c r="D728">
        <v>0</v>
      </c>
      <c r="E728">
        <v>0</v>
      </c>
      <c r="F728">
        <v>0</v>
      </c>
      <c r="G728">
        <v>0</v>
      </c>
    </row>
    <row r="729" spans="1:7" ht="13" x14ac:dyDescent="0.15">
      <c r="A729" s="2">
        <v>2222352</v>
      </c>
      <c r="B729" s="12" t="s">
        <v>7816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ht="13" x14ac:dyDescent="0.15">
      <c r="A730" s="2">
        <v>1517749</v>
      </c>
      <c r="B730" s="12" t="s">
        <v>7817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ht="13" x14ac:dyDescent="0.15">
      <c r="A731" s="2">
        <v>264235</v>
      </c>
      <c r="B731" s="12" t="s">
        <v>7818</v>
      </c>
      <c r="C731">
        <v>1</v>
      </c>
      <c r="D731">
        <v>0</v>
      </c>
      <c r="E731">
        <v>0</v>
      </c>
      <c r="F731">
        <v>0</v>
      </c>
      <c r="G731">
        <v>0</v>
      </c>
    </row>
    <row r="732" spans="1:7" ht="13" x14ac:dyDescent="0.15">
      <c r="A732" s="2">
        <v>7938588</v>
      </c>
      <c r="B732" s="12" t="s">
        <v>7819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ht="13" x14ac:dyDescent="0.15">
      <c r="A733" s="2">
        <v>1564623</v>
      </c>
      <c r="B733" s="12" t="s">
        <v>7820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ht="13" x14ac:dyDescent="0.15">
      <c r="A734" s="2">
        <v>1535158</v>
      </c>
      <c r="B734" s="12" t="s">
        <v>7821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ht="13" x14ac:dyDescent="0.15">
      <c r="A735" s="2">
        <v>449545</v>
      </c>
      <c r="B735" s="12" t="s">
        <v>7822</v>
      </c>
      <c r="C735">
        <v>0</v>
      </c>
      <c r="D735">
        <v>1</v>
      </c>
      <c r="E735">
        <v>0</v>
      </c>
      <c r="F735">
        <v>0</v>
      </c>
      <c r="G735">
        <v>0</v>
      </c>
    </row>
    <row r="736" spans="1:7" ht="13" x14ac:dyDescent="0.15">
      <c r="A736" s="2">
        <v>497350</v>
      </c>
      <c r="B736" s="12" t="s">
        <v>7823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ht="13" x14ac:dyDescent="0.15">
      <c r="A737" s="2">
        <v>8989810</v>
      </c>
      <c r="B737" s="12" t="s">
        <v>7824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ht="13" x14ac:dyDescent="0.15">
      <c r="A738" s="2">
        <v>314996</v>
      </c>
      <c r="B738" s="12" t="s">
        <v>7825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ht="13" x14ac:dyDescent="0.15">
      <c r="A739" s="2">
        <v>5137982</v>
      </c>
      <c r="B739" s="12" t="s">
        <v>7826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ht="13" x14ac:dyDescent="0.15">
      <c r="A740" s="2">
        <v>309141</v>
      </c>
      <c r="B740" s="12" t="s">
        <v>7827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ht="13" x14ac:dyDescent="0.15">
      <c r="A741" s="2">
        <v>111932</v>
      </c>
      <c r="B741" s="12" t="s">
        <v>7828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ht="13" x14ac:dyDescent="0.15">
      <c r="A742" s="2">
        <v>2094262</v>
      </c>
      <c r="B742" s="12" t="s">
        <v>7829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ht="13" x14ac:dyDescent="0.15">
      <c r="A743" s="2">
        <v>6848378</v>
      </c>
      <c r="B743" s="12" t="s">
        <v>7830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ht="13" x14ac:dyDescent="0.15">
      <c r="A744" s="2">
        <v>491758</v>
      </c>
      <c r="B744" s="14" t="s">
        <v>7831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ht="13" x14ac:dyDescent="0.15">
      <c r="A745" s="2">
        <v>147760</v>
      </c>
      <c r="B745" s="12" t="s">
        <v>7832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ht="13" x14ac:dyDescent="0.15">
      <c r="A746" s="2">
        <v>7001132</v>
      </c>
      <c r="B746" s="12" t="s">
        <v>7833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ht="13" x14ac:dyDescent="0.15">
      <c r="A747" s="2">
        <v>6106704</v>
      </c>
      <c r="B747" s="12" t="s">
        <v>7834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ht="13" x14ac:dyDescent="0.15">
      <c r="A748" s="2">
        <v>1551948</v>
      </c>
      <c r="B748" s="12" t="s">
        <v>7835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ht="13" x14ac:dyDescent="0.15">
      <c r="A749" s="2">
        <v>1991410</v>
      </c>
      <c r="B749" s="12" t="s">
        <v>7836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ht="13" x14ac:dyDescent="0.15">
      <c r="A750" s="2">
        <v>463398</v>
      </c>
      <c r="B750" s="12" t="s">
        <v>7837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ht="13" x14ac:dyDescent="0.15">
      <c r="A751" s="2">
        <v>81848</v>
      </c>
      <c r="B751" s="12" t="s">
        <v>7838</v>
      </c>
      <c r="C751">
        <v>1</v>
      </c>
      <c r="D751">
        <v>0</v>
      </c>
      <c r="E751">
        <v>0</v>
      </c>
      <c r="F751">
        <v>0</v>
      </c>
      <c r="G751">
        <v>0</v>
      </c>
    </row>
    <row r="752" spans="1:7" ht="13" x14ac:dyDescent="0.15">
      <c r="A752" s="2">
        <v>4196822</v>
      </c>
      <c r="B752" s="12" t="s">
        <v>7838</v>
      </c>
      <c r="C752">
        <v>1</v>
      </c>
      <c r="D752">
        <v>0</v>
      </c>
      <c r="E752">
        <v>0</v>
      </c>
      <c r="F752">
        <v>0</v>
      </c>
      <c r="G752">
        <v>0</v>
      </c>
    </row>
    <row r="753" spans="1:7" ht="13" x14ac:dyDescent="0.15">
      <c r="A753" s="2">
        <v>122339</v>
      </c>
      <c r="B753" s="12" t="s">
        <v>7839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ht="13" x14ac:dyDescent="0.15">
      <c r="A754" s="2">
        <v>2014553</v>
      </c>
      <c r="B754" s="12" t="s">
        <v>7840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ht="13" x14ac:dyDescent="0.15">
      <c r="A755" s="2">
        <v>10788702</v>
      </c>
      <c r="B755" s="12" t="s">
        <v>7841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ht="13" x14ac:dyDescent="0.15">
      <c r="A756" s="2">
        <v>366005</v>
      </c>
      <c r="B756" s="12" t="s">
        <v>7842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ht="13" x14ac:dyDescent="0.15">
      <c r="A757" s="2">
        <v>414731</v>
      </c>
      <c r="B757" s="12" t="s">
        <v>7843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ht="13" x14ac:dyDescent="0.15">
      <c r="A758" s="2">
        <v>2324215</v>
      </c>
      <c r="B758" s="12" t="s">
        <v>7844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ht="13" x14ac:dyDescent="0.15">
      <c r="A759" s="2">
        <v>3322312</v>
      </c>
      <c r="B759" s="12" t="s">
        <v>7845</v>
      </c>
      <c r="C759">
        <v>0</v>
      </c>
      <c r="D759">
        <v>1</v>
      </c>
      <c r="E759">
        <v>0</v>
      </c>
      <c r="F759">
        <v>1</v>
      </c>
      <c r="G759">
        <v>0</v>
      </c>
    </row>
    <row r="760" spans="1:7" ht="13" x14ac:dyDescent="0.15">
      <c r="A760" s="2">
        <v>118298</v>
      </c>
      <c r="B760" s="12" t="s">
        <v>7846</v>
      </c>
      <c r="C760">
        <v>0</v>
      </c>
      <c r="D760">
        <v>0</v>
      </c>
      <c r="E760">
        <v>1</v>
      </c>
      <c r="F760">
        <v>0</v>
      </c>
      <c r="G760">
        <v>0</v>
      </c>
    </row>
    <row r="761" spans="1:7" ht="13" x14ac:dyDescent="0.15">
      <c r="A761" s="2">
        <v>5753856</v>
      </c>
      <c r="B761" s="12" t="s">
        <v>7847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ht="13" x14ac:dyDescent="0.15">
      <c r="A762" s="2">
        <v>204993</v>
      </c>
      <c r="B762" s="12" t="s">
        <v>7848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ht="13" x14ac:dyDescent="0.15">
      <c r="A763" s="2">
        <v>1545773</v>
      </c>
      <c r="B763" s="12" t="s">
        <v>7849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ht="13" x14ac:dyDescent="0.15">
      <c r="A764" s="2">
        <v>4159076</v>
      </c>
      <c r="B764" s="12" t="s">
        <v>7850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ht="13" x14ac:dyDescent="0.15">
      <c r="A765" s="2">
        <v>2014554</v>
      </c>
      <c r="B765" s="12" t="s">
        <v>7851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ht="13" x14ac:dyDescent="0.15">
      <c r="A766" s="2">
        <v>5397520</v>
      </c>
      <c r="B766" s="12" t="s">
        <v>7852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ht="13" x14ac:dyDescent="0.15">
      <c r="A767" s="2">
        <v>99363</v>
      </c>
      <c r="B767" s="12" t="s">
        <v>7853</v>
      </c>
      <c r="C767">
        <v>1</v>
      </c>
      <c r="D767">
        <v>0</v>
      </c>
      <c r="E767">
        <v>0</v>
      </c>
      <c r="F767">
        <v>0</v>
      </c>
      <c r="G767">
        <v>0</v>
      </c>
    </row>
    <row r="768" spans="1:7" ht="13" x14ac:dyDescent="0.15">
      <c r="A768" s="2">
        <v>115151</v>
      </c>
      <c r="B768" s="12" t="s">
        <v>7854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ht="13" x14ac:dyDescent="0.15">
      <c r="A769" s="2">
        <v>995941</v>
      </c>
      <c r="B769" s="12" t="s">
        <v>7855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ht="13" x14ac:dyDescent="0.15">
      <c r="A770" s="2">
        <v>101076</v>
      </c>
      <c r="B770" s="12" t="s">
        <v>7856</v>
      </c>
      <c r="C770">
        <v>1</v>
      </c>
      <c r="D770">
        <v>0</v>
      </c>
      <c r="E770">
        <v>0</v>
      </c>
      <c r="F770">
        <v>0</v>
      </c>
      <c r="G770">
        <v>0</v>
      </c>
    </row>
    <row r="771" spans="1:7" ht="13" x14ac:dyDescent="0.15">
      <c r="A771" s="2">
        <v>7865090</v>
      </c>
      <c r="B771" s="12" t="s">
        <v>7857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ht="13" x14ac:dyDescent="0.15">
      <c r="A772" s="2">
        <v>452903</v>
      </c>
      <c r="B772" s="12" t="s">
        <v>7858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ht="13" x14ac:dyDescent="0.15">
      <c r="A773" s="2">
        <v>1496702</v>
      </c>
      <c r="B773" s="12" t="s">
        <v>7858</v>
      </c>
      <c r="C773">
        <v>1</v>
      </c>
      <c r="D773">
        <v>0</v>
      </c>
      <c r="E773">
        <v>0</v>
      </c>
      <c r="F773">
        <v>0</v>
      </c>
      <c r="G773">
        <v>0</v>
      </c>
    </row>
    <row r="774" spans="1:7" ht="13" x14ac:dyDescent="0.15">
      <c r="A774" s="2">
        <v>5830254</v>
      </c>
      <c r="B774" s="12" t="s">
        <v>7859</v>
      </c>
      <c r="C774">
        <v>0</v>
      </c>
      <c r="D774">
        <v>0</v>
      </c>
      <c r="E774">
        <v>0</v>
      </c>
      <c r="F774">
        <v>1</v>
      </c>
      <c r="G774">
        <v>0</v>
      </c>
    </row>
    <row r="775" spans="1:7" ht="13" x14ac:dyDescent="0.15">
      <c r="A775" s="2">
        <v>7132984</v>
      </c>
      <c r="B775" s="12" t="s">
        <v>7860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ht="13" x14ac:dyDescent="0.15">
      <c r="A776" s="2">
        <v>2231098</v>
      </c>
      <c r="B776" s="12" t="s">
        <v>7861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ht="13" x14ac:dyDescent="0.15">
      <c r="A777" s="2">
        <v>1477773</v>
      </c>
      <c r="B777" s="12" t="s">
        <v>7862</v>
      </c>
      <c r="C777">
        <v>1</v>
      </c>
      <c r="D777">
        <v>0</v>
      </c>
      <c r="E777">
        <v>0</v>
      </c>
      <c r="F777">
        <v>0</v>
      </c>
      <c r="G777">
        <v>0</v>
      </c>
    </row>
    <row r="778" spans="1:7" ht="13" x14ac:dyDescent="0.15">
      <c r="A778" s="2">
        <v>8905948</v>
      </c>
      <c r="B778" s="12" t="s">
        <v>7863</v>
      </c>
      <c r="C778">
        <v>0</v>
      </c>
      <c r="D778">
        <v>0</v>
      </c>
      <c r="E778">
        <v>0</v>
      </c>
      <c r="F778">
        <v>0</v>
      </c>
      <c r="G778">
        <v>1</v>
      </c>
    </row>
    <row r="779" spans="1:7" ht="13" x14ac:dyDescent="0.15">
      <c r="A779" s="2">
        <v>118300</v>
      </c>
      <c r="B779" s="12" t="s">
        <v>7864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ht="13" x14ac:dyDescent="0.15">
      <c r="A780" s="2">
        <v>801425</v>
      </c>
      <c r="B780" s="12" t="s">
        <v>7865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ht="13" x14ac:dyDescent="0.15">
      <c r="A781" s="2">
        <v>5582302</v>
      </c>
      <c r="B781" s="12" t="s">
        <v>7866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 ht="13" x14ac:dyDescent="0.15">
      <c r="A782" s="2">
        <v>4532368</v>
      </c>
      <c r="B782" s="12" t="s">
        <v>7867</v>
      </c>
      <c r="C782">
        <v>0</v>
      </c>
      <c r="D782">
        <v>1</v>
      </c>
      <c r="E782">
        <v>0</v>
      </c>
      <c r="F782">
        <v>0</v>
      </c>
      <c r="G782">
        <v>0</v>
      </c>
    </row>
    <row r="783" spans="1:7" ht="13" x14ac:dyDescent="0.15">
      <c r="A783" s="2">
        <v>1652216</v>
      </c>
      <c r="B783" s="12" t="s">
        <v>7868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ht="13" x14ac:dyDescent="0.15">
      <c r="A784" s="2">
        <v>2081675</v>
      </c>
      <c r="B784" s="12" t="s">
        <v>7869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ht="13" x14ac:dyDescent="0.15">
      <c r="A785" s="2">
        <v>108741</v>
      </c>
      <c r="B785" s="12" t="s">
        <v>7870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ht="13" x14ac:dyDescent="0.15">
      <c r="A786" s="2">
        <v>348913</v>
      </c>
      <c r="B786" s="12" t="s">
        <v>7871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ht="13" x14ac:dyDescent="0.15">
      <c r="A787" s="2">
        <v>140735</v>
      </c>
      <c r="B787" s="12" t="s">
        <v>7872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ht="13" x14ac:dyDescent="0.15">
      <c r="A788" s="2">
        <v>5210998</v>
      </c>
      <c r="B788" s="12" t="s">
        <v>7873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ht="13" x14ac:dyDescent="0.15">
      <c r="A789" s="2">
        <v>5787720</v>
      </c>
      <c r="B789" s="12" t="s">
        <v>7874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ht="13" x14ac:dyDescent="0.15">
      <c r="A790" s="2">
        <v>8064302</v>
      </c>
      <c r="B790" s="12" t="s">
        <v>7875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ht="13" x14ac:dyDescent="0.15">
      <c r="A791" s="2">
        <v>3147316</v>
      </c>
      <c r="B791" s="12" t="s">
        <v>7876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ht="13" x14ac:dyDescent="0.15">
      <c r="A792" s="2">
        <v>446809</v>
      </c>
      <c r="B792" s="12" t="s">
        <v>7877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ht="13" x14ac:dyDescent="0.15">
      <c r="A793" s="2">
        <v>2632366</v>
      </c>
      <c r="B793" s="12" t="s">
        <v>7878</v>
      </c>
      <c r="C793">
        <v>1</v>
      </c>
      <c r="D793">
        <v>0</v>
      </c>
      <c r="E793">
        <v>0</v>
      </c>
      <c r="F793">
        <v>0</v>
      </c>
      <c r="G793">
        <v>0</v>
      </c>
    </row>
    <row r="794" spans="1:7" ht="13" x14ac:dyDescent="0.15">
      <c r="A794" s="2">
        <v>2509804</v>
      </c>
      <c r="B794" s="12" t="s">
        <v>7879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ht="13" x14ac:dyDescent="0.15">
      <c r="A795" s="2">
        <v>85031</v>
      </c>
      <c r="B795" s="12" t="s">
        <v>7880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ht="13" x14ac:dyDescent="0.15">
      <c r="A796" s="2">
        <v>5833694</v>
      </c>
      <c r="B796" s="12" t="s">
        <v>7881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ht="13" x14ac:dyDescent="0.15">
      <c r="A797" s="2">
        <v>2301547</v>
      </c>
      <c r="B797" s="12" t="s">
        <v>7882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ht="13" x14ac:dyDescent="0.15">
      <c r="A798" s="2">
        <v>1319260</v>
      </c>
      <c r="B798" s="12" t="s">
        <v>7883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ht="13" x14ac:dyDescent="0.15">
      <c r="A799" s="2">
        <v>6616260</v>
      </c>
      <c r="B799" s="12" t="s">
        <v>7884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ht="13" x14ac:dyDescent="0.15">
      <c r="A800" s="2">
        <v>348914</v>
      </c>
      <c r="B800" s="12" t="s">
        <v>7885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ht="13" x14ac:dyDescent="0.15">
      <c r="A801" s="2">
        <v>3067648</v>
      </c>
      <c r="B801" s="12" t="s">
        <v>7886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ht="13" x14ac:dyDescent="0.15">
      <c r="A802" s="2">
        <v>5707802</v>
      </c>
      <c r="B802" s="12" t="s">
        <v>7887</v>
      </c>
      <c r="C802">
        <v>0</v>
      </c>
      <c r="D802">
        <v>0</v>
      </c>
      <c r="E802">
        <v>0</v>
      </c>
      <c r="F802">
        <v>1</v>
      </c>
      <c r="G802">
        <v>1</v>
      </c>
    </row>
    <row r="803" spans="1:7" ht="13" x14ac:dyDescent="0.15">
      <c r="A803" s="2">
        <v>1888075</v>
      </c>
      <c r="B803" s="12" t="s">
        <v>7888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ht="13" x14ac:dyDescent="0.15">
      <c r="A804" s="2">
        <v>877057</v>
      </c>
      <c r="B804" s="12" t="s">
        <v>7889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ht="13" x14ac:dyDescent="0.15">
      <c r="A805" s="2">
        <v>5611184</v>
      </c>
      <c r="B805" s="12" t="s">
        <v>7890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ht="13" x14ac:dyDescent="0.15">
      <c r="A806" s="2">
        <v>3908868</v>
      </c>
      <c r="B806" s="12" t="s">
        <v>7891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ht="13" x14ac:dyDescent="0.15">
      <c r="A807" s="2">
        <v>1787217</v>
      </c>
      <c r="B807" s="12" t="s">
        <v>7892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ht="13" x14ac:dyDescent="0.15">
      <c r="A808" s="2">
        <v>4785472</v>
      </c>
      <c r="B808" s="12" t="s">
        <v>7893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ht="13" x14ac:dyDescent="0.15">
      <c r="A809" s="2">
        <v>8363040</v>
      </c>
      <c r="B809" s="12" t="s">
        <v>7894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ht="13" x14ac:dyDescent="0.15">
      <c r="A810" s="2">
        <v>2189221</v>
      </c>
      <c r="B810" s="12" t="s">
        <v>7895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ht="13" x14ac:dyDescent="0.15">
      <c r="A811" s="2">
        <v>1319690</v>
      </c>
      <c r="B811" s="12" t="s">
        <v>7896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ht="13" x14ac:dyDescent="0.15">
      <c r="A812" s="2">
        <v>90417</v>
      </c>
      <c r="B812" s="12" t="s">
        <v>7897</v>
      </c>
      <c r="C812">
        <v>1</v>
      </c>
      <c r="D812">
        <v>0</v>
      </c>
      <c r="E812">
        <v>0</v>
      </c>
      <c r="F812">
        <v>0</v>
      </c>
      <c r="G812">
        <v>0</v>
      </c>
    </row>
    <row r="813" spans="1:7" ht="13" x14ac:dyDescent="0.15">
      <c r="A813" s="2">
        <v>288937</v>
      </c>
      <c r="B813" s="12" t="s">
        <v>7898</v>
      </c>
      <c r="C813">
        <v>1</v>
      </c>
      <c r="D813">
        <v>0</v>
      </c>
      <c r="E813">
        <v>0</v>
      </c>
      <c r="F813">
        <v>0</v>
      </c>
      <c r="G813">
        <v>0</v>
      </c>
    </row>
    <row r="814" spans="1:7" ht="13" x14ac:dyDescent="0.15">
      <c r="A814" s="2">
        <v>12516788</v>
      </c>
      <c r="B814" s="12" t="s">
        <v>7899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ht="13" x14ac:dyDescent="0.15">
      <c r="A815" s="2">
        <v>6059460</v>
      </c>
      <c r="B815" s="12" t="s">
        <v>7900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ht="13" x14ac:dyDescent="0.15">
      <c r="A816" s="2">
        <v>1237109</v>
      </c>
      <c r="B816" s="12" t="s">
        <v>7901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ht="13" x14ac:dyDescent="0.15">
      <c r="A817" s="2">
        <v>1299729</v>
      </c>
      <c r="B817" s="12" t="s">
        <v>7902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ht="13" x14ac:dyDescent="0.15">
      <c r="A818" s="2">
        <v>5144934</v>
      </c>
      <c r="B818" s="12" t="s">
        <v>7903</v>
      </c>
      <c r="C818">
        <v>1</v>
      </c>
      <c r="D818">
        <v>0</v>
      </c>
      <c r="E818">
        <v>0</v>
      </c>
      <c r="F818">
        <v>0</v>
      </c>
      <c r="G818">
        <v>0</v>
      </c>
    </row>
    <row r="819" spans="1:7" ht="13" x14ac:dyDescent="0.15">
      <c r="A819" s="2">
        <v>1785869</v>
      </c>
      <c r="B819" s="12" t="s">
        <v>7904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ht="13" x14ac:dyDescent="0.15">
      <c r="A820" s="2">
        <v>470645</v>
      </c>
      <c r="B820" s="12" t="s">
        <v>7905</v>
      </c>
      <c r="C820">
        <v>1</v>
      </c>
      <c r="D820">
        <v>1</v>
      </c>
      <c r="E820">
        <v>0</v>
      </c>
      <c r="F820">
        <v>0</v>
      </c>
      <c r="G820">
        <v>0</v>
      </c>
    </row>
    <row r="821" spans="1:7" ht="13" x14ac:dyDescent="0.15">
      <c r="A821" s="2">
        <v>483852</v>
      </c>
      <c r="B821" s="12" t="s">
        <v>7906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ht="13" x14ac:dyDescent="0.15">
      <c r="A822" s="2">
        <v>1080280</v>
      </c>
      <c r="B822" s="12" t="s">
        <v>7907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ht="13" x14ac:dyDescent="0.15">
      <c r="A823" s="2">
        <v>406408</v>
      </c>
      <c r="B823" s="12" t="s">
        <v>7908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ht="13" x14ac:dyDescent="0.15">
      <c r="A824" s="2">
        <v>7120662</v>
      </c>
      <c r="B824" s="12" t="s">
        <v>7909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ht="13" x14ac:dyDescent="0.15">
      <c r="A825" s="2">
        <v>5296406</v>
      </c>
      <c r="B825" s="12" t="s">
        <v>7910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ht="13" x14ac:dyDescent="0.15">
      <c r="A826" s="2">
        <v>4619428</v>
      </c>
      <c r="B826" s="12" t="s">
        <v>7911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ht="13" x14ac:dyDescent="0.15">
      <c r="A827" s="2">
        <v>410975</v>
      </c>
      <c r="B827" s="12" t="s">
        <v>7912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ht="13" x14ac:dyDescent="0.15">
      <c r="A828" s="2">
        <v>233043</v>
      </c>
      <c r="B828" s="12" t="s">
        <v>7913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ht="13" x14ac:dyDescent="0.15">
      <c r="A829" s="2">
        <v>1483930</v>
      </c>
      <c r="B829" s="12" t="s">
        <v>7914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ht="13" x14ac:dyDescent="0.15">
      <c r="A830" s="2">
        <v>890871</v>
      </c>
      <c r="B830" s="12" t="s">
        <v>7915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ht="13" x14ac:dyDescent="0.15">
      <c r="A831" s="2">
        <v>441922</v>
      </c>
      <c r="B831" s="12" t="s">
        <v>7916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ht="13" x14ac:dyDescent="0.15">
      <c r="A832" s="2">
        <v>131179</v>
      </c>
      <c r="B832" s="12" t="s">
        <v>7917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ht="13" x14ac:dyDescent="0.15">
      <c r="A833" s="2">
        <v>4082744</v>
      </c>
      <c r="B833" s="12" t="s">
        <v>7918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ht="13" x14ac:dyDescent="0.15">
      <c r="A834" s="2">
        <v>1831914</v>
      </c>
      <c r="B834" s="12" t="s">
        <v>7919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ht="13" x14ac:dyDescent="0.15">
      <c r="A835" s="2">
        <v>4445154</v>
      </c>
      <c r="B835" s="12" t="s">
        <v>7920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ht="13" x14ac:dyDescent="0.15">
      <c r="A836" s="2">
        <v>6148324</v>
      </c>
      <c r="B836" s="12" t="s">
        <v>7921</v>
      </c>
      <c r="C836">
        <v>1</v>
      </c>
      <c r="D836">
        <v>0</v>
      </c>
      <c r="E836">
        <v>0</v>
      </c>
      <c r="F836">
        <v>0</v>
      </c>
      <c r="G836">
        <v>0</v>
      </c>
    </row>
    <row r="837" spans="1:7" ht="13" x14ac:dyDescent="0.15">
      <c r="A837" s="2">
        <v>2588308</v>
      </c>
      <c r="B837" s="12" t="s">
        <v>7922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ht="13" x14ac:dyDescent="0.15">
      <c r="A838" s="2">
        <v>2226342</v>
      </c>
      <c r="B838" s="12" t="s">
        <v>7923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ht="13" x14ac:dyDescent="0.15">
      <c r="A839" s="2">
        <v>773262</v>
      </c>
      <c r="B839" s="12" t="s">
        <v>7924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ht="13" x14ac:dyDescent="0.15">
      <c r="A840" s="2">
        <v>115157</v>
      </c>
      <c r="B840" s="12" t="s">
        <v>7925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ht="13" x14ac:dyDescent="0.15">
      <c r="A841" s="2">
        <v>118303</v>
      </c>
      <c r="B841" s="12" t="s">
        <v>7926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ht="13" x14ac:dyDescent="0.15">
      <c r="A842" s="2">
        <v>458215</v>
      </c>
      <c r="B842" s="12" t="s">
        <v>7927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ht="13" x14ac:dyDescent="0.15">
      <c r="A843" s="2">
        <v>7414954</v>
      </c>
      <c r="B843" s="12" t="s">
        <v>7928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ht="13" x14ac:dyDescent="0.15">
      <c r="A844" s="2">
        <v>105986</v>
      </c>
      <c r="B844" s="12" t="s">
        <v>7929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ht="13" x14ac:dyDescent="0.15">
      <c r="A845" s="2">
        <v>4272454</v>
      </c>
      <c r="B845" s="12" t="s">
        <v>7930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ht="13" x14ac:dyDescent="0.15">
      <c r="A846" s="2">
        <v>4229028</v>
      </c>
      <c r="B846" s="12" t="s">
        <v>7931</v>
      </c>
      <c r="C846">
        <v>0</v>
      </c>
      <c r="D846">
        <v>1</v>
      </c>
      <c r="E846">
        <v>0</v>
      </c>
      <c r="F846">
        <v>0</v>
      </c>
      <c r="G846">
        <v>0</v>
      </c>
    </row>
    <row r="847" spans="1:7" ht="13" x14ac:dyDescent="0.15">
      <c r="A847" s="2">
        <v>319986</v>
      </c>
      <c r="B847" s="12" t="s">
        <v>7932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ht="13" x14ac:dyDescent="0.15">
      <c r="A848" s="2">
        <v>4531728</v>
      </c>
      <c r="B848" s="12" t="s">
        <v>7933</v>
      </c>
      <c r="C848">
        <v>0</v>
      </c>
      <c r="D848">
        <v>1</v>
      </c>
      <c r="E848">
        <v>0</v>
      </c>
      <c r="F848">
        <v>0</v>
      </c>
      <c r="G848">
        <v>0</v>
      </c>
    </row>
    <row r="849" spans="1:7" ht="13" x14ac:dyDescent="0.15">
      <c r="A849" s="2">
        <v>8518136</v>
      </c>
      <c r="B849" s="12" t="s">
        <v>7934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ht="13" x14ac:dyDescent="0.15">
      <c r="A850" s="2">
        <v>891374</v>
      </c>
      <c r="B850" s="12" t="s">
        <v>7935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ht="13" x14ac:dyDescent="0.15">
      <c r="A851" s="2">
        <v>2025899</v>
      </c>
      <c r="B851" s="12" t="s">
        <v>7936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ht="13" x14ac:dyDescent="0.15">
      <c r="A852" s="2">
        <v>2321795</v>
      </c>
      <c r="B852" s="12" t="s">
        <v>7937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ht="13" x14ac:dyDescent="0.15">
      <c r="A853" s="2">
        <v>208617</v>
      </c>
      <c r="B853" s="12" t="s">
        <v>7938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ht="13" x14ac:dyDescent="0.15">
      <c r="A854" s="2">
        <v>85005</v>
      </c>
      <c r="B854" s="12" t="s">
        <v>7939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ht="13" x14ac:dyDescent="0.15">
      <c r="A855" s="2">
        <v>5869202</v>
      </c>
      <c r="B855" s="12" t="s">
        <v>7940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ht="13" x14ac:dyDescent="0.15">
      <c r="A856" s="2">
        <v>5874704</v>
      </c>
      <c r="B856" s="12" t="s">
        <v>7941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ht="13" x14ac:dyDescent="0.15">
      <c r="A857" s="2">
        <v>210418</v>
      </c>
      <c r="B857" s="12" t="s">
        <v>7942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ht="13" x14ac:dyDescent="0.15">
      <c r="A858" s="2">
        <v>11312664</v>
      </c>
      <c r="B858" s="12" t="s">
        <v>7943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ht="13" x14ac:dyDescent="0.15">
      <c r="A859" s="2">
        <v>118984</v>
      </c>
      <c r="B859" s="12" t="s">
        <v>7944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ht="13" x14ac:dyDescent="0.15">
      <c r="A860" s="2">
        <v>5798078</v>
      </c>
      <c r="B860" s="12" t="s">
        <v>7945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ht="13" x14ac:dyDescent="0.15">
      <c r="A861" s="2">
        <v>1020913</v>
      </c>
      <c r="B861" s="12" t="s">
        <v>7946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ht="13" x14ac:dyDescent="0.15">
      <c r="A862" s="2">
        <v>3551980</v>
      </c>
      <c r="B862" s="12" t="s">
        <v>7947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ht="13" x14ac:dyDescent="0.15">
      <c r="A863" s="2">
        <v>1941774</v>
      </c>
      <c r="B863" s="12" t="s">
        <v>7948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ht="13" x14ac:dyDescent="0.15">
      <c r="A864" s="2">
        <v>161140</v>
      </c>
      <c r="B864" s="12" t="s">
        <v>7949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ht="13" x14ac:dyDescent="0.15">
      <c r="A865" s="2">
        <v>1447487</v>
      </c>
      <c r="B865" s="12" t="s">
        <v>7950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ht="13" x14ac:dyDescent="0.15">
      <c r="A866" s="2">
        <v>1524993</v>
      </c>
      <c r="B866" s="12" t="s">
        <v>7951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ht="13" x14ac:dyDescent="0.15">
      <c r="A867" s="2">
        <v>1460205</v>
      </c>
      <c r="B867" s="12" t="s">
        <v>7952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ht="13" x14ac:dyDescent="0.15">
      <c r="A868" s="2">
        <v>101081</v>
      </c>
      <c r="B868" s="12" t="s">
        <v>7953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ht="13" x14ac:dyDescent="0.15">
      <c r="A869" s="2">
        <v>310443</v>
      </c>
      <c r="B869" s="12" t="s">
        <v>7954</v>
      </c>
      <c r="C869">
        <v>0</v>
      </c>
      <c r="D869">
        <v>1</v>
      </c>
      <c r="E869">
        <v>0</v>
      </c>
      <c r="F869">
        <v>0</v>
      </c>
      <c r="G869">
        <v>0</v>
      </c>
    </row>
    <row r="870" spans="1:7" ht="13" x14ac:dyDescent="0.15">
      <c r="A870" s="2">
        <v>1396212</v>
      </c>
      <c r="B870" s="12" t="s">
        <v>7955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ht="13" x14ac:dyDescent="0.15">
      <c r="A871" s="2">
        <v>458259</v>
      </c>
      <c r="B871" s="12" t="s">
        <v>7956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ht="13" x14ac:dyDescent="0.15">
      <c r="A872" s="2">
        <v>7945720</v>
      </c>
      <c r="B872" s="12" t="s">
        <v>7957</v>
      </c>
      <c r="C872">
        <v>0</v>
      </c>
      <c r="D872">
        <v>1</v>
      </c>
      <c r="E872">
        <v>0</v>
      </c>
      <c r="F872">
        <v>0</v>
      </c>
      <c r="G872">
        <v>0</v>
      </c>
    </row>
    <row r="873" spans="1:7" ht="13" x14ac:dyDescent="0.15">
      <c r="A873" s="2">
        <v>7889220</v>
      </c>
      <c r="B873" s="12" t="s">
        <v>7958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ht="13" x14ac:dyDescent="0.15">
      <c r="A874" s="2">
        <v>380105</v>
      </c>
      <c r="B874" s="12" t="s">
        <v>7959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ht="13" x14ac:dyDescent="0.15">
      <c r="A875" s="2">
        <v>4453904</v>
      </c>
      <c r="B875" s="12" t="s">
        <v>7960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ht="13" x14ac:dyDescent="0.15">
      <c r="A876" s="2">
        <v>1563280</v>
      </c>
      <c r="B876" s="12" t="s">
        <v>7961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ht="13" x14ac:dyDescent="0.15">
      <c r="A877" s="2">
        <v>8807938</v>
      </c>
      <c r="B877" s="12" t="s">
        <v>7962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ht="13" x14ac:dyDescent="0.15">
      <c r="A878" s="2">
        <v>6974848</v>
      </c>
      <c r="B878" s="12" t="s">
        <v>7963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ht="13" x14ac:dyDescent="0.15">
      <c r="A879" s="2">
        <v>4304864</v>
      </c>
      <c r="B879" s="12" t="s">
        <v>7964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ht="13" x14ac:dyDescent="0.15">
      <c r="A880" s="2">
        <v>2184980</v>
      </c>
      <c r="B880" s="12" t="s">
        <v>7965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ht="13" x14ac:dyDescent="0.15">
      <c r="A881" s="2">
        <v>888680</v>
      </c>
      <c r="B881" s="12" t="s">
        <v>7966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ht="13" x14ac:dyDescent="0.15">
      <c r="A882" s="2">
        <v>6743464</v>
      </c>
      <c r="B882" s="12" t="s">
        <v>7967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ht="13" x14ac:dyDescent="0.15">
      <c r="A883" s="2">
        <v>1710295</v>
      </c>
      <c r="B883" s="12" t="s">
        <v>7968</v>
      </c>
      <c r="C883">
        <v>0</v>
      </c>
      <c r="D883">
        <v>0</v>
      </c>
      <c r="E883">
        <v>0</v>
      </c>
      <c r="F883">
        <v>0</v>
      </c>
      <c r="G883">
        <v>1</v>
      </c>
    </row>
    <row r="884" spans="1:7" ht="13" x14ac:dyDescent="0.15">
      <c r="A884" s="2">
        <v>6015808</v>
      </c>
      <c r="B884" s="12" t="s">
        <v>7969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ht="13" x14ac:dyDescent="0.15">
      <c r="A885" s="2">
        <v>4602768</v>
      </c>
      <c r="B885" s="12" t="s">
        <v>7970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ht="13" x14ac:dyDescent="0.15">
      <c r="A886" s="2">
        <v>436992</v>
      </c>
      <c r="B886" s="12" t="s">
        <v>7971</v>
      </c>
      <c r="C886">
        <v>1</v>
      </c>
      <c r="D886">
        <v>0</v>
      </c>
      <c r="E886">
        <v>0</v>
      </c>
      <c r="F886">
        <v>0</v>
      </c>
      <c r="G886">
        <v>0</v>
      </c>
    </row>
    <row r="887" spans="1:7" ht="13" x14ac:dyDescent="0.15">
      <c r="A887" s="2">
        <v>5130152</v>
      </c>
      <c r="B887" s="12" t="s">
        <v>7972</v>
      </c>
      <c r="C887">
        <v>1</v>
      </c>
      <c r="D887">
        <v>0</v>
      </c>
      <c r="E887">
        <v>0</v>
      </c>
      <c r="F887">
        <v>0</v>
      </c>
      <c r="G887">
        <v>0</v>
      </c>
    </row>
    <row r="888" spans="1:7" ht="13" x14ac:dyDescent="0.15">
      <c r="A888" s="2">
        <v>2933730</v>
      </c>
      <c r="B888" s="12" t="s">
        <v>7973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ht="13" x14ac:dyDescent="0.15">
      <c r="A889" s="2">
        <v>487869</v>
      </c>
      <c r="B889" s="12" t="s">
        <v>7974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ht="13" x14ac:dyDescent="0.15">
      <c r="A890" s="2">
        <v>423642</v>
      </c>
      <c r="B890" s="12" t="s">
        <v>7975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ht="13" x14ac:dyDescent="0.15">
      <c r="A891" s="2">
        <v>2222135</v>
      </c>
      <c r="B891" s="12" t="s">
        <v>7976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ht="13" x14ac:dyDescent="0.15">
      <c r="A892" s="2">
        <v>369099</v>
      </c>
      <c r="B892" s="12" t="s">
        <v>7977</v>
      </c>
      <c r="C892">
        <v>0</v>
      </c>
      <c r="D892">
        <v>0</v>
      </c>
      <c r="E892">
        <v>0</v>
      </c>
      <c r="F892">
        <v>0</v>
      </c>
      <c r="G892">
        <v>1</v>
      </c>
    </row>
    <row r="893" spans="1:7" ht="13" x14ac:dyDescent="0.15">
      <c r="A893" s="2">
        <v>2403529</v>
      </c>
      <c r="B893" s="12" t="s">
        <v>7978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ht="13" x14ac:dyDescent="0.15">
      <c r="A894" s="2">
        <v>4460254</v>
      </c>
      <c r="B894" s="12" t="s">
        <v>7979</v>
      </c>
      <c r="C894">
        <v>1</v>
      </c>
      <c r="D894">
        <v>0</v>
      </c>
      <c r="E894">
        <v>0</v>
      </c>
      <c r="F894">
        <v>0</v>
      </c>
      <c r="G894">
        <v>0</v>
      </c>
    </row>
    <row r="895" spans="1:7" ht="13" x14ac:dyDescent="0.15">
      <c r="A895" s="2">
        <v>174599</v>
      </c>
      <c r="B895" s="12" t="s">
        <v>7980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ht="13" x14ac:dyDescent="0.15">
      <c r="A896" s="2">
        <v>7661046</v>
      </c>
      <c r="B896" s="12" t="s">
        <v>7981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ht="13" x14ac:dyDescent="0.15">
      <c r="A897" s="2">
        <v>1135300</v>
      </c>
      <c r="B897" s="12" t="s">
        <v>7982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ht="13" x14ac:dyDescent="0.15">
      <c r="A898" s="2">
        <v>420388</v>
      </c>
      <c r="B898" s="12" t="s">
        <v>7983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ht="13" x14ac:dyDescent="0.15">
      <c r="A899" s="2">
        <v>7424694</v>
      </c>
      <c r="B899" s="12" t="s">
        <v>7984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ht="13" x14ac:dyDescent="0.15">
      <c r="A900" s="2">
        <v>3079768</v>
      </c>
      <c r="B900" s="12" t="s">
        <v>7985</v>
      </c>
      <c r="C900">
        <v>1</v>
      </c>
      <c r="D900">
        <v>0</v>
      </c>
      <c r="E900">
        <v>0</v>
      </c>
      <c r="F900">
        <v>1</v>
      </c>
      <c r="G900">
        <v>0</v>
      </c>
    </row>
    <row r="901" spans="1:7" ht="13" x14ac:dyDescent="0.15">
      <c r="A901" s="2">
        <v>2176353</v>
      </c>
      <c r="B901" s="12" t="s">
        <v>7986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ht="13" x14ac:dyDescent="0.15">
      <c r="A902" s="2">
        <v>1245565</v>
      </c>
      <c r="B902" s="12" t="s">
        <v>7987</v>
      </c>
      <c r="C902">
        <v>1</v>
      </c>
      <c r="D902">
        <v>0</v>
      </c>
      <c r="E902">
        <v>0</v>
      </c>
      <c r="F902">
        <v>0</v>
      </c>
      <c r="G902">
        <v>0</v>
      </c>
    </row>
    <row r="903" spans="1:7" ht="13" x14ac:dyDescent="0.15">
      <c r="A903" s="2">
        <v>2074621</v>
      </c>
      <c r="B903" s="12" t="s">
        <v>7988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ht="13" x14ac:dyDescent="0.15">
      <c r="A904" s="2">
        <v>96569</v>
      </c>
      <c r="B904" s="12" t="s">
        <v>7989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ht="13" x14ac:dyDescent="0.15">
      <c r="A905" s="2">
        <v>8416494</v>
      </c>
      <c r="B905" s="12" t="s">
        <v>7990</v>
      </c>
      <c r="C905">
        <v>0</v>
      </c>
      <c r="D905">
        <v>1</v>
      </c>
      <c r="E905">
        <v>0</v>
      </c>
      <c r="F905">
        <v>0</v>
      </c>
      <c r="G905">
        <v>0</v>
      </c>
    </row>
    <row r="906" spans="1:7" ht="13" x14ac:dyDescent="0.15">
      <c r="A906" s="2">
        <v>7782022</v>
      </c>
      <c r="B906" s="12" t="s">
        <v>7991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ht="13" x14ac:dyDescent="0.15">
      <c r="A907" s="2">
        <v>235917</v>
      </c>
      <c r="B907" s="12" t="s">
        <v>7992</v>
      </c>
      <c r="C907">
        <v>0</v>
      </c>
      <c r="D907">
        <v>1</v>
      </c>
      <c r="E907">
        <v>0</v>
      </c>
      <c r="F907">
        <v>0</v>
      </c>
      <c r="G907">
        <v>0</v>
      </c>
    </row>
    <row r="908" spans="1:7" ht="13" x14ac:dyDescent="0.15">
      <c r="A908" s="2">
        <v>4083422</v>
      </c>
      <c r="B908" s="12" t="s">
        <v>7993</v>
      </c>
      <c r="C908">
        <v>1</v>
      </c>
      <c r="D908">
        <v>0</v>
      </c>
      <c r="E908">
        <v>0</v>
      </c>
      <c r="F908">
        <v>0</v>
      </c>
      <c r="G908">
        <v>0</v>
      </c>
    </row>
    <row r="909" spans="1:7" ht="13" x14ac:dyDescent="0.15">
      <c r="A909" s="2">
        <v>3221748</v>
      </c>
      <c r="B909" s="12" t="s">
        <v>7994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ht="13" x14ac:dyDescent="0.15">
      <c r="A910" s="2">
        <v>7050978</v>
      </c>
      <c r="B910" s="12" t="s">
        <v>7995</v>
      </c>
      <c r="C910">
        <v>1</v>
      </c>
      <c r="D910">
        <v>1</v>
      </c>
      <c r="E910">
        <v>0</v>
      </c>
      <c r="F910">
        <v>1</v>
      </c>
      <c r="G910">
        <v>0</v>
      </c>
    </row>
    <row r="911" spans="1:7" ht="13" x14ac:dyDescent="0.15">
      <c r="A911" s="2">
        <v>3025506</v>
      </c>
      <c r="B911" s="12" t="s">
        <v>7996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ht="13" x14ac:dyDescent="0.15">
      <c r="A912" s="2">
        <v>217199</v>
      </c>
      <c r="B912" s="12" t="s">
        <v>7997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ht="13" x14ac:dyDescent="0.15">
      <c r="A913" s="2">
        <v>2459086</v>
      </c>
      <c r="B913" s="12" t="s">
        <v>7998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ht="13" x14ac:dyDescent="0.15">
      <c r="A914" s="2">
        <v>260611</v>
      </c>
      <c r="B914" s="12" t="s">
        <v>7999</v>
      </c>
      <c r="C914">
        <v>0</v>
      </c>
      <c r="D914">
        <v>1</v>
      </c>
      <c r="E914">
        <v>0</v>
      </c>
      <c r="F914">
        <v>0</v>
      </c>
      <c r="G914">
        <v>0</v>
      </c>
    </row>
    <row r="915" spans="1:7" ht="13" x14ac:dyDescent="0.15">
      <c r="A915" s="2">
        <v>1606375</v>
      </c>
      <c r="B915" s="12" t="s">
        <v>8000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ht="13" x14ac:dyDescent="0.15">
      <c r="A916" s="2">
        <v>418383</v>
      </c>
      <c r="B916" s="12" t="s">
        <v>8001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ht="13" x14ac:dyDescent="0.15">
      <c r="A917" s="2">
        <v>5062926</v>
      </c>
      <c r="B917" s="12" t="s">
        <v>8002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ht="13" x14ac:dyDescent="0.15">
      <c r="A918" s="2">
        <v>6045142</v>
      </c>
      <c r="B918" s="12" t="s">
        <v>8003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ht="13" x14ac:dyDescent="0.15">
      <c r="A919" s="2">
        <v>81852</v>
      </c>
      <c r="B919" s="12" t="s">
        <v>8004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ht="13" x14ac:dyDescent="0.15">
      <c r="A920" s="2">
        <v>2296682</v>
      </c>
      <c r="B920" s="12" t="s">
        <v>8005</v>
      </c>
      <c r="C920">
        <v>0</v>
      </c>
      <c r="D920">
        <v>1</v>
      </c>
      <c r="E920">
        <v>0</v>
      </c>
      <c r="F920">
        <v>0</v>
      </c>
      <c r="G920">
        <v>0</v>
      </c>
    </row>
    <row r="921" spans="1:7" ht="13" x14ac:dyDescent="0.15">
      <c r="A921" s="2">
        <v>280249</v>
      </c>
      <c r="B921" s="12" t="s">
        <v>8006</v>
      </c>
      <c r="C921">
        <v>0</v>
      </c>
      <c r="D921">
        <v>1</v>
      </c>
      <c r="E921">
        <v>0</v>
      </c>
      <c r="F921">
        <v>0</v>
      </c>
      <c r="G921">
        <v>0</v>
      </c>
    </row>
    <row r="922" spans="1:7" ht="13" x14ac:dyDescent="0.15">
      <c r="A922" s="2">
        <v>4644488</v>
      </c>
      <c r="B922" s="12" t="s">
        <v>8007</v>
      </c>
      <c r="C922">
        <v>0</v>
      </c>
      <c r="D922">
        <v>1</v>
      </c>
      <c r="E922">
        <v>0</v>
      </c>
      <c r="F922">
        <v>0</v>
      </c>
      <c r="G922">
        <v>0</v>
      </c>
    </row>
    <row r="923" spans="1:7" ht="13" x14ac:dyDescent="0.15">
      <c r="A923" s="2">
        <v>121220</v>
      </c>
      <c r="B923" s="12" t="s">
        <v>8008</v>
      </c>
      <c r="C923">
        <v>0</v>
      </c>
      <c r="D923">
        <v>1</v>
      </c>
      <c r="E923">
        <v>0</v>
      </c>
      <c r="F923">
        <v>0</v>
      </c>
      <c r="G923">
        <v>0</v>
      </c>
    </row>
    <row r="924" spans="1:7" ht="13" x14ac:dyDescent="0.15">
      <c r="A924" s="2">
        <v>214341</v>
      </c>
      <c r="B924" s="12" t="s">
        <v>8008</v>
      </c>
      <c r="C924">
        <v>0</v>
      </c>
      <c r="D924">
        <v>1</v>
      </c>
      <c r="E924">
        <v>0</v>
      </c>
      <c r="F924">
        <v>0</v>
      </c>
      <c r="G924">
        <v>0</v>
      </c>
    </row>
    <row r="925" spans="1:7" ht="13" x14ac:dyDescent="0.15">
      <c r="A925" s="2">
        <v>115159</v>
      </c>
      <c r="B925" s="12" t="s">
        <v>8009</v>
      </c>
      <c r="C925">
        <v>0</v>
      </c>
      <c r="D925">
        <v>1</v>
      </c>
      <c r="E925">
        <v>0</v>
      </c>
      <c r="F925">
        <v>0</v>
      </c>
      <c r="G925">
        <v>0</v>
      </c>
    </row>
    <row r="926" spans="1:7" ht="13" x14ac:dyDescent="0.15">
      <c r="A926" s="2">
        <v>363328</v>
      </c>
      <c r="B926" s="12" t="s">
        <v>8010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ht="13" x14ac:dyDescent="0.15">
      <c r="A927" s="2">
        <v>386180</v>
      </c>
      <c r="B927" s="12" t="s">
        <v>8011</v>
      </c>
      <c r="C927">
        <v>0</v>
      </c>
      <c r="D927">
        <v>0</v>
      </c>
      <c r="E927">
        <v>1</v>
      </c>
      <c r="F927">
        <v>0</v>
      </c>
      <c r="G927">
        <v>0</v>
      </c>
    </row>
    <row r="928" spans="1:7" ht="13" x14ac:dyDescent="0.15">
      <c r="A928" s="2">
        <v>1996607</v>
      </c>
      <c r="B928" s="12" t="s">
        <v>8012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ht="13" x14ac:dyDescent="0.15">
      <c r="A929" s="2">
        <v>770521</v>
      </c>
      <c r="B929" s="12" t="s">
        <v>8013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ht="13" x14ac:dyDescent="0.15">
      <c r="A930" s="2">
        <v>475452</v>
      </c>
      <c r="B930" s="12" t="s">
        <v>8014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ht="13" x14ac:dyDescent="0.15">
      <c r="A931" s="2">
        <v>1280822</v>
      </c>
      <c r="B931" s="12" t="s">
        <v>8015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ht="13" x14ac:dyDescent="0.15">
      <c r="A932" s="2">
        <v>7935522</v>
      </c>
      <c r="B932" s="12" t="s">
        <v>8016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ht="13" x14ac:dyDescent="0.15">
      <c r="A933" s="2">
        <v>1688779</v>
      </c>
      <c r="B933" s="12" t="s">
        <v>8017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ht="13" x14ac:dyDescent="0.15">
      <c r="A934" s="2">
        <v>1503278</v>
      </c>
      <c r="B934" s="12" t="s">
        <v>8018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ht="13" x14ac:dyDescent="0.15">
      <c r="A935" s="2">
        <v>2712612</v>
      </c>
      <c r="B935" s="12" t="s">
        <v>8018</v>
      </c>
      <c r="C935">
        <v>1</v>
      </c>
      <c r="D935">
        <v>0</v>
      </c>
      <c r="E935">
        <v>0</v>
      </c>
      <c r="F935">
        <v>0</v>
      </c>
      <c r="G935">
        <v>0</v>
      </c>
    </row>
    <row r="936" spans="1:7" ht="13" x14ac:dyDescent="0.15">
      <c r="A936" s="2">
        <v>376390</v>
      </c>
      <c r="B936" s="12" t="s">
        <v>8019</v>
      </c>
      <c r="C936">
        <v>1</v>
      </c>
      <c r="D936">
        <v>0</v>
      </c>
      <c r="E936">
        <v>0</v>
      </c>
      <c r="F936">
        <v>0</v>
      </c>
      <c r="G936">
        <v>0</v>
      </c>
    </row>
    <row r="937" spans="1:7" ht="13" x14ac:dyDescent="0.15">
      <c r="A937" s="2">
        <v>7386702</v>
      </c>
      <c r="B937" s="12" t="s">
        <v>8020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ht="13" x14ac:dyDescent="0.15">
      <c r="A938" s="2">
        <v>108755</v>
      </c>
      <c r="B938" s="12" t="s">
        <v>8021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ht="13" x14ac:dyDescent="0.15">
      <c r="A939" s="2">
        <v>92345</v>
      </c>
      <c r="B939" s="12" t="s">
        <v>8022</v>
      </c>
      <c r="C939">
        <v>1</v>
      </c>
      <c r="D939">
        <v>1</v>
      </c>
      <c r="E939">
        <v>0</v>
      </c>
      <c r="F939">
        <v>0</v>
      </c>
      <c r="G939">
        <v>0</v>
      </c>
    </row>
    <row r="940" spans="1:7" ht="13" x14ac:dyDescent="0.15">
      <c r="A940" s="2">
        <v>5531466</v>
      </c>
      <c r="B940" s="12" t="s">
        <v>8022</v>
      </c>
      <c r="C940">
        <v>1</v>
      </c>
      <c r="D940">
        <v>1</v>
      </c>
      <c r="E940">
        <v>0</v>
      </c>
      <c r="F940">
        <v>0</v>
      </c>
      <c r="G940">
        <v>0</v>
      </c>
    </row>
    <row r="941" spans="1:7" ht="13" x14ac:dyDescent="0.15">
      <c r="A941" s="2">
        <v>404597</v>
      </c>
      <c r="B941" s="12" t="s">
        <v>8023</v>
      </c>
      <c r="C941">
        <v>0</v>
      </c>
      <c r="D941">
        <v>1</v>
      </c>
      <c r="E941">
        <v>0</v>
      </c>
      <c r="F941">
        <v>0</v>
      </c>
      <c r="G941">
        <v>0</v>
      </c>
    </row>
    <row r="942" spans="1:7" ht="13" x14ac:dyDescent="0.15">
      <c r="A942" s="2">
        <v>2297363</v>
      </c>
      <c r="B942" s="12" t="s">
        <v>8024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ht="13" x14ac:dyDescent="0.15">
      <c r="A943" s="2">
        <v>85011</v>
      </c>
      <c r="B943" s="12" t="s">
        <v>8025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ht="13" x14ac:dyDescent="0.15">
      <c r="A944" s="2">
        <v>1584000</v>
      </c>
      <c r="B944" s="12" t="s">
        <v>8026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ht="13" x14ac:dyDescent="0.15">
      <c r="A945" s="2">
        <v>885761</v>
      </c>
      <c r="B945" s="12" t="s">
        <v>8027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ht="13" x14ac:dyDescent="0.15">
      <c r="A946" s="2">
        <v>4322460</v>
      </c>
      <c r="B946" s="12" t="s">
        <v>8028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ht="13" x14ac:dyDescent="0.15">
      <c r="A947" s="2">
        <v>9159450</v>
      </c>
      <c r="B947" s="12" t="s">
        <v>8029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ht="13" x14ac:dyDescent="0.15">
      <c r="A948" s="2">
        <v>7947854</v>
      </c>
      <c r="B948" s="12" t="s">
        <v>8030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ht="13" x14ac:dyDescent="0.15">
      <c r="A949" s="2">
        <v>1999525</v>
      </c>
      <c r="B949" s="12" t="s">
        <v>8031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ht="13" x14ac:dyDescent="0.15">
      <c r="A950" s="2">
        <v>81856</v>
      </c>
      <c r="B950" s="12" t="s">
        <v>8032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ht="13" x14ac:dyDescent="0.15">
      <c r="A951" s="2">
        <v>6128300</v>
      </c>
      <c r="B951" s="12" t="s">
        <v>8032</v>
      </c>
      <c r="C951">
        <v>1</v>
      </c>
      <c r="D951">
        <v>0</v>
      </c>
      <c r="E951">
        <v>0</v>
      </c>
      <c r="F951">
        <v>0</v>
      </c>
      <c r="G951">
        <v>0</v>
      </c>
    </row>
    <row r="952" spans="1:7" ht="13" x14ac:dyDescent="0.15">
      <c r="A952" s="2">
        <v>463399</v>
      </c>
      <c r="B952" s="12" t="s">
        <v>8033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ht="13" x14ac:dyDescent="0.15">
      <c r="A953" s="2">
        <v>86704</v>
      </c>
      <c r="B953" s="12" t="s">
        <v>8034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ht="13" x14ac:dyDescent="0.15">
      <c r="A954" s="2">
        <v>88512</v>
      </c>
      <c r="B954" s="12" t="s">
        <v>8035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ht="13" x14ac:dyDescent="0.15">
      <c r="A955" s="2">
        <v>2558816</v>
      </c>
      <c r="B955" s="12" t="s">
        <v>8036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ht="13" x14ac:dyDescent="0.15">
      <c r="A956" s="2">
        <v>940801</v>
      </c>
      <c r="B956" s="12" t="s">
        <v>8037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ht="13" x14ac:dyDescent="0.15">
      <c r="A957" s="2">
        <v>3903810</v>
      </c>
      <c r="B957" s="12" t="s">
        <v>8038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ht="13" x14ac:dyDescent="0.15">
      <c r="A958" s="2">
        <v>247091</v>
      </c>
      <c r="B958" s="12" t="s">
        <v>8039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ht="13" x14ac:dyDescent="0.15">
      <c r="A959" s="2">
        <v>184111</v>
      </c>
      <c r="B959" s="12" t="s">
        <v>8040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ht="13" x14ac:dyDescent="0.15">
      <c r="A960" s="2">
        <v>7679540</v>
      </c>
      <c r="B960" s="12" t="s">
        <v>8041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ht="13" x14ac:dyDescent="0.15">
      <c r="A961" s="2">
        <v>103406</v>
      </c>
      <c r="B961" s="12" t="s">
        <v>8042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ht="13" x14ac:dyDescent="0.15">
      <c r="A962" s="2">
        <v>1415054</v>
      </c>
      <c r="B962" s="12" t="s">
        <v>8043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ht="13" x14ac:dyDescent="0.15">
      <c r="A963" s="2">
        <v>866579</v>
      </c>
      <c r="B963" s="12" t="s">
        <v>8044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ht="13" x14ac:dyDescent="0.15">
      <c r="A964" s="2">
        <v>6491190</v>
      </c>
      <c r="B964" s="12" t="s">
        <v>8045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ht="13" x14ac:dyDescent="0.15">
      <c r="A965" s="2">
        <v>470170</v>
      </c>
      <c r="B965" s="12" t="s">
        <v>8046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ht="13" x14ac:dyDescent="0.15">
      <c r="A966" s="2">
        <v>976008</v>
      </c>
      <c r="B966" s="12" t="s">
        <v>8047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ht="13" x14ac:dyDescent="0.15">
      <c r="A967" s="2">
        <v>6692188</v>
      </c>
      <c r="B967" s="12" t="s">
        <v>8048</v>
      </c>
      <c r="C967">
        <v>0</v>
      </c>
      <c r="D967">
        <v>0</v>
      </c>
      <c r="E967">
        <v>0</v>
      </c>
      <c r="F967">
        <v>0</v>
      </c>
      <c r="G967">
        <v>1</v>
      </c>
    </row>
    <row r="968" spans="1:7" ht="13" x14ac:dyDescent="0.15">
      <c r="A968" s="2">
        <v>3210576</v>
      </c>
      <c r="B968" s="12" t="s">
        <v>8049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ht="13" x14ac:dyDescent="0.15">
      <c r="A969" s="2">
        <v>211849</v>
      </c>
      <c r="B969" s="12" t="s">
        <v>8050</v>
      </c>
      <c r="C969">
        <v>1</v>
      </c>
      <c r="D969">
        <v>0</v>
      </c>
      <c r="E969">
        <v>0</v>
      </c>
      <c r="F969">
        <v>0</v>
      </c>
      <c r="G969">
        <v>0</v>
      </c>
    </row>
    <row r="970" spans="1:7" ht="13" x14ac:dyDescent="0.15">
      <c r="A970" s="2">
        <v>2264640</v>
      </c>
      <c r="B970" s="12" t="s">
        <v>8051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ht="13" x14ac:dyDescent="0.15">
      <c r="A971" s="2">
        <v>1847905</v>
      </c>
      <c r="B971" s="12" t="s">
        <v>8052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ht="13" x14ac:dyDescent="0.15">
      <c r="A972" s="2">
        <v>1244386</v>
      </c>
      <c r="B972" s="12" t="s">
        <v>8053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ht="13" x14ac:dyDescent="0.15">
      <c r="A973" s="2">
        <v>2196613</v>
      </c>
      <c r="B973" s="12" t="s">
        <v>8054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ht="13" x14ac:dyDescent="0.15">
      <c r="A974" s="2">
        <v>4573754</v>
      </c>
      <c r="B974" s="14" t="s">
        <v>8055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ht="13" x14ac:dyDescent="0.15">
      <c r="A975" s="2">
        <v>258373</v>
      </c>
      <c r="B975" s="12" t="s">
        <v>8056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ht="13" x14ac:dyDescent="0.15">
      <c r="A976" s="2">
        <v>2191671</v>
      </c>
      <c r="B976" s="12" t="s">
        <v>8057</v>
      </c>
      <c r="C976">
        <v>0</v>
      </c>
      <c r="D976">
        <v>1</v>
      </c>
      <c r="E976">
        <v>0</v>
      </c>
      <c r="F976">
        <v>0</v>
      </c>
      <c r="G976">
        <v>0</v>
      </c>
    </row>
    <row r="977" spans="1:7" ht="13" x14ac:dyDescent="0.15">
      <c r="A977" s="2">
        <v>1118697</v>
      </c>
      <c r="B977" s="12" t="s">
        <v>8058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ht="13" x14ac:dyDescent="0.15">
      <c r="A978" s="2">
        <v>7406320</v>
      </c>
      <c r="B978" s="12" t="s">
        <v>8059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ht="13" x14ac:dyDescent="0.15">
      <c r="A979" s="2">
        <v>319344</v>
      </c>
      <c r="B979" s="12" t="s">
        <v>8060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ht="13" x14ac:dyDescent="0.15">
      <c r="A980" s="2">
        <v>7134908</v>
      </c>
      <c r="B980" s="12" t="s">
        <v>8061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ht="13" x14ac:dyDescent="0.15">
      <c r="A981" s="2">
        <v>108761</v>
      </c>
      <c r="B981" s="12" t="s">
        <v>8062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ht="13" x14ac:dyDescent="0.15">
      <c r="A982" s="2">
        <v>218762</v>
      </c>
      <c r="B982" s="12" t="s">
        <v>8063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ht="13" x14ac:dyDescent="0.15">
      <c r="A983" s="2">
        <v>9759506</v>
      </c>
      <c r="B983" s="12" t="s">
        <v>8064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ht="13" x14ac:dyDescent="0.15">
      <c r="A984" s="2">
        <v>3823234</v>
      </c>
      <c r="B984" s="12" t="s">
        <v>8065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ht="13" x14ac:dyDescent="0.15">
      <c r="A985" s="2">
        <v>3228904</v>
      </c>
      <c r="B985" s="12" t="s">
        <v>8065</v>
      </c>
      <c r="C985">
        <v>0</v>
      </c>
      <c r="D985">
        <v>0</v>
      </c>
      <c r="E985">
        <v>0</v>
      </c>
      <c r="F985">
        <v>0</v>
      </c>
      <c r="G985">
        <v>1</v>
      </c>
    </row>
    <row r="986" spans="1:7" ht="13" x14ac:dyDescent="0.15">
      <c r="A986" s="2">
        <v>94455</v>
      </c>
      <c r="B986" s="12" t="s">
        <v>8066</v>
      </c>
      <c r="C986">
        <v>1</v>
      </c>
      <c r="D986">
        <v>0</v>
      </c>
      <c r="E986">
        <v>0</v>
      </c>
      <c r="F986">
        <v>0</v>
      </c>
      <c r="G986">
        <v>0</v>
      </c>
    </row>
    <row r="987" spans="1:7" ht="13" x14ac:dyDescent="0.15">
      <c r="A987" s="2">
        <v>1690616</v>
      </c>
      <c r="B987" s="12" t="s">
        <v>8067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ht="13" x14ac:dyDescent="0.15">
      <c r="A988" s="2">
        <v>7759016</v>
      </c>
      <c r="B988" s="12" t="s">
        <v>8068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ht="13" x14ac:dyDescent="0.15">
      <c r="A989" s="2">
        <v>1509004</v>
      </c>
      <c r="B989" s="12" t="s">
        <v>8069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ht="13" x14ac:dyDescent="0.15">
      <c r="A990" s="2">
        <v>7439560</v>
      </c>
      <c r="B990" s="12" t="s">
        <v>8070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ht="13" x14ac:dyDescent="0.15">
      <c r="A991" s="2">
        <v>387199</v>
      </c>
      <c r="B991" s="12" t="s">
        <v>8071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ht="13" x14ac:dyDescent="0.15">
      <c r="A992" s="2">
        <v>3919922</v>
      </c>
      <c r="B992" s="12" t="s">
        <v>8072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ht="13" x14ac:dyDescent="0.15">
      <c r="A993" s="2">
        <v>1582350</v>
      </c>
      <c r="B993" s="12" t="s">
        <v>8073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ht="13" x14ac:dyDescent="0.15">
      <c r="A994" s="2">
        <v>423646</v>
      </c>
      <c r="B994" s="12" t="s">
        <v>8074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ht="13" x14ac:dyDescent="0.15">
      <c r="A995" s="2">
        <v>108757</v>
      </c>
      <c r="B995" s="12" t="s">
        <v>8075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ht="13" x14ac:dyDescent="0.15">
      <c r="A996" s="2">
        <v>791205</v>
      </c>
      <c r="B996" s="12" t="s">
        <v>8076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ht="13" x14ac:dyDescent="0.15">
      <c r="A997" s="2">
        <v>108763</v>
      </c>
      <c r="B997" s="12" t="s">
        <v>8077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ht="13" x14ac:dyDescent="0.15">
      <c r="A998" s="2">
        <v>138919</v>
      </c>
      <c r="B998" s="12" t="s">
        <v>8078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ht="13" x14ac:dyDescent="0.15">
      <c r="A999" s="2">
        <v>2336803</v>
      </c>
      <c r="B999" s="12" t="s">
        <v>8079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ht="13" x14ac:dyDescent="0.15">
      <c r="A1000" s="2">
        <v>331740</v>
      </c>
      <c r="B1000" s="12" t="s">
        <v>8080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ht="13" x14ac:dyDescent="0.15">
      <c r="A1001" s="2">
        <v>6249614</v>
      </c>
      <c r="B1001" s="12" t="s">
        <v>8081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ht="13" x14ac:dyDescent="0.15">
      <c r="A1002" s="2">
        <v>882285</v>
      </c>
      <c r="B1002" s="12" t="s">
        <v>8082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ht="13" x14ac:dyDescent="0.15">
      <c r="A1003" s="2">
        <v>8772296</v>
      </c>
      <c r="B1003" s="12" t="s">
        <v>8083</v>
      </c>
      <c r="C1003">
        <v>1</v>
      </c>
      <c r="D1003">
        <v>0</v>
      </c>
      <c r="E1003">
        <v>0</v>
      </c>
      <c r="F1003">
        <v>0</v>
      </c>
      <c r="G1003">
        <v>0</v>
      </c>
    </row>
    <row r="1004" spans="1:7" ht="13" x14ac:dyDescent="0.15">
      <c r="A1004" s="2">
        <v>796264</v>
      </c>
      <c r="B1004" s="12" t="s">
        <v>8084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ht="13" x14ac:dyDescent="0.15">
      <c r="A1005" s="2">
        <v>238781</v>
      </c>
      <c r="B1005" s="12" t="s">
        <v>8085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ht="13" x14ac:dyDescent="0.15">
      <c r="A1006" s="2">
        <v>3904962</v>
      </c>
      <c r="B1006" s="12" t="s">
        <v>8086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ht="13" x14ac:dyDescent="0.15">
      <c r="A1007" s="2">
        <v>206511</v>
      </c>
      <c r="B1007" s="12" t="s">
        <v>8087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ht="13" x14ac:dyDescent="0.15">
      <c r="A1008" s="2">
        <v>86708</v>
      </c>
      <c r="B1008" s="12" t="s">
        <v>8088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ht="13" x14ac:dyDescent="0.15">
      <c r="A1009" s="2">
        <v>3443274</v>
      </c>
      <c r="B1009" s="12" t="s">
        <v>8089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ht="13" x14ac:dyDescent="0.15">
      <c r="A1010" s="2">
        <v>460637</v>
      </c>
      <c r="B1010" s="12" t="s">
        <v>8090</v>
      </c>
      <c r="C1010">
        <v>0</v>
      </c>
      <c r="D1010">
        <v>0</v>
      </c>
      <c r="E1010">
        <v>0</v>
      </c>
      <c r="F1010">
        <v>0</v>
      </c>
      <c r="G1010">
        <v>1</v>
      </c>
    </row>
    <row r="1011" spans="1:7" ht="13" x14ac:dyDescent="0.15">
      <c r="A1011" s="2">
        <v>115167</v>
      </c>
      <c r="B1011" s="12" t="s">
        <v>8091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ht="13" x14ac:dyDescent="0.15">
      <c r="A1012" s="2">
        <v>7078710</v>
      </c>
      <c r="B1012" s="12" t="s">
        <v>8092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ht="13" x14ac:dyDescent="0.15">
      <c r="A1013" s="2">
        <v>3498954</v>
      </c>
      <c r="B1013" s="12" t="s">
        <v>8093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ht="13" x14ac:dyDescent="0.15">
      <c r="A1014" s="2">
        <v>2630718</v>
      </c>
      <c r="B1014" s="12" t="s">
        <v>8094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ht="13" x14ac:dyDescent="0.15">
      <c r="A1015" s="2">
        <v>419322</v>
      </c>
      <c r="B1015" s="12" t="s">
        <v>8095</v>
      </c>
      <c r="C1015">
        <v>1</v>
      </c>
      <c r="D1015">
        <v>0</v>
      </c>
      <c r="E1015">
        <v>0</v>
      </c>
      <c r="F1015">
        <v>0</v>
      </c>
      <c r="G1015">
        <v>0</v>
      </c>
    </row>
    <row r="1016" spans="1:7" ht="13" x14ac:dyDescent="0.15">
      <c r="A1016" s="2">
        <v>2287998</v>
      </c>
      <c r="B1016" s="12" t="s">
        <v>8096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ht="13" x14ac:dyDescent="0.15">
      <c r="A1017" s="2">
        <v>88515</v>
      </c>
      <c r="B1017" s="12" t="s">
        <v>8097</v>
      </c>
      <c r="C1017">
        <v>0</v>
      </c>
      <c r="D1017">
        <v>0</v>
      </c>
      <c r="E1017">
        <v>0</v>
      </c>
      <c r="F1017">
        <v>1</v>
      </c>
      <c r="G1017">
        <v>0</v>
      </c>
    </row>
    <row r="1018" spans="1:7" ht="13" x14ac:dyDescent="0.15">
      <c r="A1018" s="2">
        <v>3522052</v>
      </c>
      <c r="B1018" s="12" t="s">
        <v>8098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ht="13" x14ac:dyDescent="0.15">
      <c r="A1019" s="2">
        <v>8285922</v>
      </c>
      <c r="B1019" s="12" t="s">
        <v>8098</v>
      </c>
      <c r="C1019">
        <v>1</v>
      </c>
      <c r="D1019">
        <v>0</v>
      </c>
      <c r="E1019">
        <v>0</v>
      </c>
      <c r="F1019">
        <v>0</v>
      </c>
      <c r="G1019">
        <v>0</v>
      </c>
    </row>
    <row r="1020" spans="1:7" ht="13" x14ac:dyDescent="0.15">
      <c r="A1020" s="2">
        <v>240493</v>
      </c>
      <c r="B1020" s="12" t="s">
        <v>8099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ht="13" x14ac:dyDescent="0.15">
      <c r="A1021" s="2">
        <v>166039</v>
      </c>
      <c r="B1021" s="12" t="s">
        <v>8100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ht="13" x14ac:dyDescent="0.15">
      <c r="A1022" s="2">
        <v>11897006</v>
      </c>
      <c r="B1022" s="12" t="s">
        <v>8101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ht="13" x14ac:dyDescent="0.15">
      <c r="A1023" s="2">
        <v>2335746</v>
      </c>
      <c r="B1023" s="12" t="s">
        <v>8102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ht="13" x14ac:dyDescent="0.15">
      <c r="A1024" s="2">
        <v>3155320</v>
      </c>
      <c r="B1024" s="12" t="s">
        <v>8103</v>
      </c>
      <c r="C1024">
        <v>0</v>
      </c>
      <c r="D1024">
        <v>0</v>
      </c>
      <c r="E1024">
        <v>0</v>
      </c>
      <c r="F1024">
        <v>0</v>
      </c>
      <c r="G1024">
        <v>1</v>
      </c>
    </row>
    <row r="1025" spans="1:7" ht="13" x14ac:dyDescent="0.15">
      <c r="A1025" s="2">
        <v>445114</v>
      </c>
      <c r="B1025" s="12" t="s">
        <v>8104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ht="13" x14ac:dyDescent="0.15">
      <c r="A1026" s="2">
        <v>136639</v>
      </c>
      <c r="B1026" s="12" t="s">
        <v>8105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ht="13" x14ac:dyDescent="0.15">
      <c r="A1027" s="2">
        <v>364807</v>
      </c>
      <c r="B1027" s="12" t="s">
        <v>8106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ht="13" x14ac:dyDescent="0.15">
      <c r="A1028" s="2">
        <v>388595</v>
      </c>
      <c r="B1028" s="12" t="s">
        <v>8107</v>
      </c>
      <c r="C1028">
        <v>1</v>
      </c>
      <c r="D1028">
        <v>0</v>
      </c>
      <c r="E1028">
        <v>0</v>
      </c>
      <c r="F1028">
        <v>0</v>
      </c>
      <c r="G1028">
        <v>0</v>
      </c>
    </row>
    <row r="1029" spans="1:7" ht="13" x14ac:dyDescent="0.15">
      <c r="A1029" s="2">
        <v>2825900</v>
      </c>
      <c r="B1029" s="12" t="s">
        <v>8108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ht="13" x14ac:dyDescent="0.15">
      <c r="A1030" s="2">
        <v>1713288</v>
      </c>
      <c r="B1030" s="12" t="s">
        <v>8109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ht="13" x14ac:dyDescent="0.15">
      <c r="A1031" s="2">
        <v>92999</v>
      </c>
      <c r="B1031" s="12" t="s">
        <v>8110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ht="13" x14ac:dyDescent="0.15">
      <c r="A1032" s="2">
        <v>5369352</v>
      </c>
      <c r="B1032" s="12" t="s">
        <v>8111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ht="13" x14ac:dyDescent="0.15">
      <c r="A1033" s="2">
        <v>115161</v>
      </c>
      <c r="B1033" s="12" t="s">
        <v>8112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ht="13" x14ac:dyDescent="0.15">
      <c r="A1034" s="2">
        <v>1695515</v>
      </c>
      <c r="B1034" s="12" t="s">
        <v>8113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ht="13" x14ac:dyDescent="0.15">
      <c r="A1035" s="2">
        <v>1663641</v>
      </c>
      <c r="B1035" s="12" t="s">
        <v>8114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ht="13" x14ac:dyDescent="0.15">
      <c r="A1036" s="2">
        <v>2534176</v>
      </c>
      <c r="B1036" s="12" t="s">
        <v>8115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ht="13" x14ac:dyDescent="0.15">
      <c r="A1037" s="2">
        <v>1690621</v>
      </c>
      <c r="B1037" s="12" t="s">
        <v>8116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ht="13" x14ac:dyDescent="0.15">
      <c r="A1038" s="2">
        <v>7224674</v>
      </c>
      <c r="B1038" s="12" t="s">
        <v>8117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ht="13" x14ac:dyDescent="0.15">
      <c r="A1039" s="2">
        <v>170930</v>
      </c>
      <c r="B1039" s="12" t="s">
        <v>8118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ht="13" x14ac:dyDescent="0.15">
      <c r="A1040" s="2">
        <v>1586676</v>
      </c>
      <c r="B1040" s="12" t="s">
        <v>8119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ht="13" x14ac:dyDescent="0.15">
      <c r="A1041" s="2">
        <v>1494023</v>
      </c>
      <c r="B1041" s="12" t="s">
        <v>8120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ht="13" x14ac:dyDescent="0.15">
      <c r="A1042" s="2">
        <v>3840030</v>
      </c>
      <c r="B1042" s="12" t="s">
        <v>8121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ht="13" x14ac:dyDescent="0.15">
      <c r="A1043" s="2">
        <v>2887802</v>
      </c>
      <c r="B1043" s="12" t="s">
        <v>8122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ht="13" x14ac:dyDescent="0.15">
      <c r="A1044" s="2">
        <v>491601</v>
      </c>
      <c r="B1044" s="12" t="s">
        <v>8123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ht="13" x14ac:dyDescent="0.15">
      <c r="A1045" s="2">
        <v>6433844</v>
      </c>
      <c r="B1045" s="12" t="s">
        <v>8124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ht="13" x14ac:dyDescent="0.15">
      <c r="A1046" s="2">
        <v>2339881</v>
      </c>
      <c r="B1046" s="12" t="s">
        <v>8125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ht="13" x14ac:dyDescent="0.15">
      <c r="A1047" s="2">
        <v>1462059</v>
      </c>
      <c r="B1047" s="12" t="s">
        <v>8126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ht="13" x14ac:dyDescent="0.15">
      <c r="A1048" s="2">
        <v>3602528</v>
      </c>
      <c r="B1048" s="12" t="s">
        <v>8127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ht="13" x14ac:dyDescent="0.15">
      <c r="A1049" s="2">
        <v>7712594</v>
      </c>
      <c r="B1049" s="12" t="s">
        <v>8128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ht="13" x14ac:dyDescent="0.15">
      <c r="A1050" s="2">
        <v>354293</v>
      </c>
      <c r="B1050" s="12" t="s">
        <v>8129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ht="13" x14ac:dyDescent="0.15">
      <c r="A1051" s="2">
        <v>8509962</v>
      </c>
      <c r="B1051" s="12" t="s">
        <v>8130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ht="13" x14ac:dyDescent="0.15">
      <c r="A1052" s="2">
        <v>182576</v>
      </c>
      <c r="B1052" s="12" t="s">
        <v>8131</v>
      </c>
      <c r="C1052">
        <v>0</v>
      </c>
      <c r="D1052">
        <v>0</v>
      </c>
      <c r="E1052">
        <v>1</v>
      </c>
      <c r="F1052">
        <v>0</v>
      </c>
      <c r="G1052">
        <v>0</v>
      </c>
    </row>
    <row r="1053" spans="1:7" ht="13" x14ac:dyDescent="0.15">
      <c r="A1053" s="2">
        <v>96579</v>
      </c>
      <c r="B1053" s="12" t="s">
        <v>8132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ht="13" x14ac:dyDescent="0.15">
      <c r="A1054" s="2">
        <v>83413</v>
      </c>
      <c r="B1054" s="12" t="s">
        <v>8133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ht="13" x14ac:dyDescent="0.15">
      <c r="A1055" s="2">
        <v>2245283</v>
      </c>
      <c r="B1055" s="12" t="s">
        <v>8134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ht="13" x14ac:dyDescent="0.15">
      <c r="A1056" s="2">
        <v>4578474</v>
      </c>
      <c r="B1056" s="12" t="s">
        <v>8135</v>
      </c>
      <c r="C1056">
        <v>0</v>
      </c>
      <c r="D1056">
        <v>1</v>
      </c>
      <c r="E1056">
        <v>0</v>
      </c>
      <c r="F1056">
        <v>0</v>
      </c>
      <c r="G1056">
        <v>0</v>
      </c>
    </row>
    <row r="1057" spans="1:7" ht="13" x14ac:dyDescent="0.15">
      <c r="A1057" s="2">
        <v>4358188</v>
      </c>
      <c r="B1057" s="12" t="s">
        <v>8136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ht="13" x14ac:dyDescent="0.15">
      <c r="A1058" s="2">
        <v>187635</v>
      </c>
      <c r="B1058" s="12" t="s">
        <v>8137</v>
      </c>
      <c r="C1058">
        <v>0</v>
      </c>
      <c r="D1058">
        <v>1</v>
      </c>
      <c r="E1058">
        <v>0</v>
      </c>
      <c r="F1058">
        <v>0</v>
      </c>
      <c r="G1058">
        <v>0</v>
      </c>
    </row>
    <row r="1059" spans="1:7" ht="13" x14ac:dyDescent="0.15">
      <c r="A1059" s="2">
        <v>830298</v>
      </c>
      <c r="B1059" s="14" t="s">
        <v>8138</v>
      </c>
      <c r="C1059">
        <v>0</v>
      </c>
      <c r="D1059">
        <v>1</v>
      </c>
      <c r="E1059">
        <v>0</v>
      </c>
      <c r="F1059">
        <v>0</v>
      </c>
      <c r="G1059">
        <v>0</v>
      </c>
    </row>
    <row r="1060" spans="1:7" ht="13" x14ac:dyDescent="0.15">
      <c r="A1060" s="2">
        <v>843412</v>
      </c>
      <c r="B1060" s="12" t="s">
        <v>8139</v>
      </c>
      <c r="C1060">
        <v>1</v>
      </c>
      <c r="D1060">
        <v>0</v>
      </c>
      <c r="E1060">
        <v>0</v>
      </c>
      <c r="F1060">
        <v>0</v>
      </c>
      <c r="G1060">
        <v>0</v>
      </c>
    </row>
    <row r="1061" spans="1:7" ht="13" x14ac:dyDescent="0.15">
      <c r="A1061" s="2">
        <v>843414</v>
      </c>
      <c r="B1061" s="12" t="s">
        <v>8140</v>
      </c>
      <c r="C1061">
        <v>1</v>
      </c>
      <c r="D1061">
        <v>0</v>
      </c>
      <c r="E1061">
        <v>0</v>
      </c>
      <c r="F1061">
        <v>0</v>
      </c>
      <c r="G1061">
        <v>0</v>
      </c>
    </row>
    <row r="1062" spans="1:7" ht="13" x14ac:dyDescent="0.15">
      <c r="A1062" s="2">
        <v>843419</v>
      </c>
      <c r="B1062" s="12" t="s">
        <v>8141</v>
      </c>
      <c r="C1062">
        <v>1</v>
      </c>
      <c r="D1062">
        <v>0</v>
      </c>
      <c r="E1062">
        <v>0</v>
      </c>
      <c r="F1062">
        <v>0</v>
      </c>
      <c r="G1062">
        <v>0</v>
      </c>
    </row>
    <row r="1063" spans="1:7" ht="13" x14ac:dyDescent="0.15">
      <c r="A1063" s="2">
        <v>843413</v>
      </c>
      <c r="B1063" s="12" t="s">
        <v>8142</v>
      </c>
      <c r="C1063">
        <v>1</v>
      </c>
      <c r="D1063">
        <v>0</v>
      </c>
      <c r="E1063">
        <v>0</v>
      </c>
      <c r="F1063">
        <v>0</v>
      </c>
      <c r="G1063">
        <v>0</v>
      </c>
    </row>
    <row r="1064" spans="1:7" ht="13" x14ac:dyDescent="0.15">
      <c r="A1064" s="2">
        <v>871915</v>
      </c>
      <c r="B1064" s="12" t="s">
        <v>8143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ht="13" x14ac:dyDescent="0.15">
      <c r="A1065" s="2">
        <v>2802850</v>
      </c>
      <c r="B1065" s="12" t="s">
        <v>8144</v>
      </c>
      <c r="C1065">
        <v>0</v>
      </c>
      <c r="D1065">
        <v>0</v>
      </c>
      <c r="E1065">
        <v>0</v>
      </c>
      <c r="F1065">
        <v>1</v>
      </c>
      <c r="G1065">
        <v>0</v>
      </c>
    </row>
    <row r="1066" spans="1:7" ht="13" x14ac:dyDescent="0.15">
      <c r="A1066" s="2">
        <v>2063241</v>
      </c>
      <c r="B1066" s="12" t="s">
        <v>8145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ht="13" x14ac:dyDescent="0.15">
      <c r="A1067" s="2">
        <v>187636</v>
      </c>
      <c r="B1067" s="12" t="s">
        <v>8146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ht="13" x14ac:dyDescent="0.15">
      <c r="A1068" s="2">
        <v>1883661</v>
      </c>
      <c r="B1068" s="12" t="s">
        <v>8147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ht="13" x14ac:dyDescent="0.15">
      <c r="A1069" s="2">
        <v>8115666</v>
      </c>
      <c r="B1069" s="12" t="s">
        <v>8148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ht="13" x14ac:dyDescent="0.15">
      <c r="A1070" s="2">
        <v>2346169</v>
      </c>
      <c r="B1070" s="12" t="s">
        <v>8149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ht="13" x14ac:dyDescent="0.15">
      <c r="A1071" s="2">
        <v>4354068</v>
      </c>
      <c r="B1071" s="12" t="s">
        <v>8150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ht="13" x14ac:dyDescent="0.15">
      <c r="A1072" s="2">
        <v>3746730</v>
      </c>
      <c r="B1072" s="12" t="s">
        <v>8151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ht="13" x14ac:dyDescent="0.15">
      <c r="A1073" s="2">
        <v>2912216</v>
      </c>
      <c r="B1073" s="12" t="s">
        <v>8152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ht="13" x14ac:dyDescent="0.15">
      <c r="A1074" s="2">
        <v>2505330</v>
      </c>
      <c r="B1074" s="12" t="s">
        <v>8153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ht="13" x14ac:dyDescent="0.15">
      <c r="A1075" s="2">
        <v>7428834</v>
      </c>
      <c r="B1075" s="12" t="s">
        <v>8154</v>
      </c>
      <c r="C1075">
        <v>0</v>
      </c>
      <c r="D1075">
        <v>0</v>
      </c>
      <c r="E1075">
        <v>0</v>
      </c>
      <c r="F1075">
        <v>0</v>
      </c>
      <c r="G1075">
        <v>1</v>
      </c>
    </row>
    <row r="1076" spans="1:7" ht="13" x14ac:dyDescent="0.15">
      <c r="A1076" s="2">
        <v>4565380</v>
      </c>
      <c r="B1076" s="12" t="s">
        <v>8155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ht="13" x14ac:dyDescent="0.15">
      <c r="A1077" s="2">
        <v>7491982</v>
      </c>
      <c r="B1077" s="12" t="s">
        <v>8156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ht="13" x14ac:dyDescent="0.15">
      <c r="A1078" s="2">
        <v>278191</v>
      </c>
      <c r="B1078" s="12" t="s">
        <v>8157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ht="13" x14ac:dyDescent="0.15">
      <c r="A1079" s="2">
        <v>3743822</v>
      </c>
      <c r="B1079" s="12" t="s">
        <v>8158</v>
      </c>
      <c r="C1079">
        <v>1</v>
      </c>
      <c r="D1079">
        <v>1</v>
      </c>
      <c r="E1079">
        <v>0</v>
      </c>
      <c r="F1079">
        <v>0</v>
      </c>
      <c r="G1079">
        <v>0</v>
      </c>
    </row>
    <row r="1080" spans="1:7" ht="13" x14ac:dyDescent="0.15">
      <c r="A1080" s="2">
        <v>6601950</v>
      </c>
      <c r="B1080" s="12" t="s">
        <v>8159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ht="13" x14ac:dyDescent="0.15">
      <c r="A1081" s="2">
        <v>3737560</v>
      </c>
      <c r="B1081" s="12" t="s">
        <v>8160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ht="13" x14ac:dyDescent="0.15">
      <c r="A1082" s="2">
        <v>1841108</v>
      </c>
      <c r="B1082" s="12" t="s">
        <v>8161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ht="13" x14ac:dyDescent="0.15">
      <c r="A1083" s="2">
        <v>6853136</v>
      </c>
      <c r="B1083" s="12" t="s">
        <v>8162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ht="13" x14ac:dyDescent="0.15">
      <c r="A1084" s="2">
        <v>965364</v>
      </c>
      <c r="B1084" s="12" t="s">
        <v>8163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ht="13" x14ac:dyDescent="0.15">
      <c r="A1085" s="2">
        <v>7215846</v>
      </c>
      <c r="B1085" s="12" t="s">
        <v>8164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ht="13" x14ac:dyDescent="0.15">
      <c r="A1086" s="2">
        <v>92351</v>
      </c>
      <c r="B1086" s="12" t="s">
        <v>8165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ht="13" x14ac:dyDescent="0.15">
      <c r="A1087" s="2">
        <v>478073</v>
      </c>
      <c r="B1087" s="12" t="s">
        <v>8166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ht="13" x14ac:dyDescent="0.15">
      <c r="A1088" s="2">
        <v>7150060</v>
      </c>
      <c r="B1088" s="12" t="s">
        <v>8167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ht="13" x14ac:dyDescent="0.15">
      <c r="A1089" s="2">
        <v>445116</v>
      </c>
      <c r="B1089" s="12" t="s">
        <v>8168</v>
      </c>
      <c r="C1089">
        <v>1</v>
      </c>
      <c r="D1089">
        <v>1</v>
      </c>
      <c r="E1089">
        <v>0</v>
      </c>
      <c r="F1089">
        <v>0</v>
      </c>
      <c r="G1089">
        <v>0</v>
      </c>
    </row>
    <row r="1090" spans="1:7" ht="13" x14ac:dyDescent="0.15">
      <c r="A1090" s="2">
        <v>1948830</v>
      </c>
      <c r="B1090" s="12" t="s">
        <v>8169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ht="13" x14ac:dyDescent="0.15">
      <c r="A1091" s="2">
        <v>3186138</v>
      </c>
      <c r="B1091" s="12" t="s">
        <v>8170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ht="13" x14ac:dyDescent="0.15">
      <c r="A1092" s="2">
        <v>2208501</v>
      </c>
      <c r="B1092" s="12" t="s">
        <v>8171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ht="13" x14ac:dyDescent="0.15">
      <c r="A1093" s="2">
        <v>2326517</v>
      </c>
      <c r="B1093" s="12" t="s">
        <v>8172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ht="13" x14ac:dyDescent="0.15">
      <c r="A1094" s="2">
        <v>303461</v>
      </c>
      <c r="B1094" s="12" t="s">
        <v>8173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ht="13" x14ac:dyDescent="0.15">
      <c r="A1095" s="2">
        <v>2980110</v>
      </c>
      <c r="B1095" s="12" t="s">
        <v>8174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ht="13" x14ac:dyDescent="0.15">
      <c r="A1096" s="2">
        <v>5673878</v>
      </c>
      <c r="B1096" s="12" t="s">
        <v>8174</v>
      </c>
      <c r="C1096">
        <v>1</v>
      </c>
      <c r="D1096">
        <v>0</v>
      </c>
      <c r="E1096">
        <v>0</v>
      </c>
      <c r="F1096">
        <v>0</v>
      </c>
      <c r="G1096">
        <v>0</v>
      </c>
    </row>
    <row r="1097" spans="1:7" ht="13" x14ac:dyDescent="0.15">
      <c r="A1097" s="2">
        <v>5458944</v>
      </c>
      <c r="B1097" s="12" t="s">
        <v>8175</v>
      </c>
      <c r="C1097">
        <v>1</v>
      </c>
      <c r="D1097">
        <v>0</v>
      </c>
      <c r="E1097">
        <v>0</v>
      </c>
      <c r="F1097">
        <v>0</v>
      </c>
      <c r="G1097">
        <v>0</v>
      </c>
    </row>
    <row r="1098" spans="1:7" ht="13" x14ac:dyDescent="0.15">
      <c r="A1098" s="2">
        <v>6454852</v>
      </c>
      <c r="B1098" s="12" t="s">
        <v>8176</v>
      </c>
      <c r="C1098">
        <v>1</v>
      </c>
      <c r="D1098">
        <v>0</v>
      </c>
      <c r="E1098">
        <v>0</v>
      </c>
      <c r="F1098">
        <v>0</v>
      </c>
      <c r="G1098">
        <v>0</v>
      </c>
    </row>
    <row r="1099" spans="1:7" ht="13" x14ac:dyDescent="0.15">
      <c r="A1099" s="2">
        <v>7924812</v>
      </c>
      <c r="B1099" s="12" t="s">
        <v>8177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ht="13" x14ac:dyDescent="0.15">
      <c r="A1100" s="2">
        <v>4457766</v>
      </c>
      <c r="B1100" s="14" t="s">
        <v>8178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ht="13" x14ac:dyDescent="0.15">
      <c r="A1101" s="2">
        <v>160277</v>
      </c>
      <c r="B1101" s="12" t="s">
        <v>8179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ht="13" x14ac:dyDescent="0.15">
      <c r="A1102" s="2">
        <v>103414</v>
      </c>
      <c r="B1102" s="12" t="s">
        <v>8180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ht="13" x14ac:dyDescent="0.15">
      <c r="A1103" s="2">
        <v>91211</v>
      </c>
      <c r="B1103" s="12" t="s">
        <v>8181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ht="13" x14ac:dyDescent="0.15">
      <c r="A1104" s="2">
        <v>140181</v>
      </c>
      <c r="B1104" s="12" t="s">
        <v>8182</v>
      </c>
      <c r="C1104">
        <v>1</v>
      </c>
      <c r="D1104">
        <v>0</v>
      </c>
      <c r="E1104">
        <v>0</v>
      </c>
      <c r="F1104">
        <v>0</v>
      </c>
      <c r="G1104">
        <v>0</v>
      </c>
    </row>
    <row r="1105" spans="1:7" ht="13" x14ac:dyDescent="0.15">
      <c r="A1105" s="2">
        <v>4591390</v>
      </c>
      <c r="B1105" s="12" t="s">
        <v>8183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ht="13" x14ac:dyDescent="0.15">
      <c r="A1106" s="2">
        <v>8128344</v>
      </c>
      <c r="B1106" s="12" t="s">
        <v>8184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ht="13" x14ac:dyDescent="0.15">
      <c r="A1107" s="2">
        <v>2160200</v>
      </c>
      <c r="B1107" s="12" t="s">
        <v>8185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ht="13" x14ac:dyDescent="0.15">
      <c r="A1108" s="2">
        <v>1441135</v>
      </c>
      <c r="B1108" s="12" t="s">
        <v>8186</v>
      </c>
      <c r="C1108">
        <v>0</v>
      </c>
      <c r="D1108">
        <v>1</v>
      </c>
      <c r="E1108">
        <v>0</v>
      </c>
      <c r="F1108">
        <v>0</v>
      </c>
      <c r="G1108">
        <v>0</v>
      </c>
    </row>
    <row r="1109" spans="1:7" ht="13" x14ac:dyDescent="0.15">
      <c r="A1109" s="2">
        <v>1909991</v>
      </c>
      <c r="B1109" s="12" t="s">
        <v>8187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ht="13" x14ac:dyDescent="0.15">
      <c r="A1110" s="2">
        <v>1059475</v>
      </c>
      <c r="B1110" s="12" t="s">
        <v>8188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ht="13" x14ac:dyDescent="0.15">
      <c r="A1111" s="2">
        <v>5687612</v>
      </c>
      <c r="B1111" s="12" t="s">
        <v>8189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ht="13" x14ac:dyDescent="0.15">
      <c r="A1112" s="2">
        <v>4057054</v>
      </c>
      <c r="B1112" s="12" t="s">
        <v>8190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ht="13" x14ac:dyDescent="0.15">
      <c r="A1113" s="2">
        <v>863046</v>
      </c>
      <c r="B1113" s="12" t="s">
        <v>8191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ht="13" x14ac:dyDescent="0.15">
      <c r="A1114" s="2">
        <v>8004578</v>
      </c>
      <c r="B1114" s="12" t="s">
        <v>8192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ht="13" x14ac:dyDescent="0.15">
      <c r="A1115" s="2">
        <v>2902088</v>
      </c>
      <c r="B1115" s="12" t="s">
        <v>8193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ht="13" x14ac:dyDescent="0.15">
      <c r="A1116" s="2">
        <v>341775</v>
      </c>
      <c r="B1116" s="12" t="s">
        <v>8194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ht="13" x14ac:dyDescent="0.15">
      <c r="A1117" s="2">
        <v>1078394</v>
      </c>
      <c r="B1117" s="12" t="s">
        <v>8195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ht="13" x14ac:dyDescent="0.15">
      <c r="A1118" s="2">
        <v>954658</v>
      </c>
      <c r="B1118" s="12" t="s">
        <v>8196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ht="13" x14ac:dyDescent="0.15">
      <c r="A1119" s="2">
        <v>1721891</v>
      </c>
      <c r="B1119" s="12" t="s">
        <v>8197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ht="13" x14ac:dyDescent="0.15">
      <c r="A1120" s="2">
        <v>2636546</v>
      </c>
      <c r="B1120" s="12" t="s">
        <v>8198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ht="13" x14ac:dyDescent="0.15">
      <c r="A1121" s="2">
        <v>1720675</v>
      </c>
      <c r="B1121" s="12" t="s">
        <v>8199</v>
      </c>
      <c r="C1121">
        <v>1</v>
      </c>
      <c r="D1121">
        <v>0</v>
      </c>
      <c r="E1121">
        <v>0</v>
      </c>
      <c r="F1121">
        <v>0</v>
      </c>
      <c r="G1121">
        <v>0</v>
      </c>
    </row>
    <row r="1122" spans="1:7" ht="13" x14ac:dyDescent="0.15">
      <c r="A1122" s="2">
        <v>421338</v>
      </c>
      <c r="B1122" s="12" t="s">
        <v>8200</v>
      </c>
      <c r="C1122">
        <v>1</v>
      </c>
      <c r="D1122">
        <v>0</v>
      </c>
      <c r="E1122">
        <v>0</v>
      </c>
      <c r="F1122">
        <v>0</v>
      </c>
      <c r="G1122">
        <v>0</v>
      </c>
    </row>
    <row r="1123" spans="1:7" ht="13" x14ac:dyDescent="0.15">
      <c r="A1123" s="2">
        <v>418394</v>
      </c>
      <c r="B1123" s="12" t="s">
        <v>8201</v>
      </c>
      <c r="C1123">
        <v>1</v>
      </c>
      <c r="D1123">
        <v>0</v>
      </c>
      <c r="E1123">
        <v>0</v>
      </c>
      <c r="F1123">
        <v>0</v>
      </c>
      <c r="G1123">
        <v>0</v>
      </c>
    </row>
    <row r="1124" spans="1:7" ht="13" x14ac:dyDescent="0.15">
      <c r="A1124" s="2">
        <v>418395</v>
      </c>
      <c r="B1124" s="12" t="s">
        <v>8202</v>
      </c>
      <c r="C1124">
        <v>1</v>
      </c>
      <c r="D1124">
        <v>0</v>
      </c>
      <c r="E1124">
        <v>0</v>
      </c>
      <c r="F1124">
        <v>0</v>
      </c>
      <c r="G1124">
        <v>0</v>
      </c>
    </row>
    <row r="1125" spans="1:7" ht="13" x14ac:dyDescent="0.15">
      <c r="A1125" s="2">
        <v>3638488</v>
      </c>
      <c r="B1125" s="12" t="s">
        <v>8203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ht="13" x14ac:dyDescent="0.15">
      <c r="A1126" s="2">
        <v>1058928</v>
      </c>
      <c r="B1126" s="12" t="s">
        <v>8204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ht="13" x14ac:dyDescent="0.15">
      <c r="A1127" s="2">
        <v>406412</v>
      </c>
      <c r="B1127" s="12" t="s">
        <v>8205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ht="13" x14ac:dyDescent="0.15">
      <c r="A1128" s="2">
        <v>2805912</v>
      </c>
      <c r="B1128" s="12" t="s">
        <v>8206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ht="13" x14ac:dyDescent="0.15">
      <c r="A1129" s="2">
        <v>2968902</v>
      </c>
      <c r="B1129" s="12" t="s">
        <v>8207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ht="13" x14ac:dyDescent="0.15">
      <c r="A1130" s="2">
        <v>5223426</v>
      </c>
      <c r="B1130" s="12" t="s">
        <v>8208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ht="13" x14ac:dyDescent="0.15">
      <c r="A1131" s="2">
        <v>1700600</v>
      </c>
      <c r="B1131" s="12" t="s">
        <v>4697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ht="13" x14ac:dyDescent="0.15">
      <c r="A1132" s="2">
        <v>2359788</v>
      </c>
      <c r="B1132" s="12" t="s">
        <v>8209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ht="13" x14ac:dyDescent="0.15">
      <c r="A1133" s="2">
        <v>302103</v>
      </c>
      <c r="B1133" s="12" t="s">
        <v>8210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ht="13" x14ac:dyDescent="0.15">
      <c r="A1134" s="2">
        <v>1067118</v>
      </c>
      <c r="B1134" s="12" t="s">
        <v>4700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ht="13" x14ac:dyDescent="0.15">
      <c r="A1135" s="2">
        <v>200338</v>
      </c>
      <c r="B1135" s="12" t="s">
        <v>8211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ht="13" x14ac:dyDescent="0.15">
      <c r="A1136" s="2">
        <v>401934</v>
      </c>
      <c r="B1136" s="12" t="s">
        <v>8212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ht="13" x14ac:dyDescent="0.15">
      <c r="A1137" s="2">
        <v>247882</v>
      </c>
      <c r="B1137" s="12" t="s">
        <v>8213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ht="13" x14ac:dyDescent="0.15">
      <c r="A1138" s="2">
        <v>872045</v>
      </c>
      <c r="B1138" s="12" t="s">
        <v>8214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ht="13" x14ac:dyDescent="0.15">
      <c r="A1139" s="2">
        <v>3487382</v>
      </c>
      <c r="B1139" s="12" t="s">
        <v>8215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ht="13" x14ac:dyDescent="0.15">
      <c r="A1140" s="2">
        <v>103417</v>
      </c>
      <c r="B1140" s="12" t="s">
        <v>8216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ht="13" x14ac:dyDescent="0.15">
      <c r="A1141" s="2">
        <v>341783</v>
      </c>
      <c r="B1141" s="12" t="s">
        <v>8217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ht="13" x14ac:dyDescent="0.15">
      <c r="A1142" s="2">
        <v>356256</v>
      </c>
      <c r="B1142" s="12" t="s">
        <v>8218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ht="13" x14ac:dyDescent="0.15">
      <c r="A1143" s="2">
        <v>2093492</v>
      </c>
      <c r="B1143" s="12" t="s">
        <v>8219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ht="13" x14ac:dyDescent="0.15">
      <c r="A1144" s="2">
        <v>419326</v>
      </c>
      <c r="B1144" s="12" t="s">
        <v>8220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ht="13" x14ac:dyDescent="0.15">
      <c r="A1145" s="2">
        <v>2632434</v>
      </c>
      <c r="B1145" s="12" t="s">
        <v>8221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ht="13" x14ac:dyDescent="0.15">
      <c r="A1146" s="2">
        <v>149458</v>
      </c>
      <c r="B1146" s="12" t="s">
        <v>8222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ht="13" x14ac:dyDescent="0.15">
      <c r="A1147" s="2">
        <v>1559672</v>
      </c>
      <c r="B1147" s="12" t="s">
        <v>8223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ht="13" x14ac:dyDescent="0.15">
      <c r="A1148" s="2">
        <v>7587362</v>
      </c>
      <c r="B1148" s="12" t="s">
        <v>8224</v>
      </c>
      <c r="C1148">
        <v>0</v>
      </c>
      <c r="D1148">
        <v>0</v>
      </c>
      <c r="E1148">
        <v>0</v>
      </c>
      <c r="F1148">
        <v>1</v>
      </c>
      <c r="G1148">
        <v>0</v>
      </c>
    </row>
    <row r="1149" spans="1:7" ht="13" x14ac:dyDescent="0.15">
      <c r="A1149" s="2">
        <v>5594490</v>
      </c>
      <c r="B1149" s="12" t="s">
        <v>8225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ht="13" x14ac:dyDescent="0.15">
      <c r="A1150" s="2">
        <v>310455</v>
      </c>
      <c r="B1150" s="12" t="s">
        <v>8226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ht="13" x14ac:dyDescent="0.15">
      <c r="A1151" s="2">
        <v>1153493</v>
      </c>
      <c r="B1151" s="12" t="s">
        <v>8227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ht="13" x14ac:dyDescent="0.15">
      <c r="A1152" s="2">
        <v>6216702</v>
      </c>
      <c r="B1152" s="12" t="s">
        <v>8228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ht="13" x14ac:dyDescent="0.15">
      <c r="A1153" s="2">
        <v>6881870</v>
      </c>
      <c r="B1153" s="12" t="s">
        <v>8229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ht="13" x14ac:dyDescent="0.15">
      <c r="A1154" s="2">
        <v>1600199</v>
      </c>
      <c r="B1154" s="12" t="s">
        <v>8230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ht="13" x14ac:dyDescent="0.15">
      <c r="A1155" s="2">
        <v>380111</v>
      </c>
      <c r="B1155" s="12" t="s">
        <v>8231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ht="13" x14ac:dyDescent="0.15">
      <c r="A1156" s="2">
        <v>106004</v>
      </c>
      <c r="B1156" s="12" t="s">
        <v>8232</v>
      </c>
      <c r="C1156">
        <v>1</v>
      </c>
      <c r="D1156">
        <v>0</v>
      </c>
      <c r="E1156">
        <v>0</v>
      </c>
      <c r="F1156">
        <v>0</v>
      </c>
      <c r="G1156">
        <v>0</v>
      </c>
    </row>
    <row r="1157" spans="1:7" ht="13" x14ac:dyDescent="0.15">
      <c r="A1157" s="2">
        <v>5875646</v>
      </c>
      <c r="B1157" s="12" t="s">
        <v>8233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ht="13" x14ac:dyDescent="0.15">
      <c r="A1158" s="2">
        <v>193676</v>
      </c>
      <c r="B1158" s="12" t="s">
        <v>8234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ht="13" x14ac:dyDescent="0.15">
      <c r="A1159" s="2">
        <v>1234506</v>
      </c>
      <c r="B1159" s="12" t="s">
        <v>8235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ht="13" x14ac:dyDescent="0.15">
      <c r="A1160" s="2">
        <v>2216577</v>
      </c>
      <c r="B1160" s="12" t="s">
        <v>8236</v>
      </c>
      <c r="C1160">
        <v>1</v>
      </c>
      <c r="D1160">
        <v>0</v>
      </c>
      <c r="E1160">
        <v>0</v>
      </c>
      <c r="F1160">
        <v>0</v>
      </c>
      <c r="G1160">
        <v>0</v>
      </c>
    </row>
    <row r="1161" spans="1:7" ht="13" x14ac:dyDescent="0.15">
      <c r="A1161" s="2">
        <v>94466</v>
      </c>
      <c r="B1161" s="12" t="s">
        <v>8237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ht="13" x14ac:dyDescent="0.15">
      <c r="A1162" s="2">
        <v>96588</v>
      </c>
      <c r="B1162" s="12" t="s">
        <v>8238</v>
      </c>
      <c r="C1162">
        <v>1</v>
      </c>
      <c r="D1162">
        <v>0</v>
      </c>
      <c r="E1162">
        <v>0</v>
      </c>
      <c r="F1162">
        <v>0</v>
      </c>
      <c r="G1162">
        <v>0</v>
      </c>
    </row>
    <row r="1163" spans="1:7" ht="13" x14ac:dyDescent="0.15">
      <c r="A1163" s="2">
        <v>6928052</v>
      </c>
      <c r="B1163" s="12" t="s">
        <v>8239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ht="13" x14ac:dyDescent="0.15">
      <c r="A1164" s="2">
        <v>10140040</v>
      </c>
      <c r="B1164" s="12" t="s">
        <v>8240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ht="13" x14ac:dyDescent="0.15">
      <c r="A1165" s="2">
        <v>7151574</v>
      </c>
      <c r="B1165" s="12" t="s">
        <v>8241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ht="13" x14ac:dyDescent="0.15">
      <c r="A1166" s="2">
        <v>7214128</v>
      </c>
      <c r="B1166" s="12" t="s">
        <v>8242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ht="13" x14ac:dyDescent="0.15">
      <c r="A1167" s="2">
        <v>96590</v>
      </c>
      <c r="B1167" s="12" t="s">
        <v>8243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ht="13" x14ac:dyDescent="0.15">
      <c r="A1168" s="2">
        <v>86718</v>
      </c>
      <c r="B1168" s="12" t="s">
        <v>8244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ht="13" x14ac:dyDescent="0.15">
      <c r="A1169" s="2">
        <v>1910834</v>
      </c>
      <c r="B1169" s="12" t="s">
        <v>8245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ht="13" x14ac:dyDescent="0.15">
      <c r="A1170" s="2">
        <v>2058303</v>
      </c>
      <c r="B1170" s="12" t="s">
        <v>8246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ht="13" x14ac:dyDescent="0.15">
      <c r="A1171" s="2">
        <v>3551096</v>
      </c>
      <c r="B1171" s="12" t="s">
        <v>8247</v>
      </c>
      <c r="C1171">
        <v>0</v>
      </c>
      <c r="D1171">
        <v>1</v>
      </c>
      <c r="E1171">
        <v>0</v>
      </c>
      <c r="F1171">
        <v>0</v>
      </c>
      <c r="G1171">
        <v>1</v>
      </c>
    </row>
    <row r="1172" spans="1:7" ht="13" x14ac:dyDescent="0.15">
      <c r="A1172" s="2">
        <v>2021072</v>
      </c>
      <c r="B1172" s="12" t="s">
        <v>8248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ht="13" x14ac:dyDescent="0.15">
      <c r="A1173" s="2">
        <v>758745</v>
      </c>
      <c r="B1173" s="12" t="s">
        <v>8249</v>
      </c>
      <c r="C1173">
        <v>0</v>
      </c>
      <c r="D1173">
        <v>1</v>
      </c>
      <c r="E1173">
        <v>0</v>
      </c>
      <c r="F1173">
        <v>1</v>
      </c>
      <c r="G1173">
        <v>0</v>
      </c>
    </row>
    <row r="1174" spans="1:7" ht="13" x14ac:dyDescent="0.15">
      <c r="A1174" s="2">
        <v>108778</v>
      </c>
      <c r="B1174" s="12" t="s">
        <v>8250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ht="13" x14ac:dyDescent="0.15">
      <c r="A1175" s="2">
        <v>5565334</v>
      </c>
      <c r="B1175" s="12" t="s">
        <v>8251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ht="13" x14ac:dyDescent="0.15">
      <c r="A1176" s="2">
        <v>1119644</v>
      </c>
      <c r="B1176" s="12" t="s">
        <v>8252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ht="13" x14ac:dyDescent="0.15">
      <c r="A1177" s="2">
        <v>8986718</v>
      </c>
      <c r="B1177" s="12" t="s">
        <v>8253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ht="13" x14ac:dyDescent="0.15">
      <c r="A1178" s="2">
        <v>3337194</v>
      </c>
      <c r="B1178" s="12" t="s">
        <v>8254</v>
      </c>
      <c r="C1178">
        <v>0</v>
      </c>
      <c r="D1178">
        <v>0</v>
      </c>
      <c r="E1178">
        <v>0</v>
      </c>
      <c r="F1178">
        <v>1</v>
      </c>
      <c r="G1178">
        <v>0</v>
      </c>
    </row>
    <row r="1179" spans="1:7" ht="13" x14ac:dyDescent="0.15">
      <c r="A1179" s="2">
        <v>4686698</v>
      </c>
      <c r="B1179" s="12" t="s">
        <v>8255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ht="13" x14ac:dyDescent="0.15">
      <c r="A1180" s="2">
        <v>2413230</v>
      </c>
      <c r="B1180" s="12" t="s">
        <v>8256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ht="13" x14ac:dyDescent="0.15">
      <c r="A1181" s="2">
        <v>92359</v>
      </c>
      <c r="B1181" s="12" t="s">
        <v>8257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ht="13" x14ac:dyDescent="0.15">
      <c r="A1182" s="2">
        <v>3986586</v>
      </c>
      <c r="B1182" s="12" t="s">
        <v>8258</v>
      </c>
      <c r="C1182">
        <v>1</v>
      </c>
      <c r="D1182">
        <v>0</v>
      </c>
      <c r="E1182">
        <v>0</v>
      </c>
      <c r="F1182">
        <v>0</v>
      </c>
      <c r="G1182">
        <v>0</v>
      </c>
    </row>
    <row r="1183" spans="1:7" ht="13" x14ac:dyDescent="0.15">
      <c r="A1183" s="2">
        <v>421357</v>
      </c>
      <c r="B1183" s="12" t="s">
        <v>8259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ht="13" x14ac:dyDescent="0.15">
      <c r="A1184" s="2">
        <v>1355642</v>
      </c>
      <c r="B1184" s="12" t="s">
        <v>8260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ht="13" x14ac:dyDescent="0.15">
      <c r="A1185" s="2">
        <v>361642</v>
      </c>
      <c r="B1185" s="12" t="s">
        <v>8261</v>
      </c>
      <c r="C1185">
        <v>0</v>
      </c>
      <c r="D1185">
        <v>1</v>
      </c>
      <c r="E1185">
        <v>0</v>
      </c>
      <c r="F1185">
        <v>0</v>
      </c>
      <c r="G1185">
        <v>0</v>
      </c>
    </row>
    <row r="1186" spans="1:7" ht="13" x14ac:dyDescent="0.15">
      <c r="A1186" s="2">
        <v>1556078</v>
      </c>
      <c r="B1186" s="12" t="s">
        <v>8262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ht="13" x14ac:dyDescent="0.15">
      <c r="A1187" s="2">
        <v>6567660</v>
      </c>
      <c r="B1187" s="12" t="s">
        <v>8263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ht="13" x14ac:dyDescent="0.15">
      <c r="A1188" s="2">
        <v>111973</v>
      </c>
      <c r="B1188" s="12" t="s">
        <v>8264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ht="13" x14ac:dyDescent="0.15">
      <c r="A1189" s="2">
        <v>149460</v>
      </c>
      <c r="B1189" s="12" t="s">
        <v>8265</v>
      </c>
      <c r="C1189">
        <v>0</v>
      </c>
      <c r="D1189">
        <v>0</v>
      </c>
      <c r="E1189">
        <v>1</v>
      </c>
      <c r="F1189">
        <v>0</v>
      </c>
      <c r="G1189">
        <v>0</v>
      </c>
    </row>
    <row r="1190" spans="1:7" ht="13" x14ac:dyDescent="0.15">
      <c r="A1190" s="2">
        <v>4975856</v>
      </c>
      <c r="B1190" s="12" t="s">
        <v>8266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ht="13" x14ac:dyDescent="0.15">
      <c r="A1191" s="2">
        <v>4715134</v>
      </c>
      <c r="B1191" s="12" t="s">
        <v>8267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ht="13" x14ac:dyDescent="0.15">
      <c r="A1192" s="2">
        <v>810629</v>
      </c>
      <c r="B1192" s="12" t="s">
        <v>8268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ht="13" x14ac:dyDescent="0.15">
      <c r="A1193" s="2">
        <v>256552</v>
      </c>
      <c r="B1193" s="12" t="s">
        <v>8269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ht="13" x14ac:dyDescent="0.15">
      <c r="A1194" s="2">
        <v>86719</v>
      </c>
      <c r="B1194" s="12" t="s">
        <v>8270</v>
      </c>
      <c r="C1194">
        <v>0</v>
      </c>
      <c r="D1194">
        <v>1</v>
      </c>
      <c r="E1194">
        <v>0</v>
      </c>
      <c r="F1194">
        <v>0</v>
      </c>
      <c r="G1194">
        <v>0</v>
      </c>
    </row>
    <row r="1195" spans="1:7" ht="13" x14ac:dyDescent="0.15">
      <c r="A1195" s="2">
        <v>1475263</v>
      </c>
      <c r="B1195" s="12" t="s">
        <v>8271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ht="13" x14ac:dyDescent="0.15">
      <c r="A1196" s="2">
        <v>7214064</v>
      </c>
      <c r="B1196" s="12" t="s">
        <v>8272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ht="13" x14ac:dyDescent="0.15">
      <c r="A1197" s="2">
        <v>7132830</v>
      </c>
      <c r="B1197" s="12" t="s">
        <v>8273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ht="13" x14ac:dyDescent="0.15">
      <c r="A1198" s="2">
        <v>1914829</v>
      </c>
      <c r="B1198" s="12" t="s">
        <v>8274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ht="13" x14ac:dyDescent="0.15">
      <c r="A1199" s="2">
        <v>191149</v>
      </c>
      <c r="B1199" s="12" t="s">
        <v>8275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ht="13" x14ac:dyDescent="0.15">
      <c r="A1200" s="2">
        <v>2389040</v>
      </c>
      <c r="B1200" s="12" t="s">
        <v>8276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ht="13" x14ac:dyDescent="0.15">
      <c r="A1201" s="2">
        <v>4074374</v>
      </c>
      <c r="B1201" s="12" t="s">
        <v>8277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ht="13" x14ac:dyDescent="0.15">
      <c r="A1202" s="2">
        <v>944947</v>
      </c>
      <c r="B1202" s="12" t="s">
        <v>8278</v>
      </c>
      <c r="C1202">
        <v>0</v>
      </c>
      <c r="D1202">
        <v>1</v>
      </c>
      <c r="E1202">
        <v>0</v>
      </c>
      <c r="F1202">
        <v>0</v>
      </c>
      <c r="G1202">
        <v>0</v>
      </c>
    </row>
    <row r="1203" spans="1:7" ht="13" x14ac:dyDescent="0.15">
      <c r="A1203" s="2">
        <v>4711184</v>
      </c>
      <c r="B1203" s="12" t="s">
        <v>8279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ht="13" x14ac:dyDescent="0.15">
      <c r="A1204" s="2">
        <v>2719784</v>
      </c>
      <c r="B1204" s="12" t="s">
        <v>8280</v>
      </c>
      <c r="C1204">
        <v>0</v>
      </c>
      <c r="D1204">
        <v>0</v>
      </c>
      <c r="E1204">
        <v>0</v>
      </c>
      <c r="F1204">
        <v>0</v>
      </c>
      <c r="G1204">
        <v>1</v>
      </c>
    </row>
    <row r="1205" spans="1:7" ht="13" x14ac:dyDescent="0.15">
      <c r="A1205" s="2">
        <v>1243719</v>
      </c>
      <c r="B1205" s="12" t="s">
        <v>8281</v>
      </c>
      <c r="C1205">
        <v>0</v>
      </c>
      <c r="D1205">
        <v>0</v>
      </c>
      <c r="E1205">
        <v>0</v>
      </c>
      <c r="F1205">
        <v>0</v>
      </c>
      <c r="G1205">
        <v>1</v>
      </c>
    </row>
    <row r="1206" spans="1:7" ht="13" x14ac:dyDescent="0.15">
      <c r="A1206" s="2">
        <v>434685</v>
      </c>
      <c r="B1206" s="12" t="s">
        <v>8282</v>
      </c>
      <c r="C1206">
        <v>0</v>
      </c>
      <c r="D1206">
        <v>1</v>
      </c>
      <c r="E1206">
        <v>0</v>
      </c>
      <c r="F1206">
        <v>0</v>
      </c>
      <c r="G1206">
        <v>0</v>
      </c>
    </row>
    <row r="1207" spans="1:7" ht="13" x14ac:dyDescent="0.15">
      <c r="A1207" s="2">
        <v>94469</v>
      </c>
      <c r="B1207" s="12" t="s">
        <v>8283</v>
      </c>
      <c r="C1207">
        <v>0</v>
      </c>
      <c r="D1207">
        <v>1</v>
      </c>
      <c r="E1207">
        <v>0</v>
      </c>
      <c r="F1207">
        <v>0</v>
      </c>
      <c r="G1207">
        <v>0</v>
      </c>
    </row>
    <row r="1208" spans="1:7" ht="13" x14ac:dyDescent="0.15">
      <c r="A1208" s="2">
        <v>108783</v>
      </c>
      <c r="B1208" s="12" t="s">
        <v>8284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ht="13" x14ac:dyDescent="0.15">
      <c r="A1209" s="2">
        <v>372062</v>
      </c>
      <c r="B1209" s="12" t="s">
        <v>8285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ht="13" x14ac:dyDescent="0.15">
      <c r="A1210" s="2">
        <v>5430288</v>
      </c>
      <c r="B1210" s="12" t="s">
        <v>8286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ht="13" x14ac:dyDescent="0.15">
      <c r="A1211" s="2">
        <v>3517928</v>
      </c>
      <c r="B1211" s="12" t="s">
        <v>8287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ht="13" x14ac:dyDescent="0.15">
      <c r="A1212" s="2">
        <v>3069342</v>
      </c>
      <c r="B1212" s="12" t="s">
        <v>8288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ht="13" x14ac:dyDescent="0.15">
      <c r="A1213" s="2">
        <v>7211618</v>
      </c>
      <c r="B1213" s="12" t="s">
        <v>8289</v>
      </c>
      <c r="C1213">
        <v>0</v>
      </c>
      <c r="D1213">
        <v>1</v>
      </c>
      <c r="E1213">
        <v>0</v>
      </c>
      <c r="F1213">
        <v>0</v>
      </c>
      <c r="G1213">
        <v>0</v>
      </c>
    </row>
    <row r="1214" spans="1:7" ht="13" x14ac:dyDescent="0.15">
      <c r="A1214" s="2">
        <v>310460</v>
      </c>
      <c r="B1214" s="12" t="s">
        <v>8290</v>
      </c>
      <c r="C1214">
        <v>0</v>
      </c>
      <c r="D1214">
        <v>0</v>
      </c>
      <c r="E1214">
        <v>0</v>
      </c>
      <c r="F1214">
        <v>0</v>
      </c>
      <c r="G1214">
        <v>1</v>
      </c>
    </row>
    <row r="1215" spans="1:7" ht="13" x14ac:dyDescent="0.15">
      <c r="A1215" s="2">
        <v>2442494</v>
      </c>
      <c r="B1215" s="12" t="s">
        <v>8291</v>
      </c>
      <c r="C1215">
        <v>1</v>
      </c>
      <c r="D1215">
        <v>0</v>
      </c>
      <c r="E1215">
        <v>0</v>
      </c>
      <c r="F1215">
        <v>0</v>
      </c>
      <c r="G1215">
        <v>0</v>
      </c>
    </row>
    <row r="1216" spans="1:7" ht="13" x14ac:dyDescent="0.15">
      <c r="A1216" s="2">
        <v>5761496</v>
      </c>
      <c r="B1216" s="12" t="s">
        <v>8292</v>
      </c>
      <c r="C1216">
        <v>0</v>
      </c>
      <c r="D1216">
        <v>1</v>
      </c>
      <c r="E1216">
        <v>0</v>
      </c>
      <c r="F1216">
        <v>1</v>
      </c>
      <c r="G1216">
        <v>0</v>
      </c>
    </row>
    <row r="1217" spans="1:7" ht="13" x14ac:dyDescent="0.15">
      <c r="A1217" s="2">
        <v>389631</v>
      </c>
      <c r="B1217" s="12" t="s">
        <v>8293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ht="13" x14ac:dyDescent="0.15">
      <c r="A1218" s="2">
        <v>7214106</v>
      </c>
      <c r="B1218" s="12" t="s">
        <v>8294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ht="13" x14ac:dyDescent="0.15">
      <c r="A1219" s="2">
        <v>4181258</v>
      </c>
      <c r="B1219" s="12" t="s">
        <v>8295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ht="13" x14ac:dyDescent="0.15">
      <c r="A1220" s="2">
        <v>2342652</v>
      </c>
      <c r="B1220" s="12" t="s">
        <v>8296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ht="13" x14ac:dyDescent="0.15">
      <c r="A1221" s="2">
        <v>1319900</v>
      </c>
      <c r="B1221" s="12" t="s">
        <v>8297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ht="13" x14ac:dyDescent="0.15">
      <c r="A1222" s="2">
        <v>1097194</v>
      </c>
      <c r="B1222" s="12" t="s">
        <v>8298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ht="13" x14ac:dyDescent="0.15">
      <c r="A1223" s="2">
        <v>1122725</v>
      </c>
      <c r="B1223" s="12" t="s">
        <v>8299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ht="13" x14ac:dyDescent="0.15">
      <c r="A1224" s="2">
        <v>346314</v>
      </c>
      <c r="B1224" s="12" t="s">
        <v>8300</v>
      </c>
      <c r="C1224">
        <v>0</v>
      </c>
      <c r="D1224">
        <v>1</v>
      </c>
      <c r="E1224">
        <v>0</v>
      </c>
      <c r="F1224">
        <v>0</v>
      </c>
      <c r="G1224">
        <v>0</v>
      </c>
    </row>
    <row r="1225" spans="1:7" ht="13" x14ac:dyDescent="0.15">
      <c r="A1225" s="2">
        <v>1526818</v>
      </c>
      <c r="B1225" s="12" t="s">
        <v>8301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ht="13" x14ac:dyDescent="0.15">
      <c r="A1226" s="2">
        <v>460644</v>
      </c>
      <c r="B1226" s="12" t="s">
        <v>8302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ht="13" x14ac:dyDescent="0.15">
      <c r="A1227" s="2">
        <v>6053538</v>
      </c>
      <c r="B1227" s="12" t="s">
        <v>8303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ht="13" x14ac:dyDescent="0.15">
      <c r="A1228" s="2">
        <v>108787</v>
      </c>
      <c r="B1228" s="12" t="s">
        <v>8304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ht="13" x14ac:dyDescent="0.15">
      <c r="A1229" s="2">
        <v>6539822</v>
      </c>
      <c r="B1229" s="12" t="s">
        <v>8305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ht="13" x14ac:dyDescent="0.15">
      <c r="A1230" s="2">
        <v>1501515</v>
      </c>
      <c r="B1230" s="12" t="s">
        <v>8306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ht="13" x14ac:dyDescent="0.15">
      <c r="A1231" s="2">
        <v>1898575</v>
      </c>
      <c r="B1231" s="12" t="s">
        <v>8307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ht="13" x14ac:dyDescent="0.15">
      <c r="A1232" s="2">
        <v>238784</v>
      </c>
      <c r="B1232" s="12" t="s">
        <v>8308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ht="13" x14ac:dyDescent="0.15">
      <c r="A1233" s="2">
        <v>1152804</v>
      </c>
      <c r="B1233" s="12" t="s">
        <v>8309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ht="13" x14ac:dyDescent="0.15">
      <c r="A1234" s="2">
        <v>11387972</v>
      </c>
      <c r="B1234" s="12" t="s">
        <v>8310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ht="13" x14ac:dyDescent="0.15">
      <c r="A1235" s="2">
        <v>2543796</v>
      </c>
      <c r="B1235" s="12" t="s">
        <v>8311</v>
      </c>
      <c r="C1235">
        <v>1</v>
      </c>
      <c r="D1235">
        <v>0</v>
      </c>
      <c r="E1235">
        <v>0</v>
      </c>
      <c r="F1235">
        <v>0</v>
      </c>
      <c r="G1235">
        <v>0</v>
      </c>
    </row>
    <row r="1236" spans="1:7" ht="13" x14ac:dyDescent="0.15">
      <c r="A1236" s="2">
        <v>2817246</v>
      </c>
      <c r="B1236" s="12" t="s">
        <v>8312</v>
      </c>
      <c r="C1236">
        <v>0</v>
      </c>
      <c r="D1236">
        <v>1</v>
      </c>
      <c r="E1236">
        <v>0</v>
      </c>
      <c r="F1236">
        <v>0</v>
      </c>
      <c r="G1236">
        <v>0</v>
      </c>
    </row>
    <row r="1237" spans="1:7" ht="13" x14ac:dyDescent="0.15">
      <c r="A1237" s="2">
        <v>1723816</v>
      </c>
      <c r="B1237" s="12" t="s">
        <v>8313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ht="13" x14ac:dyDescent="0.15">
      <c r="A1238" s="2">
        <v>807675</v>
      </c>
      <c r="B1238" s="12" t="s">
        <v>8314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ht="13" x14ac:dyDescent="0.15">
      <c r="A1239" s="2">
        <v>88524</v>
      </c>
      <c r="B1239" s="12" t="s">
        <v>8315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ht="13" x14ac:dyDescent="0.15">
      <c r="A1240" s="2">
        <v>144048</v>
      </c>
      <c r="B1240" s="12" t="s">
        <v>8316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ht="13" x14ac:dyDescent="0.15">
      <c r="A1241" s="2">
        <v>1327801</v>
      </c>
      <c r="B1241" s="12" t="s">
        <v>8317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ht="13" x14ac:dyDescent="0.15">
      <c r="A1242" s="2">
        <v>5770786</v>
      </c>
      <c r="B1242" s="12" t="s">
        <v>8318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ht="13" x14ac:dyDescent="0.15">
      <c r="A1243" s="2">
        <v>8719572</v>
      </c>
      <c r="B1243" s="12" t="s">
        <v>8319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ht="13" x14ac:dyDescent="0.15">
      <c r="A1244" s="2">
        <v>12256488</v>
      </c>
      <c r="B1244" s="12" t="s">
        <v>8320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ht="13" x14ac:dyDescent="0.15">
      <c r="A1245" s="2">
        <v>3105452</v>
      </c>
      <c r="B1245" s="12" t="s">
        <v>8321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ht="13" x14ac:dyDescent="0.15">
      <c r="A1246" s="2">
        <v>101206</v>
      </c>
      <c r="B1246" s="12" t="s">
        <v>8322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ht="13" x14ac:dyDescent="0.15">
      <c r="A1247" s="2">
        <v>1166871</v>
      </c>
      <c r="B1247" s="12" t="s">
        <v>8323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ht="13" x14ac:dyDescent="0.15">
      <c r="A1248" s="2">
        <v>4687880</v>
      </c>
      <c r="B1248" s="12" t="s">
        <v>8324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ht="13" x14ac:dyDescent="0.15">
      <c r="A1249" s="2">
        <v>82461</v>
      </c>
      <c r="B1249" s="12" t="s">
        <v>8325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ht="13" x14ac:dyDescent="0.15">
      <c r="A1250" s="2">
        <v>6483836</v>
      </c>
      <c r="B1250" s="12" t="s">
        <v>8326</v>
      </c>
      <c r="C1250">
        <v>0</v>
      </c>
      <c r="D1250">
        <v>1</v>
      </c>
      <c r="E1250">
        <v>0</v>
      </c>
      <c r="F1250">
        <v>0</v>
      </c>
      <c r="G1250">
        <v>0</v>
      </c>
    </row>
    <row r="1251" spans="1:7" ht="13" x14ac:dyDescent="0.15">
      <c r="A1251" s="2">
        <v>9465892</v>
      </c>
      <c r="B1251" s="12" t="s">
        <v>8327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ht="13" x14ac:dyDescent="0.15">
      <c r="A1252" s="2">
        <v>4855114</v>
      </c>
      <c r="B1252" s="12" t="s">
        <v>8328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ht="13" x14ac:dyDescent="0.15">
      <c r="A1253" s="2">
        <v>344651</v>
      </c>
      <c r="B1253" s="12" t="s">
        <v>8329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ht="13" x14ac:dyDescent="0.15">
      <c r="A1254" s="2">
        <v>6474378</v>
      </c>
      <c r="B1254" s="12" t="s">
        <v>8330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ht="13" x14ac:dyDescent="0.15">
      <c r="A1255" s="2">
        <v>1415889</v>
      </c>
      <c r="B1255" s="12" t="s">
        <v>8331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ht="13" x14ac:dyDescent="0.15">
      <c r="A1256" s="2">
        <v>7820906</v>
      </c>
      <c r="B1256" s="12" t="s">
        <v>8332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ht="13" x14ac:dyDescent="0.15">
      <c r="A1257" s="2">
        <v>195462</v>
      </c>
      <c r="B1257" s="12" t="s">
        <v>8333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ht="13" x14ac:dyDescent="0.15">
      <c r="A1258" s="2">
        <v>106014</v>
      </c>
      <c r="B1258" s="12" t="s">
        <v>8334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ht="13" x14ac:dyDescent="0.15">
      <c r="A1259" s="2">
        <v>103428</v>
      </c>
      <c r="B1259" s="12" t="s">
        <v>8335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ht="13" x14ac:dyDescent="0.15">
      <c r="A1260" s="2">
        <v>477217</v>
      </c>
      <c r="B1260" s="12" t="s">
        <v>8336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ht="13" x14ac:dyDescent="0.15">
      <c r="A1261" s="2">
        <v>3496764</v>
      </c>
      <c r="B1261" s="12" t="s">
        <v>8337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ht="13" x14ac:dyDescent="0.15">
      <c r="A1262" s="2">
        <v>397442</v>
      </c>
      <c r="B1262" s="12" t="s">
        <v>8338</v>
      </c>
      <c r="C1262">
        <v>0</v>
      </c>
      <c r="D1262">
        <v>1</v>
      </c>
      <c r="E1262">
        <v>0</v>
      </c>
      <c r="F1262">
        <v>0</v>
      </c>
      <c r="G1262">
        <v>0</v>
      </c>
    </row>
    <row r="1263" spans="1:7" ht="13" x14ac:dyDescent="0.15">
      <c r="A1263" s="2">
        <v>3749900</v>
      </c>
      <c r="B1263" s="12" t="s">
        <v>8339</v>
      </c>
      <c r="C1263">
        <v>1</v>
      </c>
      <c r="D1263">
        <v>1</v>
      </c>
      <c r="E1263">
        <v>0</v>
      </c>
      <c r="F1263">
        <v>0</v>
      </c>
      <c r="G1263">
        <v>0</v>
      </c>
    </row>
    <row r="1264" spans="1:7" ht="13" x14ac:dyDescent="0.15">
      <c r="A1264" s="2">
        <v>3609352</v>
      </c>
      <c r="B1264" s="12" t="s">
        <v>8340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ht="13" x14ac:dyDescent="0.15">
      <c r="A1265" s="2">
        <v>106017</v>
      </c>
      <c r="B1265" s="12" t="s">
        <v>8341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ht="13" x14ac:dyDescent="0.15">
      <c r="A1266" s="2">
        <v>4465368</v>
      </c>
      <c r="B1266" s="12" t="s">
        <v>8342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ht="13" x14ac:dyDescent="0.15">
      <c r="A1267" s="2">
        <v>5688730</v>
      </c>
      <c r="B1267" s="12" t="s">
        <v>8343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ht="13" x14ac:dyDescent="0.15">
      <c r="A1268" s="2">
        <v>4866982</v>
      </c>
      <c r="B1268" s="12" t="s">
        <v>8344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ht="13" x14ac:dyDescent="0.15">
      <c r="A1269" s="2">
        <v>1548669</v>
      </c>
      <c r="B1269" s="12" t="s">
        <v>8345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ht="13" x14ac:dyDescent="0.15">
      <c r="A1270" s="2">
        <v>1865718</v>
      </c>
      <c r="B1270" s="12" t="s">
        <v>8346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ht="13" x14ac:dyDescent="0.15">
      <c r="A1271" s="2">
        <v>370145</v>
      </c>
      <c r="B1271" s="12" t="s">
        <v>8347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ht="13" x14ac:dyDescent="0.15">
      <c r="A1272" s="2">
        <v>3966654</v>
      </c>
      <c r="B1272" s="12" t="s">
        <v>8348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ht="13" x14ac:dyDescent="0.15">
      <c r="A1273" s="2">
        <v>423661</v>
      </c>
      <c r="B1273" s="12" t="s">
        <v>8349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ht="13" x14ac:dyDescent="0.15">
      <c r="A1274" s="2">
        <v>413573</v>
      </c>
      <c r="B1274" s="12" t="s">
        <v>8350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ht="13" x14ac:dyDescent="0.15">
      <c r="A1275" s="2">
        <v>90440</v>
      </c>
      <c r="B1275" s="12" t="s">
        <v>8351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ht="13" x14ac:dyDescent="0.15">
      <c r="A1276" s="2">
        <v>255734</v>
      </c>
      <c r="B1276" s="12" t="s">
        <v>8352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ht="13" x14ac:dyDescent="0.15">
      <c r="A1277" s="2">
        <v>88527</v>
      </c>
      <c r="B1277" s="12" t="s">
        <v>8353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ht="13" x14ac:dyDescent="0.15">
      <c r="A1278" s="2">
        <v>7018644</v>
      </c>
      <c r="B1278" s="12" t="s">
        <v>8354</v>
      </c>
      <c r="C1278">
        <v>1</v>
      </c>
      <c r="D1278">
        <v>0</v>
      </c>
      <c r="E1278">
        <v>0</v>
      </c>
      <c r="F1278">
        <v>0</v>
      </c>
      <c r="G1278">
        <v>1</v>
      </c>
    </row>
    <row r="1279" spans="1:7" ht="13" x14ac:dyDescent="0.15">
      <c r="A1279" s="2">
        <v>209631</v>
      </c>
      <c r="B1279" s="12" t="s">
        <v>8355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ht="13" x14ac:dyDescent="0.15">
      <c r="A1280" s="2">
        <v>2816734</v>
      </c>
      <c r="B1280" s="12" t="s">
        <v>8356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ht="13" x14ac:dyDescent="0.15">
      <c r="A1281" s="2">
        <v>1616768</v>
      </c>
      <c r="B1281" s="12" t="s">
        <v>8357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ht="13" x14ac:dyDescent="0.15">
      <c r="A1282" s="2">
        <v>435961</v>
      </c>
      <c r="B1282" s="12" t="s">
        <v>8358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ht="13" x14ac:dyDescent="0.15">
      <c r="A1283" s="2">
        <v>3480830</v>
      </c>
      <c r="B1283" s="12" t="s">
        <v>8359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ht="13" x14ac:dyDescent="0.15">
      <c r="A1284" s="2">
        <v>2212323</v>
      </c>
      <c r="B1284" s="12" t="s">
        <v>8360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ht="13" x14ac:dyDescent="0.15">
      <c r="A1285" s="2">
        <v>13130028</v>
      </c>
      <c r="B1285" s="12" t="s">
        <v>8361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ht="13" x14ac:dyDescent="0.15">
      <c r="A1286" s="2">
        <v>5503718</v>
      </c>
      <c r="B1286" s="12" t="s">
        <v>8362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ht="13" x14ac:dyDescent="0.15">
      <c r="A1287" s="2">
        <v>1046552</v>
      </c>
      <c r="B1287" s="12" t="s">
        <v>8363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ht="13" x14ac:dyDescent="0.15">
      <c r="A1288" s="2">
        <v>410055</v>
      </c>
      <c r="B1288" s="12" t="s">
        <v>8364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ht="13" x14ac:dyDescent="0.15">
      <c r="A1289" s="2">
        <v>491603</v>
      </c>
      <c r="B1289" s="12" t="s">
        <v>8365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ht="13" x14ac:dyDescent="0.15">
      <c r="A1290" s="2">
        <v>4610750</v>
      </c>
      <c r="B1290" s="12" t="s">
        <v>8366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ht="13" x14ac:dyDescent="0.15">
      <c r="A1291" s="2">
        <v>6902574</v>
      </c>
      <c r="B1291" s="12" t="s">
        <v>8367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ht="13" x14ac:dyDescent="0.15">
      <c r="A1292" s="2">
        <v>6202104</v>
      </c>
      <c r="B1292" s="12" t="s">
        <v>8368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ht="13" x14ac:dyDescent="0.15">
      <c r="A1293" s="2">
        <v>2543312</v>
      </c>
      <c r="B1293" s="12" t="s">
        <v>8369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ht="13" x14ac:dyDescent="0.15">
      <c r="A1294" s="2">
        <v>249297</v>
      </c>
      <c r="B1294" s="12" t="s">
        <v>8370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ht="13" x14ac:dyDescent="0.15">
      <c r="A1295" s="2">
        <v>3973768</v>
      </c>
      <c r="B1295" s="12" t="s">
        <v>8371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ht="13" x14ac:dyDescent="0.15">
      <c r="A1296" s="2">
        <v>111994</v>
      </c>
      <c r="B1296" s="12" t="s">
        <v>8372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ht="13" x14ac:dyDescent="0.15">
      <c r="A1297" s="2">
        <v>3236954</v>
      </c>
      <c r="B1297" s="12" t="s">
        <v>8373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ht="13" x14ac:dyDescent="0.15">
      <c r="A1298" s="2">
        <v>6932244</v>
      </c>
      <c r="B1298" s="12" t="s">
        <v>8374</v>
      </c>
      <c r="C1298">
        <v>0</v>
      </c>
      <c r="D1298">
        <v>0</v>
      </c>
      <c r="E1298">
        <v>0</v>
      </c>
      <c r="F1298">
        <v>1</v>
      </c>
      <c r="G1298">
        <v>0</v>
      </c>
    </row>
    <row r="1299" spans="1:7" ht="13" x14ac:dyDescent="0.15">
      <c r="A1299" s="2">
        <v>493093</v>
      </c>
      <c r="B1299" s="12" t="s">
        <v>8375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ht="13" x14ac:dyDescent="0.15">
      <c r="A1300" s="2">
        <v>2243973</v>
      </c>
      <c r="B1300" s="12" t="s">
        <v>8376</v>
      </c>
      <c r="C1300">
        <v>0</v>
      </c>
      <c r="D1300">
        <v>1</v>
      </c>
      <c r="E1300">
        <v>0</v>
      </c>
      <c r="F1300">
        <v>1</v>
      </c>
      <c r="G1300">
        <v>0</v>
      </c>
    </row>
    <row r="1301" spans="1:7" ht="13" x14ac:dyDescent="0.15">
      <c r="A1301" s="2">
        <v>3729898</v>
      </c>
      <c r="B1301" s="12" t="s">
        <v>8377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ht="13" x14ac:dyDescent="0.15">
      <c r="A1302" s="2">
        <v>7115994</v>
      </c>
      <c r="B1302" s="12" t="s">
        <v>8378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ht="13" x14ac:dyDescent="0.15">
      <c r="A1303" s="2">
        <v>1830622</v>
      </c>
      <c r="B1303" s="12" t="s">
        <v>8379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ht="13" x14ac:dyDescent="0.15">
      <c r="A1304" s="2">
        <v>1587678</v>
      </c>
      <c r="B1304" s="12" t="s">
        <v>8380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ht="13" x14ac:dyDescent="0.15">
      <c r="A1305" s="2">
        <v>1379722</v>
      </c>
      <c r="B1305" s="12" t="s">
        <v>8381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ht="13" x14ac:dyDescent="0.15">
      <c r="A1306" s="2">
        <v>770762</v>
      </c>
      <c r="B1306" s="12" t="s">
        <v>8382</v>
      </c>
      <c r="C1306">
        <v>0</v>
      </c>
      <c r="D1306">
        <v>0</v>
      </c>
      <c r="E1306">
        <v>1</v>
      </c>
      <c r="F1306">
        <v>0</v>
      </c>
      <c r="G1306">
        <v>0</v>
      </c>
    </row>
    <row r="1307" spans="1:7" ht="13" x14ac:dyDescent="0.15">
      <c r="A1307" s="2">
        <v>3428912</v>
      </c>
      <c r="B1307" s="12" t="s">
        <v>8383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ht="13" x14ac:dyDescent="0.15">
      <c r="A1308" s="2">
        <v>2452242</v>
      </c>
      <c r="B1308" s="12" t="s">
        <v>8384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ht="13" x14ac:dyDescent="0.15">
      <c r="A1309" s="2">
        <v>96606</v>
      </c>
      <c r="B1309" s="12" t="s">
        <v>8385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ht="13" x14ac:dyDescent="0.15">
      <c r="A1310" s="2">
        <v>498436</v>
      </c>
      <c r="B1310" s="12" t="s">
        <v>8386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ht="13" x14ac:dyDescent="0.15">
      <c r="A1311" s="2">
        <v>7658402</v>
      </c>
      <c r="B1311" s="12" t="s">
        <v>8387</v>
      </c>
      <c r="C1311">
        <v>1</v>
      </c>
      <c r="D1311">
        <v>1</v>
      </c>
      <c r="E1311">
        <v>1</v>
      </c>
      <c r="F1311">
        <v>0</v>
      </c>
      <c r="G1311">
        <v>0</v>
      </c>
    </row>
    <row r="1312" spans="1:7" ht="13" x14ac:dyDescent="0.15">
      <c r="A1312" s="2">
        <v>5761478</v>
      </c>
      <c r="B1312" s="12" t="s">
        <v>8388</v>
      </c>
      <c r="C1312">
        <v>0</v>
      </c>
      <c r="D1312">
        <v>1</v>
      </c>
      <c r="E1312">
        <v>0</v>
      </c>
      <c r="F1312">
        <v>0</v>
      </c>
      <c r="G1312">
        <v>0</v>
      </c>
    </row>
    <row r="1313" spans="1:7" ht="13" x14ac:dyDescent="0.15">
      <c r="A1313" s="2">
        <v>7242816</v>
      </c>
      <c r="B1313" s="12" t="s">
        <v>8389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ht="13" x14ac:dyDescent="0.15">
      <c r="A1314" s="2">
        <v>2331972</v>
      </c>
      <c r="B1314" s="12" t="s">
        <v>8390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ht="13" x14ac:dyDescent="0.15">
      <c r="A1315" s="2">
        <v>108796</v>
      </c>
      <c r="B1315" s="12" t="s">
        <v>8391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ht="13" x14ac:dyDescent="0.15">
      <c r="A1316" s="2">
        <v>182587</v>
      </c>
      <c r="B1316" s="12" t="s">
        <v>8392</v>
      </c>
      <c r="C1316">
        <v>0</v>
      </c>
      <c r="D1316">
        <v>1</v>
      </c>
      <c r="E1316">
        <v>0</v>
      </c>
      <c r="F1316">
        <v>0</v>
      </c>
      <c r="G1316">
        <v>0</v>
      </c>
    </row>
    <row r="1317" spans="1:7" ht="13" x14ac:dyDescent="0.15">
      <c r="A1317" s="2">
        <v>1832979</v>
      </c>
      <c r="B1317" s="12" t="s">
        <v>8393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ht="13" x14ac:dyDescent="0.15">
      <c r="A1318" s="2">
        <v>2383434</v>
      </c>
      <c r="B1318" s="12" t="s">
        <v>8394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ht="13" x14ac:dyDescent="0.15">
      <c r="A1319" s="2">
        <v>294097</v>
      </c>
      <c r="B1319" s="12" t="s">
        <v>8395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ht="13" x14ac:dyDescent="0.15">
      <c r="A1320" s="2">
        <v>1427389</v>
      </c>
      <c r="B1320" s="12" t="s">
        <v>8396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ht="13" x14ac:dyDescent="0.15">
      <c r="A1321" s="2">
        <v>5170580</v>
      </c>
      <c r="B1321" s="12" t="s">
        <v>8397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ht="13" x14ac:dyDescent="0.15">
      <c r="A1322" s="2">
        <v>1519931</v>
      </c>
      <c r="B1322" s="12" t="s">
        <v>8398</v>
      </c>
      <c r="C1322">
        <v>0</v>
      </c>
      <c r="D1322">
        <v>1</v>
      </c>
      <c r="E1322">
        <v>0</v>
      </c>
      <c r="F1322">
        <v>0</v>
      </c>
      <c r="G1322">
        <v>0</v>
      </c>
    </row>
    <row r="1323" spans="1:7" ht="13" x14ac:dyDescent="0.15">
      <c r="A1323" s="2">
        <v>1600194</v>
      </c>
      <c r="B1323" s="12" t="s">
        <v>8399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ht="13" x14ac:dyDescent="0.15">
      <c r="A1324" s="2">
        <v>1382367</v>
      </c>
      <c r="B1324" s="12" t="s">
        <v>8400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ht="13" x14ac:dyDescent="0.15">
      <c r="A1325" s="2">
        <v>126158</v>
      </c>
      <c r="B1325" s="12" t="s">
        <v>8401</v>
      </c>
      <c r="C1325">
        <v>0</v>
      </c>
      <c r="D1325">
        <v>1</v>
      </c>
      <c r="E1325">
        <v>0</v>
      </c>
      <c r="F1325">
        <v>0</v>
      </c>
      <c r="G1325">
        <v>0</v>
      </c>
    </row>
    <row r="1326" spans="1:7" ht="13" x14ac:dyDescent="0.15">
      <c r="A1326" s="2">
        <v>6913880</v>
      </c>
      <c r="B1326" s="12" t="s">
        <v>8402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ht="13" x14ac:dyDescent="0.15">
      <c r="A1327" s="2">
        <v>101114</v>
      </c>
      <c r="B1327" s="12" t="s">
        <v>8403</v>
      </c>
      <c r="C1327">
        <v>0</v>
      </c>
      <c r="D1327">
        <v>1</v>
      </c>
      <c r="E1327">
        <v>0</v>
      </c>
      <c r="F1327">
        <v>0</v>
      </c>
      <c r="G1327">
        <v>0</v>
      </c>
    </row>
    <row r="1328" spans="1:7" ht="13" x14ac:dyDescent="0.15">
      <c r="A1328" s="2">
        <v>108800</v>
      </c>
      <c r="B1328" s="12" t="s">
        <v>8404</v>
      </c>
      <c r="C1328">
        <v>1</v>
      </c>
      <c r="D1328">
        <v>0</v>
      </c>
      <c r="E1328">
        <v>0</v>
      </c>
      <c r="F1328">
        <v>1</v>
      </c>
      <c r="G1328">
        <v>0</v>
      </c>
    </row>
    <row r="1329" spans="1:7" ht="13" x14ac:dyDescent="0.15">
      <c r="A1329" s="2">
        <v>6385418</v>
      </c>
      <c r="B1329" s="12" t="s">
        <v>8405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ht="13" x14ac:dyDescent="0.15">
      <c r="A1330" s="2">
        <v>2263720</v>
      </c>
      <c r="B1330" s="12" t="s">
        <v>8406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ht="13" x14ac:dyDescent="0.15">
      <c r="A1331" s="2">
        <v>11052708</v>
      </c>
      <c r="B1331" s="12" t="s">
        <v>8407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ht="13" x14ac:dyDescent="0.15">
      <c r="A1332" s="2">
        <v>7163910</v>
      </c>
      <c r="B1332" s="12" t="s">
        <v>8408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ht="13" x14ac:dyDescent="0.15">
      <c r="A1333" s="2">
        <v>2758950</v>
      </c>
      <c r="B1333" s="12" t="s">
        <v>8409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ht="13" x14ac:dyDescent="0.15">
      <c r="A1334" s="2">
        <v>962740</v>
      </c>
      <c r="B1334" s="12" t="s">
        <v>8410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ht="13" x14ac:dyDescent="0.15">
      <c r="A1335" s="2">
        <v>1699748</v>
      </c>
      <c r="B1335" s="12" t="s">
        <v>8411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ht="13" x14ac:dyDescent="0.15">
      <c r="A1336" s="2">
        <v>437005</v>
      </c>
      <c r="B1336" s="12" t="s">
        <v>8412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ht="13" x14ac:dyDescent="0.15">
      <c r="A1337" s="2">
        <v>2378794</v>
      </c>
      <c r="B1337" s="12" t="s">
        <v>8413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ht="13" x14ac:dyDescent="0.15">
      <c r="A1338" s="2">
        <v>7924262</v>
      </c>
      <c r="B1338" s="12" t="s">
        <v>8414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ht="13" x14ac:dyDescent="0.15">
      <c r="A1339" s="2">
        <v>2309295</v>
      </c>
      <c r="B1339" s="12" t="s">
        <v>8415</v>
      </c>
      <c r="C1339">
        <v>0</v>
      </c>
      <c r="D1339">
        <v>1</v>
      </c>
      <c r="E1339">
        <v>0</v>
      </c>
      <c r="F1339">
        <v>0</v>
      </c>
      <c r="G1339">
        <v>0</v>
      </c>
    </row>
    <row r="1340" spans="1:7" ht="13" x14ac:dyDescent="0.15">
      <c r="A1340" s="2">
        <v>7421486</v>
      </c>
      <c r="B1340" s="12" t="s">
        <v>8416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ht="13" x14ac:dyDescent="0.15">
      <c r="A1341" s="2">
        <v>3596174</v>
      </c>
      <c r="B1341" s="12" t="s">
        <v>8417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ht="13" x14ac:dyDescent="0.15">
      <c r="A1342" s="2">
        <v>2746314</v>
      </c>
      <c r="B1342" s="12" t="s">
        <v>8418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ht="13" x14ac:dyDescent="0.15">
      <c r="A1343" s="2">
        <v>138967</v>
      </c>
      <c r="B1343" s="12" t="s">
        <v>8419</v>
      </c>
      <c r="C1343">
        <v>0</v>
      </c>
      <c r="D1343">
        <v>0</v>
      </c>
      <c r="E1343">
        <v>0</v>
      </c>
      <c r="F1343">
        <v>1</v>
      </c>
      <c r="G1343">
        <v>0</v>
      </c>
    </row>
    <row r="1344" spans="1:7" ht="13" x14ac:dyDescent="0.15">
      <c r="A1344" s="2">
        <v>111999</v>
      </c>
      <c r="B1344" s="12" t="s">
        <v>8420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ht="13" x14ac:dyDescent="0.15">
      <c r="A1345" s="2">
        <v>5923012</v>
      </c>
      <c r="B1345" s="12" t="s">
        <v>8421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ht="13" x14ac:dyDescent="0.15">
      <c r="A1346" s="2">
        <v>2288050</v>
      </c>
      <c r="B1346" s="12" t="s">
        <v>8422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ht="13" x14ac:dyDescent="0.15">
      <c r="A1347" s="2">
        <v>4447490</v>
      </c>
      <c r="B1347" s="12" t="s">
        <v>8423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ht="13" x14ac:dyDescent="0.15">
      <c r="A1348" s="2">
        <v>813715</v>
      </c>
      <c r="B1348" s="12" t="s">
        <v>8424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ht="13" x14ac:dyDescent="0.15">
      <c r="A1349" s="2">
        <v>11456938</v>
      </c>
      <c r="B1349" s="12" t="s">
        <v>8425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ht="13" x14ac:dyDescent="0.15">
      <c r="A1350" s="2">
        <v>1356878</v>
      </c>
      <c r="B1350" s="12" t="s">
        <v>8426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ht="13" x14ac:dyDescent="0.15">
      <c r="A1351" s="2">
        <v>4670954</v>
      </c>
      <c r="B1351" s="12" t="s">
        <v>8427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ht="13" x14ac:dyDescent="0.15">
      <c r="A1352" s="2">
        <v>127376</v>
      </c>
      <c r="B1352" s="12" t="s">
        <v>8428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ht="13" x14ac:dyDescent="0.15">
      <c r="A1353" s="2">
        <v>115200</v>
      </c>
      <c r="B1353" s="12" t="s">
        <v>8429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ht="13" x14ac:dyDescent="0.15">
      <c r="A1354" s="2">
        <v>86729</v>
      </c>
      <c r="B1354" s="12" t="s">
        <v>8430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ht="13" x14ac:dyDescent="0.15">
      <c r="A1355" s="2">
        <v>12044438</v>
      </c>
      <c r="B1355" s="12" t="s">
        <v>8431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ht="13" x14ac:dyDescent="0.15">
      <c r="A1356" s="2">
        <v>360266</v>
      </c>
      <c r="B1356" s="12" t="s">
        <v>8432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ht="13" x14ac:dyDescent="0.15">
      <c r="A1357" s="2">
        <v>11478230</v>
      </c>
      <c r="B1357" s="12" t="s">
        <v>8433</v>
      </c>
      <c r="C1357">
        <v>1</v>
      </c>
      <c r="D1357">
        <v>0</v>
      </c>
      <c r="E1357">
        <v>0</v>
      </c>
      <c r="F1357">
        <v>0</v>
      </c>
      <c r="G1357">
        <v>0</v>
      </c>
    </row>
    <row r="1358" spans="1:7" ht="13" x14ac:dyDescent="0.15">
      <c r="A1358" s="2">
        <v>123349</v>
      </c>
      <c r="B1358" s="12" t="s">
        <v>8434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ht="13" x14ac:dyDescent="0.15">
      <c r="A1359" s="2">
        <v>7217374</v>
      </c>
      <c r="B1359" s="12" t="s">
        <v>8435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ht="13" x14ac:dyDescent="0.15">
      <c r="A1360" s="2">
        <v>4773278</v>
      </c>
      <c r="B1360" s="12" t="s">
        <v>8436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ht="13" x14ac:dyDescent="0.15">
      <c r="A1361" s="2">
        <v>1139188</v>
      </c>
      <c r="B1361" s="12" t="s">
        <v>8437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ht="13" x14ac:dyDescent="0.15">
      <c r="A1362" s="2">
        <v>2230051</v>
      </c>
      <c r="B1362" s="12" t="s">
        <v>8438</v>
      </c>
      <c r="C1362">
        <v>0</v>
      </c>
      <c r="D1362">
        <v>0</v>
      </c>
      <c r="E1362">
        <v>1</v>
      </c>
      <c r="F1362">
        <v>0</v>
      </c>
      <c r="G1362">
        <v>0</v>
      </c>
    </row>
    <row r="1363" spans="1:7" ht="13" x14ac:dyDescent="0.15">
      <c r="A1363" s="2">
        <v>8510382</v>
      </c>
      <c r="B1363" s="12" t="s">
        <v>8439</v>
      </c>
      <c r="C1363">
        <v>0</v>
      </c>
      <c r="D1363">
        <v>0</v>
      </c>
      <c r="E1363">
        <v>0</v>
      </c>
      <c r="F1363">
        <v>1</v>
      </c>
      <c r="G1363">
        <v>0</v>
      </c>
    </row>
    <row r="1364" spans="1:7" ht="13" x14ac:dyDescent="0.15">
      <c r="A1364" s="2">
        <v>112002</v>
      </c>
      <c r="B1364" s="12" t="s">
        <v>8440</v>
      </c>
      <c r="C1364">
        <v>1</v>
      </c>
      <c r="D1364">
        <v>0</v>
      </c>
      <c r="E1364">
        <v>0</v>
      </c>
      <c r="F1364">
        <v>0</v>
      </c>
      <c r="G1364">
        <v>0</v>
      </c>
    </row>
    <row r="1365" spans="1:7" ht="13" x14ac:dyDescent="0.15">
      <c r="A1365" s="2">
        <v>103442</v>
      </c>
      <c r="B1365" s="12" t="s">
        <v>8441</v>
      </c>
      <c r="C1365">
        <v>0</v>
      </c>
      <c r="D1365">
        <v>0</v>
      </c>
      <c r="E1365">
        <v>0</v>
      </c>
      <c r="F1365">
        <v>1</v>
      </c>
      <c r="G1365">
        <v>0</v>
      </c>
    </row>
    <row r="1366" spans="1:7" ht="13" x14ac:dyDescent="0.15">
      <c r="A1366" s="2">
        <v>147773</v>
      </c>
      <c r="B1366" s="12" t="s">
        <v>8442</v>
      </c>
      <c r="C1366">
        <v>1</v>
      </c>
      <c r="D1366">
        <v>0</v>
      </c>
      <c r="E1366">
        <v>0</v>
      </c>
      <c r="F1366">
        <v>0</v>
      </c>
      <c r="G1366">
        <v>0</v>
      </c>
    </row>
    <row r="1367" spans="1:7" ht="13" x14ac:dyDescent="0.15">
      <c r="A1367" s="2">
        <v>144714</v>
      </c>
      <c r="B1367" s="12" t="s">
        <v>8443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ht="13" x14ac:dyDescent="0.15">
      <c r="A1368" s="2">
        <v>2390276</v>
      </c>
      <c r="B1368" s="12" t="s">
        <v>8444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ht="13" x14ac:dyDescent="0.15">
      <c r="A1369" s="2">
        <v>6385540</v>
      </c>
      <c r="B1369" s="12" t="s">
        <v>8445</v>
      </c>
      <c r="C1369">
        <v>0</v>
      </c>
      <c r="D1369">
        <v>1</v>
      </c>
      <c r="E1369">
        <v>0</v>
      </c>
      <c r="F1369">
        <v>0</v>
      </c>
      <c r="G1369">
        <v>0</v>
      </c>
    </row>
    <row r="1370" spans="1:7" ht="13" x14ac:dyDescent="0.15">
      <c r="A1370" s="2">
        <v>81873</v>
      </c>
      <c r="B1370" s="12" t="s">
        <v>8446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ht="13" x14ac:dyDescent="0.15">
      <c r="A1371" s="2">
        <v>1738350</v>
      </c>
      <c r="B1371" s="12" t="s">
        <v>8447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ht="13" x14ac:dyDescent="0.15">
      <c r="A1372" s="2">
        <v>1493923</v>
      </c>
      <c r="B1372" s="12" t="s">
        <v>8448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ht="13" x14ac:dyDescent="0.15">
      <c r="A1373" s="2">
        <v>3828998</v>
      </c>
      <c r="B1373" s="12" t="s">
        <v>8449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ht="13" x14ac:dyDescent="0.15">
      <c r="A1374" s="2">
        <v>2575968</v>
      </c>
      <c r="B1374" s="12" t="s">
        <v>8450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ht="13" x14ac:dyDescent="0.15">
      <c r="A1375" s="2">
        <v>4130418</v>
      </c>
      <c r="B1375" s="12" t="s">
        <v>8451</v>
      </c>
      <c r="C1375">
        <v>0</v>
      </c>
      <c r="D1375">
        <v>0</v>
      </c>
      <c r="E1375">
        <v>0</v>
      </c>
      <c r="F1375">
        <v>0</v>
      </c>
      <c r="G1375">
        <v>1</v>
      </c>
    </row>
    <row r="1376" spans="1:7" ht="13" x14ac:dyDescent="0.15">
      <c r="A1376" s="2">
        <v>202430</v>
      </c>
      <c r="B1376" s="12" t="s">
        <v>8452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ht="13" x14ac:dyDescent="0.15">
      <c r="A1377" s="2">
        <v>5607976</v>
      </c>
      <c r="B1377" s="12" t="s">
        <v>8453</v>
      </c>
      <c r="C1377">
        <v>0</v>
      </c>
      <c r="D1377">
        <v>1</v>
      </c>
      <c r="E1377">
        <v>0</v>
      </c>
      <c r="F1377">
        <v>0</v>
      </c>
      <c r="G1377">
        <v>0</v>
      </c>
    </row>
    <row r="1378" spans="1:7" ht="13" x14ac:dyDescent="0.15">
      <c r="A1378" s="2">
        <v>231028</v>
      </c>
      <c r="B1378" s="12" t="s">
        <v>8454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ht="13" x14ac:dyDescent="0.15">
      <c r="A1379" s="2">
        <v>370152</v>
      </c>
      <c r="B1379" s="12" t="s">
        <v>8455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ht="13" x14ac:dyDescent="0.15">
      <c r="A1380" s="2">
        <v>4950502</v>
      </c>
      <c r="B1380" s="12" t="s">
        <v>8456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ht="13" x14ac:dyDescent="0.15">
      <c r="A1381" s="2">
        <v>1497563</v>
      </c>
      <c r="B1381" s="12" t="s">
        <v>8457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ht="13" x14ac:dyDescent="0.15">
      <c r="A1382" s="2">
        <v>184122</v>
      </c>
      <c r="B1382" s="12" t="s">
        <v>8458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ht="13" x14ac:dyDescent="0.15">
      <c r="A1383" s="2">
        <v>6768634</v>
      </c>
      <c r="B1383" s="12" t="s">
        <v>8459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ht="13" x14ac:dyDescent="0.15">
      <c r="A1384" s="2">
        <v>10133226</v>
      </c>
      <c r="B1384" s="12" t="s">
        <v>8460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ht="13" x14ac:dyDescent="0.15">
      <c r="A1385" s="2">
        <v>4226226</v>
      </c>
      <c r="B1385" s="12" t="s">
        <v>8461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ht="13" x14ac:dyDescent="0.15">
      <c r="A1386" s="2">
        <v>112004</v>
      </c>
      <c r="B1386" s="12" t="s">
        <v>8462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ht="13" x14ac:dyDescent="0.15">
      <c r="A1387" s="2">
        <v>3037520</v>
      </c>
      <c r="B1387" s="12" t="s">
        <v>8463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ht="13" x14ac:dyDescent="0.15">
      <c r="A1388" s="2">
        <v>8622956</v>
      </c>
      <c r="B1388" s="12" t="s">
        <v>8464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ht="13" x14ac:dyDescent="0.15">
      <c r="A1389" s="2">
        <v>5271054</v>
      </c>
      <c r="B1389" s="12" t="s">
        <v>8465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ht="13" x14ac:dyDescent="0.15">
      <c r="A1390" s="2">
        <v>133010</v>
      </c>
      <c r="B1390" s="14" t="s">
        <v>8466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ht="13" x14ac:dyDescent="0.15">
      <c r="A1391" s="2">
        <v>7444776</v>
      </c>
      <c r="B1391" s="12" t="s">
        <v>8467</v>
      </c>
      <c r="C1391">
        <v>0</v>
      </c>
      <c r="D1391">
        <v>0</v>
      </c>
      <c r="E1391">
        <v>0</v>
      </c>
      <c r="F1391">
        <v>1</v>
      </c>
      <c r="G1391">
        <v>0</v>
      </c>
    </row>
    <row r="1392" spans="1:7" ht="13" x14ac:dyDescent="0.15">
      <c r="A1392" s="2">
        <v>94481</v>
      </c>
      <c r="B1392" s="12" t="s">
        <v>8468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ht="13" x14ac:dyDescent="0.15">
      <c r="A1393" s="2">
        <v>2247876</v>
      </c>
      <c r="B1393" s="12" t="s">
        <v>8469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ht="13" x14ac:dyDescent="0.15">
      <c r="A1394" s="2">
        <v>2081739</v>
      </c>
      <c r="B1394" s="12" t="s">
        <v>8470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ht="13" x14ac:dyDescent="0.15">
      <c r="A1395" s="2">
        <v>4015216</v>
      </c>
      <c r="B1395" s="12" t="s">
        <v>8471</v>
      </c>
      <c r="C1395">
        <v>0</v>
      </c>
      <c r="D1395">
        <v>1</v>
      </c>
      <c r="E1395">
        <v>0</v>
      </c>
      <c r="F1395">
        <v>0</v>
      </c>
      <c r="G1395">
        <v>0</v>
      </c>
    </row>
    <row r="1396" spans="1:7" ht="13" x14ac:dyDescent="0.15">
      <c r="A1396" s="2">
        <v>4649390</v>
      </c>
      <c r="B1396" s="12" t="s">
        <v>8472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ht="13" x14ac:dyDescent="0.15">
      <c r="A1397" s="2">
        <v>101120</v>
      </c>
      <c r="B1397" s="12" t="s">
        <v>8473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ht="13" x14ac:dyDescent="0.15">
      <c r="A1398" s="2">
        <v>197159</v>
      </c>
      <c r="B1398" s="12" t="s">
        <v>8474</v>
      </c>
      <c r="C1398">
        <v>0</v>
      </c>
      <c r="D1398">
        <v>0</v>
      </c>
      <c r="E1398">
        <v>1</v>
      </c>
      <c r="F1398">
        <v>0</v>
      </c>
      <c r="G1398">
        <v>0</v>
      </c>
    </row>
    <row r="1399" spans="1:7" ht="13" x14ac:dyDescent="0.15">
      <c r="A1399" s="2">
        <v>101121</v>
      </c>
      <c r="B1399" s="12" t="s">
        <v>8475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ht="13" x14ac:dyDescent="0.15">
      <c r="A1400" s="2">
        <v>1796960</v>
      </c>
      <c r="B1400" s="12" t="s">
        <v>8476</v>
      </c>
      <c r="C1400">
        <v>1</v>
      </c>
      <c r="D1400">
        <v>0</v>
      </c>
      <c r="E1400">
        <v>0</v>
      </c>
      <c r="F1400">
        <v>0</v>
      </c>
      <c r="G1400">
        <v>0</v>
      </c>
    </row>
    <row r="1401" spans="1:7" ht="13" x14ac:dyDescent="0.15">
      <c r="A1401" s="2">
        <v>7643900</v>
      </c>
      <c r="B1401" s="12" t="s">
        <v>8477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ht="13" x14ac:dyDescent="0.15">
      <c r="A1402" s="2">
        <v>1934673</v>
      </c>
      <c r="B1402" s="12" t="s">
        <v>8478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ht="13" x14ac:dyDescent="0.15">
      <c r="A1403" s="2">
        <v>1029892</v>
      </c>
      <c r="B1403" s="12" t="s">
        <v>8479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ht="13" x14ac:dyDescent="0.15">
      <c r="A1404" s="2">
        <v>2104485</v>
      </c>
      <c r="B1404" s="12" t="s">
        <v>8480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ht="13" x14ac:dyDescent="0.15">
      <c r="A1405" s="2">
        <v>366025</v>
      </c>
      <c r="B1405" s="12" t="s">
        <v>8481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ht="13" x14ac:dyDescent="0.15">
      <c r="A1406" s="2">
        <v>4996654</v>
      </c>
      <c r="B1406" s="12" t="s">
        <v>8482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ht="13" x14ac:dyDescent="0.15">
      <c r="A1407" s="2">
        <v>3263530</v>
      </c>
      <c r="B1407" s="12" t="s">
        <v>8483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ht="13" x14ac:dyDescent="0.15">
      <c r="A1408" s="2">
        <v>297174</v>
      </c>
      <c r="B1408" s="12" t="s">
        <v>8484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ht="13" x14ac:dyDescent="0.15">
      <c r="A1409" s="2">
        <v>7875000</v>
      </c>
      <c r="B1409" s="12" t="s">
        <v>8485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ht="13" x14ac:dyDescent="0.15">
      <c r="A1410" s="2">
        <v>2647258</v>
      </c>
      <c r="B1410" s="12" t="s">
        <v>8486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ht="13" x14ac:dyDescent="0.15">
      <c r="A1411" s="2">
        <v>1583607</v>
      </c>
      <c r="B1411" s="12" t="s">
        <v>8487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ht="13" x14ac:dyDescent="0.15">
      <c r="A1412" s="2">
        <v>115208</v>
      </c>
      <c r="B1412" s="12" t="s">
        <v>8488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ht="13" x14ac:dyDescent="0.15">
      <c r="A1413" s="2">
        <v>460648</v>
      </c>
      <c r="B1413" s="12" t="s">
        <v>8489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ht="13" x14ac:dyDescent="0.15">
      <c r="A1414" s="2">
        <v>86733</v>
      </c>
      <c r="B1414" s="12" t="s">
        <v>8490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ht="13" x14ac:dyDescent="0.15">
      <c r="A1415" s="2">
        <v>374403</v>
      </c>
      <c r="B1415" s="12" t="s">
        <v>8491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ht="13" x14ac:dyDescent="0.15">
      <c r="A1416" s="2">
        <v>10266266</v>
      </c>
      <c r="B1416" s="12" t="s">
        <v>8492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ht="13" x14ac:dyDescent="0.15">
      <c r="A1417" s="2">
        <v>1320317</v>
      </c>
      <c r="B1417" s="12" t="s">
        <v>8493</v>
      </c>
      <c r="C1417">
        <v>0</v>
      </c>
      <c r="D1417">
        <v>0</v>
      </c>
      <c r="E1417">
        <v>1</v>
      </c>
      <c r="F1417">
        <v>0</v>
      </c>
      <c r="G1417">
        <v>0</v>
      </c>
    </row>
    <row r="1418" spans="1:7" ht="13" x14ac:dyDescent="0.15">
      <c r="A1418" s="2">
        <v>475047</v>
      </c>
      <c r="B1418" s="12" t="s">
        <v>8494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ht="13" x14ac:dyDescent="0.15">
      <c r="A1419" s="2">
        <v>177446</v>
      </c>
      <c r="B1419" s="12" t="s">
        <v>8495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ht="13" x14ac:dyDescent="0.15">
      <c r="A1420" s="2">
        <v>2242025</v>
      </c>
      <c r="B1420" s="12" t="s">
        <v>8496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ht="13" x14ac:dyDescent="0.15">
      <c r="A1421" s="2">
        <v>2129304</v>
      </c>
      <c r="B1421" s="12" t="s">
        <v>8497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ht="13" x14ac:dyDescent="0.15">
      <c r="A1422" s="2">
        <v>4858114</v>
      </c>
      <c r="B1422" s="12" t="s">
        <v>8498</v>
      </c>
      <c r="C1422">
        <v>0</v>
      </c>
      <c r="D1422">
        <v>0</v>
      </c>
      <c r="E1422">
        <v>0</v>
      </c>
      <c r="F1422">
        <v>1</v>
      </c>
      <c r="G1422">
        <v>0</v>
      </c>
    </row>
    <row r="1423" spans="1:7" ht="13" x14ac:dyDescent="0.15">
      <c r="A1423" s="2">
        <v>412142</v>
      </c>
      <c r="B1423" s="12" t="s">
        <v>8499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ht="13" x14ac:dyDescent="0.15">
      <c r="A1424" s="2">
        <v>338614</v>
      </c>
      <c r="B1424" s="12" t="s">
        <v>8500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ht="13" x14ac:dyDescent="0.15">
      <c r="A1425" s="2">
        <v>1856010</v>
      </c>
      <c r="B1425" s="12" t="s">
        <v>8501</v>
      </c>
      <c r="C1425">
        <v>1</v>
      </c>
      <c r="D1425">
        <v>1</v>
      </c>
      <c r="E1425">
        <v>0</v>
      </c>
      <c r="F1425">
        <v>0</v>
      </c>
      <c r="G1425">
        <v>0</v>
      </c>
    </row>
    <row r="1426" spans="1:7" ht="13" x14ac:dyDescent="0.15">
      <c r="A1426" s="2">
        <v>10157334</v>
      </c>
      <c r="B1426" s="12" t="s">
        <v>8502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ht="13" x14ac:dyDescent="0.15">
      <c r="A1427" s="2">
        <v>3625998</v>
      </c>
      <c r="B1427" s="12" t="s">
        <v>8503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ht="13" x14ac:dyDescent="0.15">
      <c r="A1428" s="2">
        <v>1797404</v>
      </c>
      <c r="B1428" s="12" t="s">
        <v>8504</v>
      </c>
      <c r="C1428">
        <v>0</v>
      </c>
      <c r="D1428">
        <v>1</v>
      </c>
      <c r="E1428">
        <v>0</v>
      </c>
      <c r="F1428">
        <v>0</v>
      </c>
      <c r="G1428">
        <v>1</v>
      </c>
    </row>
    <row r="1429" spans="1:7" ht="13" x14ac:dyDescent="0.15">
      <c r="A1429" s="2">
        <v>272388</v>
      </c>
      <c r="B1429" s="12" t="s">
        <v>8505</v>
      </c>
      <c r="C1429">
        <v>1</v>
      </c>
      <c r="D1429">
        <v>0</v>
      </c>
      <c r="E1429">
        <v>0</v>
      </c>
      <c r="F1429">
        <v>0</v>
      </c>
      <c r="G1429">
        <v>0</v>
      </c>
    </row>
    <row r="1430" spans="1:7" ht="13" x14ac:dyDescent="0.15">
      <c r="A1430" s="2">
        <v>7846212</v>
      </c>
      <c r="B1430" s="12" t="s">
        <v>8506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ht="13" x14ac:dyDescent="0.15">
      <c r="A1431" s="2">
        <v>417331</v>
      </c>
      <c r="B1431" s="12" t="s">
        <v>8507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ht="13" x14ac:dyDescent="0.15">
      <c r="A1432" s="2">
        <v>862583</v>
      </c>
      <c r="B1432" s="12" t="s">
        <v>8508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ht="13" x14ac:dyDescent="0.15">
      <c r="A1433" s="2">
        <v>460649</v>
      </c>
      <c r="B1433" s="12" t="s">
        <v>8509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ht="13" x14ac:dyDescent="0.15">
      <c r="A1434" s="2">
        <v>835010</v>
      </c>
      <c r="B1434" s="12" t="s">
        <v>8510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ht="13" x14ac:dyDescent="0.15">
      <c r="A1435" s="2">
        <v>7054678</v>
      </c>
      <c r="B1435" s="12" t="s">
        <v>8511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ht="13" x14ac:dyDescent="0.15">
      <c r="A1436" s="2">
        <v>1832668</v>
      </c>
      <c r="B1436" s="12" t="s">
        <v>8512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ht="13" x14ac:dyDescent="0.15">
      <c r="A1437" s="2">
        <v>3205802</v>
      </c>
      <c r="B1437" s="12" t="s">
        <v>8513</v>
      </c>
      <c r="C1437">
        <v>0</v>
      </c>
      <c r="D1437">
        <v>0</v>
      </c>
      <c r="E1437">
        <v>0</v>
      </c>
      <c r="F1437">
        <v>0</v>
      </c>
      <c r="G1437">
        <v>1</v>
      </c>
    </row>
    <row r="1438" spans="1:7" ht="13" x14ac:dyDescent="0.15">
      <c r="A1438" s="2">
        <v>5350484</v>
      </c>
      <c r="B1438" s="12" t="s">
        <v>8514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ht="13" x14ac:dyDescent="0.15">
      <c r="A1439" s="2">
        <v>1299365</v>
      </c>
      <c r="B1439" s="12" t="s">
        <v>8515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ht="13" x14ac:dyDescent="0.15">
      <c r="A1440" s="2">
        <v>6416336</v>
      </c>
      <c r="B1440" s="12" t="s">
        <v>8516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ht="13" x14ac:dyDescent="0.15">
      <c r="A1441" s="2">
        <v>409570</v>
      </c>
      <c r="B1441" s="12" t="s">
        <v>8517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ht="13" x14ac:dyDescent="0.15">
      <c r="A1442" s="2">
        <v>2455514</v>
      </c>
      <c r="B1442" s="12" t="s">
        <v>8518</v>
      </c>
      <c r="C1442">
        <v>1</v>
      </c>
      <c r="D1442">
        <v>1</v>
      </c>
      <c r="E1442">
        <v>0</v>
      </c>
      <c r="F1442">
        <v>0</v>
      </c>
      <c r="G1442">
        <v>0</v>
      </c>
    </row>
    <row r="1443" spans="1:7" ht="13" x14ac:dyDescent="0.15">
      <c r="A1443" s="2">
        <v>98826</v>
      </c>
      <c r="B1443" s="12" t="s">
        <v>8519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ht="13" x14ac:dyDescent="0.15">
      <c r="A1444" s="2">
        <v>876298</v>
      </c>
      <c r="B1444" s="12" t="s">
        <v>8520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ht="13" x14ac:dyDescent="0.15">
      <c r="A1445" s="2">
        <v>1439741</v>
      </c>
      <c r="B1445" s="12" t="s">
        <v>8521</v>
      </c>
      <c r="C1445">
        <v>0</v>
      </c>
      <c r="D1445">
        <v>1</v>
      </c>
      <c r="E1445">
        <v>0</v>
      </c>
      <c r="F1445">
        <v>0</v>
      </c>
      <c r="G1445">
        <v>0</v>
      </c>
    </row>
    <row r="1446" spans="1:7" ht="13" x14ac:dyDescent="0.15">
      <c r="A1446" s="2">
        <v>1083163</v>
      </c>
      <c r="B1446" s="12" t="s">
        <v>8522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ht="13" x14ac:dyDescent="0.15">
      <c r="A1447" s="2">
        <v>2375858</v>
      </c>
      <c r="B1447" s="12" t="s">
        <v>8523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ht="13" x14ac:dyDescent="0.15">
      <c r="A1448" s="2">
        <v>1229413</v>
      </c>
      <c r="B1448" s="12" t="s">
        <v>8524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ht="13" x14ac:dyDescent="0.15">
      <c r="A1449" s="2">
        <v>6340730</v>
      </c>
      <c r="B1449" s="12" t="s">
        <v>8525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ht="13" x14ac:dyDescent="0.15">
      <c r="A1450" s="2">
        <v>86734</v>
      </c>
      <c r="B1450" s="12" t="s">
        <v>8526</v>
      </c>
      <c r="C1450">
        <v>1</v>
      </c>
      <c r="D1450">
        <v>1</v>
      </c>
      <c r="E1450">
        <v>0</v>
      </c>
      <c r="F1450">
        <v>0</v>
      </c>
      <c r="G1450">
        <v>0</v>
      </c>
    </row>
    <row r="1451" spans="1:7" ht="13" x14ac:dyDescent="0.15">
      <c r="A1451" s="2">
        <v>361192</v>
      </c>
      <c r="B1451" s="12" t="s">
        <v>8526</v>
      </c>
      <c r="C1451">
        <v>1</v>
      </c>
      <c r="D1451">
        <v>1</v>
      </c>
      <c r="E1451">
        <v>0</v>
      </c>
      <c r="F1451">
        <v>0</v>
      </c>
      <c r="G1451">
        <v>0</v>
      </c>
    </row>
    <row r="1452" spans="1:7" ht="13" x14ac:dyDescent="0.15">
      <c r="A1452" s="2">
        <v>6622316</v>
      </c>
      <c r="B1452" s="12" t="s">
        <v>8527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ht="13" x14ac:dyDescent="0.15">
      <c r="A1453" s="2">
        <v>5248878</v>
      </c>
      <c r="B1453" s="12" t="s">
        <v>8528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ht="13" x14ac:dyDescent="0.15">
      <c r="A1454" s="2">
        <v>379632</v>
      </c>
      <c r="B1454" s="12" t="s">
        <v>8529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ht="13" x14ac:dyDescent="0.15">
      <c r="A1455" s="2">
        <v>2859264</v>
      </c>
      <c r="B1455" s="12" t="s">
        <v>8530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ht="13" x14ac:dyDescent="0.15">
      <c r="A1456" s="2">
        <v>1043775</v>
      </c>
      <c r="B1456" s="12" t="s">
        <v>8531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ht="13" x14ac:dyDescent="0.15">
      <c r="A1457" s="2">
        <v>1420152</v>
      </c>
      <c r="B1457" s="12" t="s">
        <v>8532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ht="13" x14ac:dyDescent="0.15">
      <c r="A1458" s="2">
        <v>4733278</v>
      </c>
      <c r="B1458" s="12" t="s">
        <v>8533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ht="13" x14ac:dyDescent="0.15">
      <c r="A1459" s="2">
        <v>4523638</v>
      </c>
      <c r="B1459" s="12" t="s">
        <v>8534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ht="13" x14ac:dyDescent="0.15">
      <c r="A1460" s="2">
        <v>7186588</v>
      </c>
      <c r="B1460" s="12" t="s">
        <v>8535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ht="13" x14ac:dyDescent="0.15">
      <c r="A1461" s="2">
        <v>2996052</v>
      </c>
      <c r="B1461" s="12" t="s">
        <v>8536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ht="13" x14ac:dyDescent="0.15">
      <c r="A1462" s="2">
        <v>1239443</v>
      </c>
      <c r="B1462" s="12" t="s">
        <v>8537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ht="13" x14ac:dyDescent="0.15">
      <c r="A1463" s="2">
        <v>7979042</v>
      </c>
      <c r="B1463" s="12" t="s">
        <v>8538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ht="13" x14ac:dyDescent="0.15">
      <c r="A1464" s="2">
        <v>6159614</v>
      </c>
      <c r="B1464" s="12" t="s">
        <v>8539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ht="13" x14ac:dyDescent="0.15">
      <c r="A1465" s="2">
        <v>447591</v>
      </c>
      <c r="B1465" s="12" t="s">
        <v>8540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ht="13" x14ac:dyDescent="0.15">
      <c r="A1466" s="2">
        <v>92377</v>
      </c>
      <c r="B1466" s="12" t="s">
        <v>8541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ht="13" x14ac:dyDescent="0.15">
      <c r="A1467" s="2">
        <v>324852</v>
      </c>
      <c r="B1467" s="12" t="s">
        <v>8542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ht="13" x14ac:dyDescent="0.15">
      <c r="A1468" s="2">
        <v>5848038</v>
      </c>
      <c r="B1468" s="12" t="s">
        <v>8543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ht="13" x14ac:dyDescent="0.15">
      <c r="A1469" s="2">
        <v>905579</v>
      </c>
      <c r="B1469" s="12" t="s">
        <v>8544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ht="13" x14ac:dyDescent="0.15">
      <c r="A1470" s="2">
        <v>3181412</v>
      </c>
      <c r="B1470" s="12" t="s">
        <v>8545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ht="13" x14ac:dyDescent="0.15">
      <c r="A1471" s="2">
        <v>101124</v>
      </c>
      <c r="B1471" s="12" t="s">
        <v>8546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ht="13" x14ac:dyDescent="0.15">
      <c r="A1472" s="2">
        <v>9148452</v>
      </c>
      <c r="B1472" s="12" t="s">
        <v>8547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ht="13" x14ac:dyDescent="0.15">
      <c r="A1473" s="2">
        <v>338616</v>
      </c>
      <c r="B1473" s="12" t="s">
        <v>8548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ht="13" x14ac:dyDescent="0.15">
      <c r="A1474" s="2">
        <v>6261554</v>
      </c>
      <c r="B1474" s="12" t="s">
        <v>8549</v>
      </c>
      <c r="C1474">
        <v>1</v>
      </c>
      <c r="D1474">
        <v>0</v>
      </c>
      <c r="E1474">
        <v>0</v>
      </c>
      <c r="F1474">
        <v>0</v>
      </c>
      <c r="G1474">
        <v>0</v>
      </c>
    </row>
    <row r="1475" spans="1:7" ht="13" x14ac:dyDescent="0.15">
      <c r="A1475" s="2">
        <v>129690</v>
      </c>
      <c r="B1475" s="12" t="s">
        <v>8550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ht="13" x14ac:dyDescent="0.15">
      <c r="A1476" s="2">
        <v>4938700</v>
      </c>
      <c r="B1476" s="12" t="s">
        <v>8551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ht="13" x14ac:dyDescent="0.15">
      <c r="A1477" s="2">
        <v>2381215</v>
      </c>
      <c r="B1477" s="12" t="s">
        <v>8552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ht="13" x14ac:dyDescent="0.15">
      <c r="A1478" s="2">
        <v>1614687</v>
      </c>
      <c r="B1478" s="12" t="s">
        <v>8553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ht="13" x14ac:dyDescent="0.15">
      <c r="A1479" s="2">
        <v>5987254</v>
      </c>
      <c r="B1479" s="12" t="s">
        <v>8554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ht="13" x14ac:dyDescent="0.15">
      <c r="A1480" s="2">
        <v>326468</v>
      </c>
      <c r="B1480" s="12" t="s">
        <v>8555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ht="13" x14ac:dyDescent="0.15">
      <c r="A1481" s="2">
        <v>972534</v>
      </c>
      <c r="B1481" s="12" t="s">
        <v>8556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ht="13" x14ac:dyDescent="0.15">
      <c r="A1482" s="2">
        <v>2812850</v>
      </c>
      <c r="B1482" s="12" t="s">
        <v>8557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ht="13" x14ac:dyDescent="0.15">
      <c r="A1483" s="2">
        <v>2177877</v>
      </c>
      <c r="B1483" s="12" t="s">
        <v>8558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ht="13" x14ac:dyDescent="0.15">
      <c r="A1484" s="2">
        <v>1910969</v>
      </c>
      <c r="B1484" s="12" t="s">
        <v>8559</v>
      </c>
      <c r="C1484">
        <v>0</v>
      </c>
      <c r="D1484">
        <v>0</v>
      </c>
      <c r="E1484">
        <v>0</v>
      </c>
      <c r="F1484">
        <v>0</v>
      </c>
      <c r="G1484">
        <v>1</v>
      </c>
    </row>
    <row r="1485" spans="1:7" ht="13" x14ac:dyDescent="0.15">
      <c r="A1485" s="2">
        <v>1542981</v>
      </c>
      <c r="B1485" s="12" t="s">
        <v>8560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ht="13" x14ac:dyDescent="0.15">
      <c r="A1486" s="2">
        <v>1068912</v>
      </c>
      <c r="B1486" s="12" t="s">
        <v>8561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ht="13" x14ac:dyDescent="0.15">
      <c r="A1487" s="2">
        <v>6051216</v>
      </c>
      <c r="B1487" s="12" t="s">
        <v>8562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ht="13" x14ac:dyDescent="0.15">
      <c r="A1488" s="2">
        <v>399977</v>
      </c>
      <c r="B1488" s="12" t="s">
        <v>8563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ht="13" x14ac:dyDescent="0.15">
      <c r="A1489" s="2">
        <v>3532050</v>
      </c>
      <c r="B1489" s="12" t="s">
        <v>8564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ht="13" x14ac:dyDescent="0.15">
      <c r="A1490" s="2">
        <v>3645318</v>
      </c>
      <c r="B1490" s="12" t="s">
        <v>8565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ht="13" x14ac:dyDescent="0.15">
      <c r="A1491" s="2">
        <v>8963470</v>
      </c>
      <c r="B1491" s="12" t="s">
        <v>8566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ht="13" x14ac:dyDescent="0.15">
      <c r="A1492" s="2">
        <v>7105676</v>
      </c>
      <c r="B1492" s="12" t="s">
        <v>8567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ht="13" x14ac:dyDescent="0.15">
      <c r="A1493" s="2">
        <v>486171</v>
      </c>
      <c r="B1493" s="12" t="s">
        <v>8568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ht="13" x14ac:dyDescent="0.15">
      <c r="A1494" s="2">
        <v>1622764</v>
      </c>
      <c r="B1494" s="12" t="s">
        <v>8569</v>
      </c>
      <c r="C1494">
        <v>0</v>
      </c>
      <c r="D1494">
        <v>1</v>
      </c>
      <c r="E1494">
        <v>0</v>
      </c>
      <c r="F1494">
        <v>0</v>
      </c>
      <c r="G1494">
        <v>0</v>
      </c>
    </row>
    <row r="1495" spans="1:7" ht="13" x14ac:dyDescent="0.15">
      <c r="A1495" s="2">
        <v>1734703</v>
      </c>
      <c r="B1495" s="12" t="s">
        <v>8570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ht="13" x14ac:dyDescent="0.15">
      <c r="A1496" s="2">
        <v>1118038</v>
      </c>
      <c r="B1496" s="12" t="s">
        <v>8571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ht="13" x14ac:dyDescent="0.15">
      <c r="A1497" s="2">
        <v>5212822</v>
      </c>
      <c r="B1497" s="12" t="s">
        <v>8572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ht="13" x14ac:dyDescent="0.15">
      <c r="A1498" s="2">
        <v>1010358</v>
      </c>
      <c r="B1498" s="12" t="s">
        <v>8573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ht="13" x14ac:dyDescent="0.15">
      <c r="A1499" s="2">
        <v>2100976</v>
      </c>
      <c r="B1499" s="12" t="s">
        <v>8574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ht="13" x14ac:dyDescent="0.15">
      <c r="A1500" s="2">
        <v>3845452</v>
      </c>
      <c r="B1500" s="12" t="s">
        <v>8574</v>
      </c>
      <c r="C1500">
        <v>1</v>
      </c>
      <c r="D1500">
        <v>0</v>
      </c>
      <c r="E1500">
        <v>0</v>
      </c>
      <c r="F1500">
        <v>0</v>
      </c>
      <c r="G1500">
        <v>0</v>
      </c>
    </row>
    <row r="1501" spans="1:7" ht="13" x14ac:dyDescent="0.15">
      <c r="A1501" s="2">
        <v>6422944</v>
      </c>
      <c r="B1501" s="12" t="s">
        <v>8575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ht="13" x14ac:dyDescent="0.15">
      <c r="A1502" s="2">
        <v>6160506</v>
      </c>
      <c r="B1502" s="12" t="s">
        <v>8576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ht="13" x14ac:dyDescent="0.15">
      <c r="A1503" s="2">
        <v>7572950</v>
      </c>
      <c r="B1503" s="12" t="s">
        <v>8577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ht="13" x14ac:dyDescent="0.15">
      <c r="A1504" s="2">
        <v>4150166</v>
      </c>
      <c r="B1504" s="12" t="s">
        <v>8578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ht="13" x14ac:dyDescent="0.15">
      <c r="A1505" s="2">
        <v>98830</v>
      </c>
      <c r="B1505" s="12" t="s">
        <v>8579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ht="13" x14ac:dyDescent="0.15">
      <c r="A1506" s="2">
        <v>124243</v>
      </c>
      <c r="B1506" s="12" t="s">
        <v>8580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ht="13" x14ac:dyDescent="0.15">
      <c r="A1507" s="2">
        <v>935095</v>
      </c>
      <c r="B1507" s="12" t="s">
        <v>8581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ht="13" x14ac:dyDescent="0.15">
      <c r="A1508" s="2">
        <v>1134897</v>
      </c>
      <c r="B1508" s="12" t="s">
        <v>8582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ht="13" x14ac:dyDescent="0.15">
      <c r="A1509" s="2">
        <v>2239820</v>
      </c>
      <c r="B1509" s="12" t="s">
        <v>8583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ht="13" x14ac:dyDescent="0.15">
      <c r="A1510" s="2">
        <v>4759792</v>
      </c>
      <c r="B1510" s="12" t="s">
        <v>8584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ht="13" x14ac:dyDescent="0.15">
      <c r="A1511" s="2">
        <v>2480514</v>
      </c>
      <c r="B1511" s="12" t="s">
        <v>8585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ht="13" x14ac:dyDescent="0.15">
      <c r="A1512" s="2">
        <v>7464074</v>
      </c>
      <c r="B1512" s="12" t="s">
        <v>8586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ht="13" x14ac:dyDescent="0.15">
      <c r="A1513" s="2">
        <v>1275297</v>
      </c>
      <c r="B1513" s="12" t="s">
        <v>8587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ht="13" x14ac:dyDescent="0.15">
      <c r="A1514" s="2">
        <v>491739</v>
      </c>
      <c r="B1514" s="12" t="s">
        <v>8588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ht="13" x14ac:dyDescent="0.15">
      <c r="A1515" s="2">
        <v>278204</v>
      </c>
      <c r="B1515" s="12" t="s">
        <v>8589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ht="13" x14ac:dyDescent="0.15">
      <c r="A1516" s="2">
        <v>3143788</v>
      </c>
      <c r="B1516" s="12" t="s">
        <v>8590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ht="13" x14ac:dyDescent="0.15">
      <c r="A1517" s="2">
        <v>1064498</v>
      </c>
      <c r="B1517" s="12" t="s">
        <v>8591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ht="13" x14ac:dyDescent="0.15">
      <c r="A1518" s="2">
        <v>9108006</v>
      </c>
      <c r="B1518" s="12" t="s">
        <v>8592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ht="13" x14ac:dyDescent="0.15">
      <c r="A1519" s="2">
        <v>1820966</v>
      </c>
      <c r="B1519" s="12" t="s">
        <v>8593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ht="13" x14ac:dyDescent="0.15">
      <c r="A1520" s="2">
        <v>7161312</v>
      </c>
      <c r="B1520" s="12" t="s">
        <v>8594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ht="13" x14ac:dyDescent="0.15">
      <c r="A1521" s="2">
        <v>90457</v>
      </c>
      <c r="B1521" s="12" t="s">
        <v>8595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ht="13" x14ac:dyDescent="0.15">
      <c r="A1522" s="2">
        <v>1865740</v>
      </c>
      <c r="B1522" s="12" t="s">
        <v>8596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ht="13" x14ac:dyDescent="0.15">
      <c r="A1523" s="2">
        <v>1315267</v>
      </c>
      <c r="B1523" s="12" t="s">
        <v>8597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ht="13" x14ac:dyDescent="0.15">
      <c r="A1524" s="2">
        <v>415432</v>
      </c>
      <c r="B1524" s="12" t="s">
        <v>8598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ht="13" x14ac:dyDescent="0.15">
      <c r="A1525" s="2">
        <v>6487482</v>
      </c>
      <c r="B1525" s="12" t="s">
        <v>8599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ht="13" x14ac:dyDescent="0.15">
      <c r="A1526" s="2">
        <v>1083166</v>
      </c>
      <c r="B1526" s="12" t="s">
        <v>8600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ht="13" x14ac:dyDescent="0.15">
      <c r="A1527" s="2">
        <v>8010592</v>
      </c>
      <c r="B1527" s="12" t="s">
        <v>8601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ht="13" x14ac:dyDescent="0.15">
      <c r="A1528" s="2">
        <v>6205862</v>
      </c>
      <c r="B1528" s="12" t="s">
        <v>8602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ht="13" x14ac:dyDescent="0.15">
      <c r="A1529" s="2">
        <v>2674806</v>
      </c>
      <c r="B1529" s="12" t="s">
        <v>8603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ht="13" x14ac:dyDescent="0.15">
      <c r="A1530" s="2">
        <v>6529388</v>
      </c>
      <c r="B1530" s="12" t="s">
        <v>8604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ht="13" x14ac:dyDescent="0.15">
      <c r="A1531" s="2">
        <v>85033</v>
      </c>
      <c r="B1531" s="12" t="s">
        <v>8605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ht="13" x14ac:dyDescent="0.15">
      <c r="A1532" s="2">
        <v>3910690</v>
      </c>
      <c r="B1532" s="12" t="s">
        <v>8605</v>
      </c>
      <c r="C1532">
        <v>1</v>
      </c>
      <c r="D1532">
        <v>0</v>
      </c>
      <c r="E1532">
        <v>0</v>
      </c>
      <c r="F1532">
        <v>0</v>
      </c>
      <c r="G1532">
        <v>0</v>
      </c>
    </row>
    <row r="1533" spans="1:7" ht="13" x14ac:dyDescent="0.15">
      <c r="A1533" s="2">
        <v>1430509</v>
      </c>
      <c r="B1533" s="12" t="s">
        <v>8606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ht="13" x14ac:dyDescent="0.15">
      <c r="A1534" s="2">
        <v>874608</v>
      </c>
      <c r="B1534" s="12" t="s">
        <v>8607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ht="13" x14ac:dyDescent="0.15">
      <c r="A1535" s="2">
        <v>92379</v>
      </c>
      <c r="B1535" s="12" t="s">
        <v>8608</v>
      </c>
      <c r="C1535">
        <v>0</v>
      </c>
      <c r="D1535">
        <v>1</v>
      </c>
      <c r="E1535">
        <v>0</v>
      </c>
      <c r="F1535">
        <v>0</v>
      </c>
      <c r="G1535">
        <v>0</v>
      </c>
    </row>
    <row r="1536" spans="1:7" ht="13" x14ac:dyDescent="0.15">
      <c r="A1536" s="2">
        <v>2545498</v>
      </c>
      <c r="B1536" s="12" t="s">
        <v>8609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ht="13" x14ac:dyDescent="0.15">
      <c r="A1537" s="2">
        <v>4124758</v>
      </c>
      <c r="B1537" s="12" t="s">
        <v>8610</v>
      </c>
      <c r="C1537">
        <v>0</v>
      </c>
      <c r="D1537">
        <v>1</v>
      </c>
      <c r="E1537">
        <v>0</v>
      </c>
      <c r="F1537">
        <v>0</v>
      </c>
      <c r="G1537">
        <v>0</v>
      </c>
    </row>
    <row r="1538" spans="1:7" ht="13" x14ac:dyDescent="0.15">
      <c r="A1538" s="2">
        <v>1727565</v>
      </c>
      <c r="B1538" s="12" t="s">
        <v>8611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ht="13" x14ac:dyDescent="0.15">
      <c r="A1539" s="2">
        <v>5539060</v>
      </c>
      <c r="B1539" s="12" t="s">
        <v>8612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ht="13" x14ac:dyDescent="0.15">
      <c r="A1540" s="2">
        <v>2693776</v>
      </c>
      <c r="B1540" s="12" t="s">
        <v>8613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ht="13" x14ac:dyDescent="0.15">
      <c r="A1541" s="2">
        <v>450920</v>
      </c>
      <c r="B1541" s="12" t="s">
        <v>8614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ht="13" x14ac:dyDescent="0.15">
      <c r="A1542" s="2">
        <v>8427140</v>
      </c>
      <c r="B1542" s="12" t="s">
        <v>8615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ht="13" x14ac:dyDescent="0.15">
      <c r="A1543" s="2">
        <v>104523</v>
      </c>
      <c r="B1543" s="12" t="s">
        <v>8616</v>
      </c>
      <c r="C1543">
        <v>0</v>
      </c>
      <c r="D1543">
        <v>1</v>
      </c>
      <c r="E1543">
        <v>0</v>
      </c>
      <c r="F1543">
        <v>0</v>
      </c>
      <c r="G1543">
        <v>0</v>
      </c>
    </row>
    <row r="1544" spans="1:7" ht="13" x14ac:dyDescent="0.15">
      <c r="A1544" s="2">
        <v>290223</v>
      </c>
      <c r="B1544" s="12" t="s">
        <v>8617</v>
      </c>
      <c r="C1544">
        <v>0</v>
      </c>
      <c r="D1544">
        <v>1</v>
      </c>
      <c r="E1544">
        <v>0</v>
      </c>
      <c r="F1544">
        <v>0</v>
      </c>
      <c r="G1544">
        <v>0</v>
      </c>
    </row>
    <row r="1545" spans="1:7" ht="13" x14ac:dyDescent="0.15">
      <c r="A1545" s="2">
        <v>235923</v>
      </c>
      <c r="B1545" s="12" t="s">
        <v>8618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ht="13" x14ac:dyDescent="0.15">
      <c r="A1546" s="2">
        <v>460651</v>
      </c>
      <c r="B1546" s="12" t="s">
        <v>8619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ht="13" x14ac:dyDescent="0.15">
      <c r="A1547" s="2">
        <v>161718</v>
      </c>
      <c r="B1547" s="12" t="s">
        <v>8620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ht="13" x14ac:dyDescent="0.15">
      <c r="A1548" s="2">
        <v>9373836</v>
      </c>
      <c r="B1548" s="12" t="s">
        <v>8621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ht="13" x14ac:dyDescent="0.15">
      <c r="A1549" s="2">
        <v>90458</v>
      </c>
      <c r="B1549" s="12" t="s">
        <v>8622</v>
      </c>
      <c r="C1549">
        <v>1</v>
      </c>
      <c r="D1549">
        <v>0</v>
      </c>
      <c r="E1549">
        <v>0</v>
      </c>
      <c r="F1549">
        <v>0</v>
      </c>
      <c r="G1549">
        <v>0</v>
      </c>
    </row>
    <row r="1550" spans="1:7" ht="13" x14ac:dyDescent="0.15">
      <c r="A1550" s="2">
        <v>3322310</v>
      </c>
      <c r="B1550" s="12" t="s">
        <v>8623</v>
      </c>
      <c r="C1550">
        <v>0</v>
      </c>
      <c r="D1550">
        <v>1</v>
      </c>
      <c r="E1550">
        <v>0</v>
      </c>
      <c r="F1550">
        <v>0</v>
      </c>
      <c r="G1550">
        <v>0</v>
      </c>
    </row>
    <row r="1551" spans="1:7" ht="13" x14ac:dyDescent="0.15">
      <c r="A1551" s="2">
        <v>1707807</v>
      </c>
      <c r="B1551" s="12" t="s">
        <v>8624</v>
      </c>
      <c r="C1551">
        <v>0</v>
      </c>
      <c r="D1551">
        <v>1</v>
      </c>
      <c r="E1551">
        <v>0</v>
      </c>
      <c r="F1551">
        <v>0</v>
      </c>
      <c r="G1551">
        <v>0</v>
      </c>
    </row>
    <row r="1552" spans="1:7" ht="13" x14ac:dyDescent="0.15">
      <c r="A1552" s="2">
        <v>837143</v>
      </c>
      <c r="B1552" s="12" t="s">
        <v>8625</v>
      </c>
      <c r="C1552">
        <v>0</v>
      </c>
      <c r="D1552">
        <v>1</v>
      </c>
      <c r="E1552">
        <v>0</v>
      </c>
      <c r="F1552">
        <v>0</v>
      </c>
      <c r="G1552">
        <v>0</v>
      </c>
    </row>
    <row r="1553" spans="1:7" ht="13" x14ac:dyDescent="0.15">
      <c r="A1553" s="2">
        <v>1845515</v>
      </c>
      <c r="B1553" s="12" t="s">
        <v>8626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ht="13" x14ac:dyDescent="0.15">
      <c r="A1554" s="2">
        <v>2011533</v>
      </c>
      <c r="B1554" s="12" t="s">
        <v>8627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ht="13" x14ac:dyDescent="0.15">
      <c r="A1555" s="2">
        <v>3919918</v>
      </c>
      <c r="B1555" s="12" t="s">
        <v>8628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ht="13" x14ac:dyDescent="0.15">
      <c r="A1556" s="2">
        <v>2269898</v>
      </c>
      <c r="B1556" s="12" t="s">
        <v>8629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ht="13" x14ac:dyDescent="0.15">
      <c r="A1557" s="2">
        <v>2811844</v>
      </c>
      <c r="B1557" s="12" t="s">
        <v>8630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ht="13" x14ac:dyDescent="0.15">
      <c r="A1558" s="2">
        <v>4202570</v>
      </c>
      <c r="B1558" s="12" t="s">
        <v>8631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ht="13" x14ac:dyDescent="0.15">
      <c r="A1559" s="2">
        <v>5701188</v>
      </c>
      <c r="B1559" s="12" t="s">
        <v>8632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ht="13" x14ac:dyDescent="0.15">
      <c r="A1560" s="2">
        <v>366034</v>
      </c>
      <c r="B1560" s="12" t="s">
        <v>8633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ht="13" x14ac:dyDescent="0.15">
      <c r="A1561" s="2">
        <v>472954</v>
      </c>
      <c r="B1561" s="12" t="s">
        <v>8634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ht="13" x14ac:dyDescent="0.15">
      <c r="A1562" s="2">
        <v>482295</v>
      </c>
      <c r="B1562" s="12" t="s">
        <v>8635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ht="13" x14ac:dyDescent="0.15">
      <c r="A1563" s="2">
        <v>112021</v>
      </c>
      <c r="B1563" s="12" t="s">
        <v>8636</v>
      </c>
      <c r="C1563">
        <v>0</v>
      </c>
      <c r="D1563">
        <v>1</v>
      </c>
      <c r="E1563">
        <v>0</v>
      </c>
      <c r="F1563">
        <v>0</v>
      </c>
      <c r="G1563">
        <v>0</v>
      </c>
    </row>
    <row r="1564" spans="1:7" ht="13" x14ac:dyDescent="0.15">
      <c r="A1564" s="2">
        <v>3501584</v>
      </c>
      <c r="B1564" s="12" t="s">
        <v>8637</v>
      </c>
      <c r="C1564">
        <v>0</v>
      </c>
      <c r="D1564">
        <v>1</v>
      </c>
      <c r="E1564">
        <v>0</v>
      </c>
      <c r="F1564">
        <v>0</v>
      </c>
      <c r="G1564">
        <v>0</v>
      </c>
    </row>
    <row r="1565" spans="1:7" ht="13" x14ac:dyDescent="0.15">
      <c r="A1565" s="2">
        <v>3173854</v>
      </c>
      <c r="B1565" s="12" t="s">
        <v>8638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ht="13" x14ac:dyDescent="0.15">
      <c r="A1566" s="2">
        <v>410997</v>
      </c>
      <c r="B1566" s="12" t="s">
        <v>8639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ht="13" x14ac:dyDescent="0.15">
      <c r="A1567" s="2">
        <v>220906</v>
      </c>
      <c r="B1567" s="12" t="s">
        <v>8640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ht="13" x14ac:dyDescent="0.15">
      <c r="A1568" s="2">
        <v>7453996</v>
      </c>
      <c r="B1568" s="12" t="s">
        <v>8641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ht="13" x14ac:dyDescent="0.15">
      <c r="A1569" s="2">
        <v>264263</v>
      </c>
      <c r="B1569" s="12" t="s">
        <v>8642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ht="13" x14ac:dyDescent="0.15">
      <c r="A1570" s="2">
        <v>259141</v>
      </c>
      <c r="B1570" s="12" t="s">
        <v>8643</v>
      </c>
      <c r="C1570">
        <v>0</v>
      </c>
      <c r="D1570">
        <v>0</v>
      </c>
      <c r="E1570">
        <v>0</v>
      </c>
      <c r="F1570">
        <v>0</v>
      </c>
      <c r="G1570">
        <v>1</v>
      </c>
    </row>
    <row r="1571" spans="1:7" ht="13" x14ac:dyDescent="0.15">
      <c r="A1571" s="2">
        <v>112022</v>
      </c>
      <c r="B1571" s="12" t="s">
        <v>8644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ht="13" x14ac:dyDescent="0.15">
      <c r="A1572" s="2">
        <v>381772</v>
      </c>
      <c r="B1572" s="12" t="s">
        <v>8645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ht="13" x14ac:dyDescent="0.15">
      <c r="A1573" s="2">
        <v>283744</v>
      </c>
      <c r="B1573" s="12" t="s">
        <v>8646</v>
      </c>
      <c r="C1573">
        <v>0</v>
      </c>
      <c r="D1573">
        <v>0</v>
      </c>
      <c r="E1573">
        <v>0</v>
      </c>
      <c r="F1573">
        <v>1</v>
      </c>
      <c r="G1573">
        <v>0</v>
      </c>
    </row>
    <row r="1574" spans="1:7" ht="13" x14ac:dyDescent="0.15">
      <c r="A1574" s="2">
        <v>3772506</v>
      </c>
      <c r="B1574" s="12" t="s">
        <v>8647</v>
      </c>
      <c r="C1574">
        <v>1</v>
      </c>
      <c r="D1574">
        <v>0</v>
      </c>
      <c r="E1574">
        <v>0</v>
      </c>
      <c r="F1574">
        <v>0</v>
      </c>
      <c r="G1574">
        <v>0</v>
      </c>
    </row>
    <row r="1575" spans="1:7" ht="13" x14ac:dyDescent="0.15">
      <c r="A1575" s="2">
        <v>1750269</v>
      </c>
      <c r="B1575" s="12" t="s">
        <v>8648</v>
      </c>
      <c r="C1575">
        <v>1</v>
      </c>
      <c r="D1575">
        <v>0</v>
      </c>
      <c r="E1575">
        <v>0</v>
      </c>
      <c r="F1575">
        <v>0</v>
      </c>
      <c r="G1575">
        <v>0</v>
      </c>
    </row>
    <row r="1576" spans="1:7" ht="13" x14ac:dyDescent="0.15">
      <c r="A1576" s="2">
        <v>7467436</v>
      </c>
      <c r="B1576" s="12" t="s">
        <v>8649</v>
      </c>
      <c r="C1576">
        <v>0</v>
      </c>
      <c r="D1576">
        <v>1</v>
      </c>
      <c r="E1576">
        <v>0</v>
      </c>
      <c r="F1576">
        <v>0</v>
      </c>
      <c r="G1576">
        <v>0</v>
      </c>
    </row>
    <row r="1577" spans="1:7" ht="13" x14ac:dyDescent="0.15">
      <c r="A1577" s="2">
        <v>5650650</v>
      </c>
      <c r="B1577" s="12" t="s">
        <v>8650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ht="13" x14ac:dyDescent="0.15">
      <c r="A1578" s="2">
        <v>1724448</v>
      </c>
      <c r="B1578" s="12" t="s">
        <v>8651</v>
      </c>
      <c r="C1578">
        <v>1</v>
      </c>
      <c r="D1578">
        <v>0</v>
      </c>
      <c r="E1578">
        <v>0</v>
      </c>
      <c r="F1578">
        <v>0</v>
      </c>
      <c r="G1578">
        <v>0</v>
      </c>
    </row>
    <row r="1579" spans="1:7" ht="13" x14ac:dyDescent="0.15">
      <c r="A1579" s="2">
        <v>899033</v>
      </c>
      <c r="B1579" s="12" t="s">
        <v>8652</v>
      </c>
      <c r="C1579">
        <v>1</v>
      </c>
      <c r="D1579">
        <v>0</v>
      </c>
      <c r="E1579">
        <v>0</v>
      </c>
      <c r="F1579">
        <v>0</v>
      </c>
      <c r="G1579">
        <v>0</v>
      </c>
    </row>
    <row r="1580" spans="1:7" ht="13" x14ac:dyDescent="0.15">
      <c r="A1580" s="2">
        <v>3224428</v>
      </c>
      <c r="B1580" s="12" t="s">
        <v>8653</v>
      </c>
      <c r="C1580">
        <v>1</v>
      </c>
      <c r="D1580">
        <v>0</v>
      </c>
      <c r="E1580">
        <v>0</v>
      </c>
      <c r="F1580">
        <v>0</v>
      </c>
      <c r="G1580">
        <v>0</v>
      </c>
    </row>
    <row r="1581" spans="1:7" ht="13" x14ac:dyDescent="0.15">
      <c r="A1581" s="2">
        <v>5073676</v>
      </c>
      <c r="B1581" s="12" t="s">
        <v>8654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ht="13" x14ac:dyDescent="0.15">
      <c r="A1582" s="2">
        <v>10140166</v>
      </c>
      <c r="B1582" s="12" t="s">
        <v>8655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ht="13" x14ac:dyDescent="0.15">
      <c r="A1583" s="2">
        <v>11483252</v>
      </c>
      <c r="B1583" s="12" t="s">
        <v>8656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ht="13" x14ac:dyDescent="0.15">
      <c r="A1584" s="2">
        <v>83432</v>
      </c>
      <c r="B1584" s="12" t="s">
        <v>8657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ht="13" x14ac:dyDescent="0.15">
      <c r="A1585" s="2">
        <v>3566726</v>
      </c>
      <c r="B1585" s="12" t="s">
        <v>8658</v>
      </c>
      <c r="C1585">
        <v>0</v>
      </c>
      <c r="D1585">
        <v>0</v>
      </c>
      <c r="E1585">
        <v>0</v>
      </c>
      <c r="F1585">
        <v>0</v>
      </c>
      <c r="G1585">
        <v>1</v>
      </c>
    </row>
    <row r="1586" spans="1:7" ht="13" x14ac:dyDescent="0.15">
      <c r="A1586" s="2">
        <v>2645122</v>
      </c>
      <c r="B1586" s="12" t="s">
        <v>8659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ht="13" x14ac:dyDescent="0.15">
      <c r="A1587" s="2">
        <v>98833</v>
      </c>
      <c r="B1587" s="12" t="s">
        <v>8660</v>
      </c>
      <c r="C1587">
        <v>0</v>
      </c>
      <c r="D1587">
        <v>1</v>
      </c>
      <c r="E1587">
        <v>0</v>
      </c>
      <c r="F1587">
        <v>0</v>
      </c>
      <c r="G1587">
        <v>0</v>
      </c>
    </row>
    <row r="1588" spans="1:7" ht="13" x14ac:dyDescent="0.15">
      <c r="A1588" s="2">
        <v>7606850</v>
      </c>
      <c r="B1588" s="12" t="s">
        <v>8661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ht="13" x14ac:dyDescent="0.15">
      <c r="A1589" s="2">
        <v>90461</v>
      </c>
      <c r="B1589" s="12" t="s">
        <v>8662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ht="13" x14ac:dyDescent="0.15">
      <c r="A1590" s="2">
        <v>805663</v>
      </c>
      <c r="B1590" s="12" t="s">
        <v>8663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ht="13" x14ac:dyDescent="0.15">
      <c r="A1591" s="2">
        <v>1563069</v>
      </c>
      <c r="B1591" s="12" t="s">
        <v>8664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ht="13" x14ac:dyDescent="0.15">
      <c r="A1592" s="2">
        <v>7686456</v>
      </c>
      <c r="B1592" s="12" t="s">
        <v>8665</v>
      </c>
      <c r="C1592">
        <v>1</v>
      </c>
      <c r="D1592">
        <v>0</v>
      </c>
      <c r="E1592">
        <v>0</v>
      </c>
      <c r="F1592">
        <v>0</v>
      </c>
      <c r="G1592">
        <v>0</v>
      </c>
    </row>
    <row r="1593" spans="1:7" ht="13" x14ac:dyDescent="0.15">
      <c r="A1593" s="2">
        <v>1583417</v>
      </c>
      <c r="B1593" s="12" t="s">
        <v>8666</v>
      </c>
      <c r="C1593">
        <v>1</v>
      </c>
      <c r="D1593">
        <v>0</v>
      </c>
      <c r="E1593">
        <v>0</v>
      </c>
      <c r="F1593">
        <v>0</v>
      </c>
      <c r="G1593">
        <v>0</v>
      </c>
    </row>
    <row r="1594" spans="1:7" ht="13" x14ac:dyDescent="0.15">
      <c r="A1594" s="2">
        <v>2357547</v>
      </c>
      <c r="B1594" s="12" t="s">
        <v>8667</v>
      </c>
      <c r="C1594">
        <v>1</v>
      </c>
      <c r="D1594">
        <v>1</v>
      </c>
      <c r="E1594">
        <v>0</v>
      </c>
      <c r="F1594">
        <v>0</v>
      </c>
      <c r="G1594">
        <v>0</v>
      </c>
    </row>
    <row r="1595" spans="1:7" ht="13" x14ac:dyDescent="0.15">
      <c r="A1595" s="2">
        <v>1865769</v>
      </c>
      <c r="B1595" s="12" t="s">
        <v>8668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ht="13" x14ac:dyDescent="0.15">
      <c r="A1596" s="2">
        <v>387749</v>
      </c>
      <c r="B1596" s="12" t="s">
        <v>8669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ht="13" x14ac:dyDescent="0.15">
      <c r="A1597" s="2">
        <v>1233987</v>
      </c>
      <c r="B1597" s="12" t="s">
        <v>8670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ht="13" x14ac:dyDescent="0.15">
      <c r="A1598" s="2">
        <v>5402696</v>
      </c>
      <c r="B1598" s="12" t="s">
        <v>8671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ht="13" x14ac:dyDescent="0.15">
      <c r="A1599" s="2">
        <v>1387904</v>
      </c>
      <c r="B1599" s="12" t="s">
        <v>8672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ht="13" x14ac:dyDescent="0.15">
      <c r="A1600" s="2">
        <v>7214012</v>
      </c>
      <c r="B1600" s="12" t="s">
        <v>8673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ht="13" x14ac:dyDescent="0.15">
      <c r="A1601" s="2">
        <v>7065782</v>
      </c>
      <c r="B1601" s="12" t="s">
        <v>8674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ht="13" x14ac:dyDescent="0.15">
      <c r="A1602" s="2">
        <v>367345</v>
      </c>
      <c r="B1602" s="12" t="s">
        <v>8675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ht="13" x14ac:dyDescent="0.15">
      <c r="A1603" s="2">
        <v>1129401</v>
      </c>
      <c r="B1603" s="12" t="s">
        <v>8676</v>
      </c>
      <c r="C1603">
        <v>0</v>
      </c>
      <c r="D1603">
        <v>1</v>
      </c>
      <c r="E1603">
        <v>0</v>
      </c>
      <c r="F1603">
        <v>0</v>
      </c>
      <c r="G1603">
        <v>0</v>
      </c>
    </row>
    <row r="1604" spans="1:7" ht="13" x14ac:dyDescent="0.15">
      <c r="A1604" s="2">
        <v>348949</v>
      </c>
      <c r="B1604" s="12" t="s">
        <v>8677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ht="13" x14ac:dyDescent="0.15">
      <c r="A1605" s="2">
        <v>375355</v>
      </c>
      <c r="B1605" s="12" t="s">
        <v>8678</v>
      </c>
      <c r="C1605">
        <v>1</v>
      </c>
      <c r="D1605">
        <v>0</v>
      </c>
      <c r="E1605">
        <v>0</v>
      </c>
      <c r="F1605">
        <v>0</v>
      </c>
      <c r="G1605">
        <v>0</v>
      </c>
    </row>
    <row r="1606" spans="1:7" ht="13" x14ac:dyDescent="0.15">
      <c r="A1606" s="2">
        <v>423675</v>
      </c>
      <c r="B1606" s="12" t="s">
        <v>8679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ht="13" x14ac:dyDescent="0.15">
      <c r="A1607" s="2">
        <v>118360</v>
      </c>
      <c r="B1607" s="12" t="s">
        <v>8680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ht="13" x14ac:dyDescent="0.15">
      <c r="A1608" s="2">
        <v>454349</v>
      </c>
      <c r="B1608" s="12" t="s">
        <v>8681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ht="13" x14ac:dyDescent="0.15">
      <c r="A1609" s="2">
        <v>1124348</v>
      </c>
      <c r="B1609" s="12" t="s">
        <v>8682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ht="13" x14ac:dyDescent="0.15">
      <c r="A1610" s="2">
        <v>1717343</v>
      </c>
      <c r="B1610" s="12" t="s">
        <v>8683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ht="13" x14ac:dyDescent="0.15">
      <c r="A1611" s="2">
        <v>1668121</v>
      </c>
      <c r="B1611" s="12" t="s">
        <v>8684</v>
      </c>
      <c r="C1611">
        <v>0</v>
      </c>
      <c r="D1611">
        <v>1</v>
      </c>
      <c r="E1611">
        <v>0</v>
      </c>
      <c r="F1611">
        <v>0</v>
      </c>
      <c r="G1611">
        <v>0</v>
      </c>
    </row>
    <row r="1612" spans="1:7" ht="13" x14ac:dyDescent="0.15">
      <c r="A1612" s="2">
        <v>1268955</v>
      </c>
      <c r="B1612" s="12" t="s">
        <v>8685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ht="13" x14ac:dyDescent="0.15">
      <c r="A1613" s="2">
        <v>118363</v>
      </c>
      <c r="B1613" s="12" t="s">
        <v>8686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ht="13" x14ac:dyDescent="0.15">
      <c r="A1614" s="2">
        <v>88546</v>
      </c>
      <c r="B1614" s="12" t="s">
        <v>8687</v>
      </c>
      <c r="C1614">
        <v>0</v>
      </c>
      <c r="D1614">
        <v>1</v>
      </c>
      <c r="E1614">
        <v>0</v>
      </c>
      <c r="F1614">
        <v>0</v>
      </c>
      <c r="G1614">
        <v>0</v>
      </c>
    </row>
    <row r="1615" spans="1:7" ht="13" x14ac:dyDescent="0.15">
      <c r="A1615" s="2">
        <v>2309405</v>
      </c>
      <c r="B1615" s="12" t="s">
        <v>8688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ht="13" x14ac:dyDescent="0.15">
      <c r="A1616" s="2">
        <v>3602794</v>
      </c>
      <c r="B1616" s="12" t="s">
        <v>8689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ht="13" x14ac:dyDescent="0.15">
      <c r="A1617" s="2">
        <v>302128</v>
      </c>
      <c r="B1617" s="12" t="s">
        <v>8690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ht="13" x14ac:dyDescent="0.15">
      <c r="A1618" s="2">
        <v>115227</v>
      </c>
      <c r="B1618" s="12" t="s">
        <v>8691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ht="13" x14ac:dyDescent="0.15">
      <c r="A1619" s="2">
        <v>3953642</v>
      </c>
      <c r="B1619" s="12" t="s">
        <v>8692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ht="13" x14ac:dyDescent="0.15">
      <c r="A1620" s="2">
        <v>8810176</v>
      </c>
      <c r="B1620" s="12" t="s">
        <v>8693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ht="13" x14ac:dyDescent="0.15">
      <c r="A1621" s="2">
        <v>209069</v>
      </c>
      <c r="B1621" s="12" t="s">
        <v>8694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ht="13" x14ac:dyDescent="0.15">
      <c r="A1622" s="2">
        <v>80234</v>
      </c>
      <c r="B1622" s="12" t="s">
        <v>8695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ht="13" x14ac:dyDescent="0.15">
      <c r="A1623" s="2">
        <v>278208</v>
      </c>
      <c r="B1623" s="12" t="s">
        <v>8696</v>
      </c>
      <c r="C1623">
        <v>1</v>
      </c>
      <c r="D1623">
        <v>0</v>
      </c>
      <c r="E1623">
        <v>0</v>
      </c>
      <c r="F1623">
        <v>0</v>
      </c>
      <c r="G1623">
        <v>0</v>
      </c>
    </row>
    <row r="1624" spans="1:7" ht="13" x14ac:dyDescent="0.15">
      <c r="A1624" s="2">
        <v>1443631</v>
      </c>
      <c r="B1624" s="12" t="s">
        <v>8697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ht="13" x14ac:dyDescent="0.15">
      <c r="A1625" s="2">
        <v>7625750</v>
      </c>
      <c r="B1625" s="12" t="s">
        <v>8698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ht="13" x14ac:dyDescent="0.15">
      <c r="A1626" s="2">
        <v>4764376</v>
      </c>
      <c r="B1626" s="12" t="s">
        <v>8699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ht="13" x14ac:dyDescent="0.15">
      <c r="A1627" s="2">
        <v>2121976</v>
      </c>
      <c r="B1627" s="12" t="s">
        <v>8700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ht="13" x14ac:dyDescent="0.15">
      <c r="A1628" s="2">
        <v>3952746</v>
      </c>
      <c r="B1628" s="12" t="s">
        <v>8701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ht="13" x14ac:dyDescent="0.15">
      <c r="A1629" s="2">
        <v>85040</v>
      </c>
      <c r="B1629" s="12" t="s">
        <v>8702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ht="13" x14ac:dyDescent="0.15">
      <c r="A1630" s="2">
        <v>486935</v>
      </c>
      <c r="B1630" s="12" t="s">
        <v>8703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ht="13" x14ac:dyDescent="0.15">
      <c r="A1631" s="2">
        <v>118364</v>
      </c>
      <c r="B1631" s="12" t="s">
        <v>8704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ht="13" x14ac:dyDescent="0.15">
      <c r="A1632" s="2">
        <v>94490</v>
      </c>
      <c r="B1632" s="12" t="s">
        <v>8705</v>
      </c>
      <c r="C1632">
        <v>1</v>
      </c>
      <c r="D1632">
        <v>0</v>
      </c>
      <c r="E1632">
        <v>0</v>
      </c>
      <c r="F1632">
        <v>0</v>
      </c>
      <c r="G1632">
        <v>0</v>
      </c>
    </row>
    <row r="1633" spans="1:7" ht="13" x14ac:dyDescent="0.15">
      <c r="A1633" s="2">
        <v>275137</v>
      </c>
      <c r="B1633" s="12" t="s">
        <v>8706</v>
      </c>
      <c r="C1633">
        <v>0</v>
      </c>
      <c r="D1633">
        <v>1</v>
      </c>
      <c r="E1633">
        <v>0</v>
      </c>
      <c r="F1633">
        <v>0</v>
      </c>
      <c r="G1633">
        <v>0</v>
      </c>
    </row>
    <row r="1634" spans="1:7" ht="13" x14ac:dyDescent="0.15">
      <c r="A1634" s="2">
        <v>5419200</v>
      </c>
      <c r="B1634" s="12" t="s">
        <v>8707</v>
      </c>
      <c r="C1634">
        <v>1</v>
      </c>
      <c r="D1634">
        <v>1</v>
      </c>
      <c r="E1634">
        <v>0</v>
      </c>
      <c r="F1634">
        <v>0</v>
      </c>
      <c r="G1634">
        <v>0</v>
      </c>
    </row>
    <row r="1635" spans="1:7" ht="13" x14ac:dyDescent="0.15">
      <c r="A1635" s="2">
        <v>6025022</v>
      </c>
      <c r="B1635" s="12" t="s">
        <v>8708</v>
      </c>
      <c r="C1635">
        <v>1</v>
      </c>
      <c r="D1635">
        <v>1</v>
      </c>
      <c r="E1635">
        <v>0</v>
      </c>
      <c r="F1635">
        <v>0</v>
      </c>
      <c r="G1635">
        <v>0</v>
      </c>
    </row>
    <row r="1636" spans="1:7" ht="13" x14ac:dyDescent="0.15">
      <c r="A1636" s="2">
        <v>1489428</v>
      </c>
      <c r="B1636" s="12" t="s">
        <v>8709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ht="13" x14ac:dyDescent="0.15">
      <c r="A1637" s="2">
        <v>364822</v>
      </c>
      <c r="B1637" s="12" t="s">
        <v>8710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ht="13" x14ac:dyDescent="0.15">
      <c r="A1638" s="2">
        <v>1410218</v>
      </c>
      <c r="B1638" s="12" t="s">
        <v>8711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ht="13" x14ac:dyDescent="0.15">
      <c r="A1639" s="2">
        <v>3598030</v>
      </c>
      <c r="B1639" s="12" t="s">
        <v>8712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ht="13" x14ac:dyDescent="0.15">
      <c r="A1640" s="2">
        <v>85042</v>
      </c>
      <c r="B1640" s="12" t="s">
        <v>8713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ht="13" x14ac:dyDescent="0.15">
      <c r="A1641" s="2">
        <v>7577944</v>
      </c>
      <c r="B1641" s="12" t="s">
        <v>8714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ht="13" x14ac:dyDescent="0.15">
      <c r="A1642" s="2">
        <v>6520924</v>
      </c>
      <c r="B1642" s="12" t="s">
        <v>8715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ht="13" x14ac:dyDescent="0.15">
      <c r="A1643" s="2">
        <v>7224688</v>
      </c>
      <c r="B1643" s="12" t="s">
        <v>8716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ht="13" x14ac:dyDescent="0.15">
      <c r="A1644" s="2">
        <v>4190732</v>
      </c>
      <c r="B1644" s="12" t="s">
        <v>8717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ht="13" x14ac:dyDescent="0.15">
      <c r="A1645" s="2">
        <v>1216124</v>
      </c>
      <c r="B1645" s="12" t="s">
        <v>8718</v>
      </c>
      <c r="C1645">
        <v>0</v>
      </c>
      <c r="D1645">
        <v>1</v>
      </c>
      <c r="E1645">
        <v>1</v>
      </c>
      <c r="F1645">
        <v>0</v>
      </c>
      <c r="G1645">
        <v>0</v>
      </c>
    </row>
    <row r="1646" spans="1:7" ht="13" x14ac:dyDescent="0.15">
      <c r="A1646" s="2">
        <v>167628</v>
      </c>
      <c r="B1646" s="12" t="s">
        <v>8719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ht="13" x14ac:dyDescent="0.15">
      <c r="A1647" s="2">
        <v>7383550</v>
      </c>
      <c r="B1647" s="12" t="s">
        <v>8720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ht="13" x14ac:dyDescent="0.15">
      <c r="A1648" s="2">
        <v>5974778</v>
      </c>
      <c r="B1648" s="12" t="s">
        <v>8721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ht="13" x14ac:dyDescent="0.15">
      <c r="A1649" s="2">
        <v>972661</v>
      </c>
      <c r="B1649" s="12" t="s">
        <v>8722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ht="13" x14ac:dyDescent="0.15">
      <c r="A1650" s="2">
        <v>86742</v>
      </c>
      <c r="B1650" s="12" t="s">
        <v>8723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ht="13" x14ac:dyDescent="0.15">
      <c r="A1651" s="2">
        <v>4238240</v>
      </c>
      <c r="B1651" s="12" t="s">
        <v>8724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ht="13" x14ac:dyDescent="0.15">
      <c r="A1652" s="2">
        <v>476916</v>
      </c>
      <c r="B1652" s="12" t="s">
        <v>8725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ht="13" x14ac:dyDescent="0.15">
      <c r="A1653" s="2">
        <v>7643646</v>
      </c>
      <c r="B1653" s="12" t="s">
        <v>8726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ht="13" x14ac:dyDescent="0.15">
      <c r="A1654" s="2">
        <v>108826</v>
      </c>
      <c r="B1654" s="12" t="s">
        <v>8727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ht="13" x14ac:dyDescent="0.15">
      <c r="A1655" s="2">
        <v>7132886</v>
      </c>
      <c r="B1655" s="12" t="s">
        <v>8728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ht="13" x14ac:dyDescent="0.15">
      <c r="A1656" s="2">
        <v>4204648</v>
      </c>
      <c r="B1656" s="12" t="s">
        <v>8729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ht="13" x14ac:dyDescent="0.15">
      <c r="A1657" s="2">
        <v>6658720</v>
      </c>
      <c r="B1657" s="12" t="s">
        <v>8730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ht="13" x14ac:dyDescent="0.15">
      <c r="A1658" s="2">
        <v>98837</v>
      </c>
      <c r="B1658" s="12" t="s">
        <v>8731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ht="13" x14ac:dyDescent="0.15">
      <c r="A1659" s="2">
        <v>1086761</v>
      </c>
      <c r="B1659" s="12" t="s">
        <v>8732</v>
      </c>
      <c r="C1659">
        <v>1</v>
      </c>
      <c r="D1659">
        <v>0</v>
      </c>
      <c r="E1659">
        <v>0</v>
      </c>
      <c r="F1659">
        <v>0</v>
      </c>
      <c r="G1659">
        <v>1</v>
      </c>
    </row>
    <row r="1660" spans="1:7" ht="13" x14ac:dyDescent="0.15">
      <c r="A1660" s="2">
        <v>115231</v>
      </c>
      <c r="B1660" s="12" t="s">
        <v>8733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ht="13" x14ac:dyDescent="0.15">
      <c r="A1661" s="2">
        <v>2751638</v>
      </c>
      <c r="B1661" s="12" t="s">
        <v>8734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ht="13" x14ac:dyDescent="0.15">
      <c r="A1662" s="2">
        <v>5462720</v>
      </c>
      <c r="B1662" s="12" t="s">
        <v>8735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ht="13" x14ac:dyDescent="0.15">
      <c r="A1663" s="2">
        <v>412162</v>
      </c>
      <c r="B1663" s="12" t="s">
        <v>8736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ht="13" x14ac:dyDescent="0.15">
      <c r="A1664" s="2">
        <v>250876</v>
      </c>
      <c r="B1664" s="12" t="s">
        <v>8737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ht="13" x14ac:dyDescent="0.15">
      <c r="A1665" s="2">
        <v>910703</v>
      </c>
      <c r="B1665" s="12" t="s">
        <v>8738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ht="13" x14ac:dyDescent="0.15">
      <c r="A1666" s="2">
        <v>1765622</v>
      </c>
      <c r="B1666" s="12" t="s">
        <v>8739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ht="13" x14ac:dyDescent="0.15">
      <c r="A1667" s="2">
        <v>5715116</v>
      </c>
      <c r="B1667" s="12" t="s">
        <v>8740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ht="13" x14ac:dyDescent="0.15">
      <c r="A1668" s="2">
        <v>7375404</v>
      </c>
      <c r="B1668" s="12" t="s">
        <v>8741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ht="13" x14ac:dyDescent="0.15">
      <c r="A1669" s="2">
        <v>1698158</v>
      </c>
      <c r="B1669" s="12" t="s">
        <v>8742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ht="13" x14ac:dyDescent="0.15">
      <c r="A1670" s="2">
        <v>1132528</v>
      </c>
      <c r="B1670" s="12" t="s">
        <v>8743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ht="13" x14ac:dyDescent="0.15">
      <c r="A1671" s="2">
        <v>2612008</v>
      </c>
      <c r="B1671" s="12" t="s">
        <v>8744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ht="13" x14ac:dyDescent="0.15">
      <c r="A1672" s="2">
        <v>853174</v>
      </c>
      <c r="B1672" s="12" t="s">
        <v>8745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ht="13" x14ac:dyDescent="0.15">
      <c r="A1673" s="2">
        <v>3114390</v>
      </c>
      <c r="B1673" s="12" t="s">
        <v>8746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ht="13" x14ac:dyDescent="0.15">
      <c r="A1674" s="2">
        <v>4339192</v>
      </c>
      <c r="B1674" s="12" t="s">
        <v>8747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ht="13" x14ac:dyDescent="0.15">
      <c r="A1675" s="2">
        <v>7016936</v>
      </c>
      <c r="B1675" s="12" t="s">
        <v>8748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ht="13" x14ac:dyDescent="0.15">
      <c r="A1676" s="2">
        <v>278866</v>
      </c>
      <c r="B1676" s="12" t="s">
        <v>8749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ht="13" x14ac:dyDescent="0.15">
      <c r="A1677" s="2">
        <v>3211202</v>
      </c>
      <c r="B1677" s="12" t="s">
        <v>8750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ht="13" x14ac:dyDescent="0.15">
      <c r="A1678" s="2">
        <v>5912064</v>
      </c>
      <c r="B1678" s="12" t="s">
        <v>8751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ht="13" x14ac:dyDescent="0.15">
      <c r="A1679" s="2">
        <v>405560</v>
      </c>
      <c r="B1679" s="12" t="s">
        <v>8752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ht="13" x14ac:dyDescent="0.15">
      <c r="A1680" s="2">
        <v>2402129</v>
      </c>
      <c r="B1680" s="12" t="s">
        <v>8753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ht="13" x14ac:dyDescent="0.15">
      <c r="A1681" s="2">
        <v>292411</v>
      </c>
      <c r="B1681" s="12" t="s">
        <v>8754</v>
      </c>
      <c r="C1681">
        <v>0</v>
      </c>
      <c r="D1681">
        <v>1</v>
      </c>
      <c r="E1681">
        <v>0</v>
      </c>
      <c r="F1681">
        <v>0</v>
      </c>
      <c r="G1681">
        <v>0</v>
      </c>
    </row>
    <row r="1682" spans="1:7" ht="13" x14ac:dyDescent="0.15">
      <c r="A1682" s="2">
        <v>455260</v>
      </c>
      <c r="B1682" s="12" t="s">
        <v>8755</v>
      </c>
      <c r="C1682">
        <v>0</v>
      </c>
      <c r="D1682">
        <v>1</v>
      </c>
      <c r="E1682">
        <v>0</v>
      </c>
      <c r="F1682">
        <v>0</v>
      </c>
      <c r="G1682">
        <v>0</v>
      </c>
    </row>
    <row r="1683" spans="1:7" ht="13" x14ac:dyDescent="0.15">
      <c r="A1683" s="2">
        <v>118375</v>
      </c>
      <c r="B1683" s="12" t="s">
        <v>8756</v>
      </c>
      <c r="C1683">
        <v>0</v>
      </c>
      <c r="D1683">
        <v>0</v>
      </c>
      <c r="E1683">
        <v>1</v>
      </c>
      <c r="F1683">
        <v>0</v>
      </c>
      <c r="G1683">
        <v>0</v>
      </c>
    </row>
    <row r="1684" spans="1:7" ht="13" x14ac:dyDescent="0.15">
      <c r="A1684" s="2">
        <v>2401129</v>
      </c>
      <c r="B1684" s="12" t="s">
        <v>8757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ht="13" x14ac:dyDescent="0.15">
      <c r="A1685" s="2">
        <v>6611916</v>
      </c>
      <c r="B1685" s="12" t="s">
        <v>8758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ht="13" x14ac:dyDescent="0.15">
      <c r="A1686" s="2">
        <v>324864</v>
      </c>
      <c r="B1686" s="12" t="s">
        <v>8759</v>
      </c>
      <c r="C1686">
        <v>1</v>
      </c>
      <c r="D1686">
        <v>0</v>
      </c>
      <c r="E1686">
        <v>0</v>
      </c>
      <c r="F1686">
        <v>0</v>
      </c>
      <c r="G1686">
        <v>0</v>
      </c>
    </row>
    <row r="1687" spans="1:7" ht="13" x14ac:dyDescent="0.15">
      <c r="A1687" s="2">
        <v>433498</v>
      </c>
      <c r="B1687" s="12" t="s">
        <v>8760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ht="13" x14ac:dyDescent="0.15">
      <c r="A1688" s="2">
        <v>90465</v>
      </c>
      <c r="B1688" s="12" t="s">
        <v>8761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ht="13" x14ac:dyDescent="0.15">
      <c r="A1689" s="2">
        <v>4635208</v>
      </c>
      <c r="B1689" s="12" t="s">
        <v>8762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ht="13" x14ac:dyDescent="0.15">
      <c r="A1690" s="2">
        <v>3484986</v>
      </c>
      <c r="B1690" s="12" t="s">
        <v>8763</v>
      </c>
      <c r="C1690">
        <v>1</v>
      </c>
      <c r="D1690">
        <v>0</v>
      </c>
      <c r="E1690">
        <v>0</v>
      </c>
      <c r="F1690">
        <v>0</v>
      </c>
      <c r="G1690">
        <v>0</v>
      </c>
    </row>
    <row r="1691" spans="1:7" ht="13" x14ac:dyDescent="0.15">
      <c r="A1691" s="2">
        <v>4317598</v>
      </c>
      <c r="B1691" s="12" t="s">
        <v>8764</v>
      </c>
      <c r="C1691">
        <v>1</v>
      </c>
      <c r="D1691">
        <v>0</v>
      </c>
      <c r="E1691">
        <v>0</v>
      </c>
      <c r="F1691">
        <v>0</v>
      </c>
      <c r="G1691">
        <v>0</v>
      </c>
    </row>
    <row r="1692" spans="1:7" ht="13" x14ac:dyDescent="0.15">
      <c r="A1692" s="2">
        <v>3788928</v>
      </c>
      <c r="B1692" s="12" t="s">
        <v>8765</v>
      </c>
      <c r="C1692">
        <v>1</v>
      </c>
      <c r="D1692">
        <v>0</v>
      </c>
      <c r="E1692">
        <v>0</v>
      </c>
      <c r="F1692">
        <v>0</v>
      </c>
      <c r="G1692">
        <v>0</v>
      </c>
    </row>
    <row r="1693" spans="1:7" ht="13" x14ac:dyDescent="0.15">
      <c r="A1693" s="2">
        <v>7371948</v>
      </c>
      <c r="B1693" s="12" t="s">
        <v>8766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ht="13" x14ac:dyDescent="0.15">
      <c r="A1694" s="2">
        <v>460654</v>
      </c>
      <c r="B1694" s="12" t="s">
        <v>8767</v>
      </c>
      <c r="C1694">
        <v>0</v>
      </c>
      <c r="D1694">
        <v>1</v>
      </c>
      <c r="E1694">
        <v>0</v>
      </c>
      <c r="F1694">
        <v>0</v>
      </c>
      <c r="G1694">
        <v>0</v>
      </c>
    </row>
    <row r="1695" spans="1:7" ht="13" x14ac:dyDescent="0.15">
      <c r="A1695" s="2">
        <v>983514</v>
      </c>
      <c r="B1695" s="12" t="s">
        <v>8768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ht="13" x14ac:dyDescent="0.15">
      <c r="A1696" s="2">
        <v>943663</v>
      </c>
      <c r="B1696" s="12" t="s">
        <v>8769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ht="13" x14ac:dyDescent="0.15">
      <c r="A1697" s="2">
        <v>3855016</v>
      </c>
      <c r="B1697" s="12" t="s">
        <v>8770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ht="13" x14ac:dyDescent="0.15">
      <c r="A1698" s="2">
        <v>434695</v>
      </c>
      <c r="B1698" s="12" t="s">
        <v>8771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ht="13" x14ac:dyDescent="0.15">
      <c r="A1699" s="2">
        <v>83437</v>
      </c>
      <c r="B1699" s="12" t="s">
        <v>8772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ht="13" x14ac:dyDescent="0.15">
      <c r="A1700" s="2">
        <v>1213404</v>
      </c>
      <c r="B1700" s="12" t="s">
        <v>8772</v>
      </c>
      <c r="C1700">
        <v>1</v>
      </c>
      <c r="D1700">
        <v>0</v>
      </c>
      <c r="E1700">
        <v>0</v>
      </c>
      <c r="F1700">
        <v>0</v>
      </c>
      <c r="G1700">
        <v>0</v>
      </c>
    </row>
    <row r="1701" spans="1:7" ht="13" x14ac:dyDescent="0.15">
      <c r="A1701" s="2">
        <v>4555364</v>
      </c>
      <c r="B1701" s="12" t="s">
        <v>8773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ht="13" x14ac:dyDescent="0.15">
      <c r="A1702" s="2">
        <v>193677</v>
      </c>
      <c r="B1702" s="12" t="s">
        <v>8774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ht="13" x14ac:dyDescent="0.15">
      <c r="A1703" s="2">
        <v>4713054</v>
      </c>
      <c r="B1703" s="12" t="s">
        <v>8775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ht="13" x14ac:dyDescent="0.15">
      <c r="A1704" s="2">
        <v>108828</v>
      </c>
      <c r="B1704" s="12" t="s">
        <v>8776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ht="13" x14ac:dyDescent="0.15">
      <c r="A1705" s="2">
        <v>1277981</v>
      </c>
      <c r="B1705" s="12" t="s">
        <v>8777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ht="13" x14ac:dyDescent="0.15">
      <c r="A1706" s="2">
        <v>439375</v>
      </c>
      <c r="B1706" s="12" t="s">
        <v>8778</v>
      </c>
      <c r="C1706">
        <v>1</v>
      </c>
      <c r="D1706">
        <v>0</v>
      </c>
      <c r="E1706">
        <v>0</v>
      </c>
      <c r="F1706">
        <v>0</v>
      </c>
      <c r="G1706">
        <v>1</v>
      </c>
    </row>
    <row r="1707" spans="1:7" ht="13" x14ac:dyDescent="0.15">
      <c r="A1707" s="2">
        <v>1821879</v>
      </c>
      <c r="B1707" s="12" t="s">
        <v>8779</v>
      </c>
      <c r="C1707">
        <v>1</v>
      </c>
      <c r="D1707">
        <v>0</v>
      </c>
      <c r="E1707">
        <v>0</v>
      </c>
      <c r="F1707">
        <v>0</v>
      </c>
      <c r="G1707">
        <v>1</v>
      </c>
    </row>
    <row r="1708" spans="1:7" ht="13" x14ac:dyDescent="0.15">
      <c r="A1708" s="2">
        <v>6885002</v>
      </c>
      <c r="B1708" s="12" t="s">
        <v>8780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ht="13" x14ac:dyDescent="0.15">
      <c r="A1709" s="2">
        <v>1729621</v>
      </c>
      <c r="B1709" s="12" t="s">
        <v>8781</v>
      </c>
      <c r="C1709">
        <v>0</v>
      </c>
      <c r="D1709">
        <v>1</v>
      </c>
      <c r="E1709">
        <v>0</v>
      </c>
      <c r="F1709">
        <v>0</v>
      </c>
      <c r="G1709">
        <v>0</v>
      </c>
    </row>
    <row r="1710" spans="1:7" ht="13" x14ac:dyDescent="0.15">
      <c r="A1710" s="2">
        <v>1981538</v>
      </c>
      <c r="B1710" s="12" t="s">
        <v>8782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ht="13" x14ac:dyDescent="0.15">
      <c r="A1711" s="2">
        <v>437018</v>
      </c>
      <c r="B1711" s="12" t="s">
        <v>8783</v>
      </c>
      <c r="C1711">
        <v>0</v>
      </c>
      <c r="D1711">
        <v>1</v>
      </c>
      <c r="E1711">
        <v>0</v>
      </c>
      <c r="F1711">
        <v>0</v>
      </c>
      <c r="G1711">
        <v>0</v>
      </c>
    </row>
    <row r="1712" spans="1:7" ht="13" x14ac:dyDescent="0.15">
      <c r="A1712" s="2">
        <v>4276624</v>
      </c>
      <c r="B1712" s="12" t="s">
        <v>8784</v>
      </c>
      <c r="C1712">
        <v>0</v>
      </c>
      <c r="D1712">
        <v>1</v>
      </c>
      <c r="E1712">
        <v>0</v>
      </c>
      <c r="F1712">
        <v>0</v>
      </c>
      <c r="G1712">
        <v>0</v>
      </c>
    </row>
    <row r="1713" spans="1:7" ht="13" x14ac:dyDescent="0.15">
      <c r="A1713" s="2">
        <v>1545214</v>
      </c>
      <c r="B1713" s="12" t="s">
        <v>8785</v>
      </c>
      <c r="C1713">
        <v>0</v>
      </c>
      <c r="D1713">
        <v>1</v>
      </c>
      <c r="E1713">
        <v>0</v>
      </c>
      <c r="F1713">
        <v>1</v>
      </c>
      <c r="G1713">
        <v>0</v>
      </c>
    </row>
    <row r="1714" spans="1:7" ht="13" x14ac:dyDescent="0.15">
      <c r="A1714" s="2">
        <v>103460</v>
      </c>
      <c r="B1714" s="12" t="s">
        <v>8786</v>
      </c>
      <c r="C1714">
        <v>0</v>
      </c>
      <c r="D1714">
        <v>1</v>
      </c>
      <c r="E1714">
        <v>0</v>
      </c>
      <c r="F1714">
        <v>1</v>
      </c>
      <c r="G1714">
        <v>0</v>
      </c>
    </row>
    <row r="1715" spans="1:7" ht="13" x14ac:dyDescent="0.15">
      <c r="A1715" s="2">
        <v>756509</v>
      </c>
      <c r="B1715" s="12" t="s">
        <v>8787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ht="13" x14ac:dyDescent="0.15">
      <c r="A1716" s="2">
        <v>115237</v>
      </c>
      <c r="B1716" s="12" t="s">
        <v>8788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ht="13" x14ac:dyDescent="0.15">
      <c r="A1717" s="2">
        <v>90466</v>
      </c>
      <c r="B1717" s="12" t="s">
        <v>8789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ht="13" x14ac:dyDescent="0.15">
      <c r="A1718" s="2">
        <v>7555294</v>
      </c>
      <c r="B1718" s="12" t="s">
        <v>8790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ht="13" x14ac:dyDescent="0.15">
      <c r="A1719" s="2">
        <v>1947083</v>
      </c>
      <c r="B1719" s="12" t="s">
        <v>8791</v>
      </c>
      <c r="C1719">
        <v>0</v>
      </c>
      <c r="D1719">
        <v>1</v>
      </c>
      <c r="E1719">
        <v>0</v>
      </c>
      <c r="F1719">
        <v>0</v>
      </c>
      <c r="G1719">
        <v>0</v>
      </c>
    </row>
    <row r="1720" spans="1:7" ht="13" x14ac:dyDescent="0.15">
      <c r="A1720" s="2">
        <v>5181856</v>
      </c>
      <c r="B1720" s="12" t="s">
        <v>8792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ht="13" x14ac:dyDescent="0.15">
      <c r="A1721" s="2">
        <v>1725003</v>
      </c>
      <c r="B1721" s="12" t="s">
        <v>8793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ht="13" x14ac:dyDescent="0.15">
      <c r="A1722" s="2">
        <v>118379</v>
      </c>
      <c r="B1722" s="12" t="s">
        <v>8794</v>
      </c>
      <c r="C1722">
        <v>0</v>
      </c>
      <c r="D1722">
        <v>0</v>
      </c>
      <c r="E1722">
        <v>0</v>
      </c>
      <c r="F1722">
        <v>1</v>
      </c>
      <c r="G1722">
        <v>0</v>
      </c>
    </row>
    <row r="1723" spans="1:7" ht="13" x14ac:dyDescent="0.15">
      <c r="A1723" s="2">
        <v>1039922</v>
      </c>
      <c r="B1723" s="12" t="s">
        <v>8795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ht="13" x14ac:dyDescent="0.15">
      <c r="A1724" s="2">
        <v>2227827</v>
      </c>
      <c r="B1724" s="12" t="s">
        <v>8796</v>
      </c>
      <c r="C1724">
        <v>1</v>
      </c>
      <c r="D1724">
        <v>0</v>
      </c>
      <c r="E1724">
        <v>0</v>
      </c>
      <c r="F1724">
        <v>0</v>
      </c>
      <c r="G1724">
        <v>0</v>
      </c>
    </row>
    <row r="1725" spans="1:7" ht="13" x14ac:dyDescent="0.15">
      <c r="A1725" s="2">
        <v>922037</v>
      </c>
      <c r="B1725" s="12" t="s">
        <v>8797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ht="13" x14ac:dyDescent="0.15">
      <c r="A1726" s="2">
        <v>1213871</v>
      </c>
      <c r="B1726" s="12" t="s">
        <v>8798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ht="13" x14ac:dyDescent="0.15">
      <c r="A1727" s="2">
        <v>435988</v>
      </c>
      <c r="B1727" s="12" t="s">
        <v>8799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ht="13" x14ac:dyDescent="0.15">
      <c r="A1728" s="2">
        <v>6484002</v>
      </c>
      <c r="B1728" s="12" t="s">
        <v>8800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ht="13" x14ac:dyDescent="0.15">
      <c r="A1729" s="2">
        <v>1119177</v>
      </c>
      <c r="B1729" s="12" t="s">
        <v>8801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ht="13" x14ac:dyDescent="0.15">
      <c r="A1730" s="2">
        <v>12410892</v>
      </c>
      <c r="B1730" s="12" t="s">
        <v>8802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ht="13" x14ac:dyDescent="0.15">
      <c r="A1731" s="2">
        <v>7380852</v>
      </c>
      <c r="B1731" s="12" t="s">
        <v>8803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ht="13" x14ac:dyDescent="0.15">
      <c r="A1732" s="2">
        <v>426738</v>
      </c>
      <c r="B1732" s="12" t="s">
        <v>8804</v>
      </c>
      <c r="C1732">
        <v>1</v>
      </c>
      <c r="D1732">
        <v>0</v>
      </c>
      <c r="E1732">
        <v>0</v>
      </c>
      <c r="F1732">
        <v>0</v>
      </c>
      <c r="G1732">
        <v>0</v>
      </c>
    </row>
    <row r="1733" spans="1:7" ht="13" x14ac:dyDescent="0.15">
      <c r="A1733" s="2">
        <v>101130</v>
      </c>
      <c r="B1733" s="12" t="s">
        <v>8805</v>
      </c>
      <c r="C1733">
        <v>1</v>
      </c>
      <c r="D1733">
        <v>0</v>
      </c>
      <c r="E1733">
        <v>0</v>
      </c>
      <c r="F1733">
        <v>0</v>
      </c>
      <c r="G1733">
        <v>0</v>
      </c>
    </row>
    <row r="1734" spans="1:7" ht="13" x14ac:dyDescent="0.15">
      <c r="A1734" s="2">
        <v>272993</v>
      </c>
      <c r="B1734" s="12" t="s">
        <v>8806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ht="13" x14ac:dyDescent="0.15">
      <c r="A1735" s="2">
        <v>1077744</v>
      </c>
      <c r="B1735" s="12" t="s">
        <v>8807</v>
      </c>
      <c r="C1735">
        <v>0</v>
      </c>
      <c r="D1735">
        <v>1</v>
      </c>
      <c r="E1735">
        <v>0</v>
      </c>
      <c r="F1735">
        <v>0</v>
      </c>
      <c r="G1735">
        <v>0</v>
      </c>
    </row>
    <row r="1736" spans="1:7" ht="13" x14ac:dyDescent="0.15">
      <c r="A1736" s="2">
        <v>2772760</v>
      </c>
      <c r="B1736" s="12" t="s">
        <v>8808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ht="13" x14ac:dyDescent="0.15">
      <c r="A1737" s="2">
        <v>478870</v>
      </c>
      <c r="B1737" s="12" t="s">
        <v>8809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ht="13" x14ac:dyDescent="0.15">
      <c r="A1738" s="2">
        <v>5863126</v>
      </c>
      <c r="B1738" s="12" t="s">
        <v>8810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ht="13" x14ac:dyDescent="0.15">
      <c r="A1739" s="2">
        <v>364829</v>
      </c>
      <c r="B1739" s="12" t="s">
        <v>8811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ht="13" x14ac:dyDescent="0.15">
      <c r="A1740" s="2">
        <v>1828327</v>
      </c>
      <c r="B1740" s="12" t="s">
        <v>8812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ht="13" x14ac:dyDescent="0.15">
      <c r="A1741" s="2">
        <v>7577818</v>
      </c>
      <c r="B1741" s="12" t="s">
        <v>8813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ht="13" x14ac:dyDescent="0.15">
      <c r="A1742" s="2">
        <v>98844</v>
      </c>
      <c r="B1742" s="12" t="s">
        <v>8814</v>
      </c>
      <c r="C1742">
        <v>1</v>
      </c>
      <c r="D1742">
        <v>0</v>
      </c>
      <c r="E1742">
        <v>0</v>
      </c>
      <c r="F1742">
        <v>0</v>
      </c>
      <c r="G1742">
        <v>0</v>
      </c>
    </row>
    <row r="1743" spans="1:7" ht="13" x14ac:dyDescent="0.15">
      <c r="A1743" s="2">
        <v>275140</v>
      </c>
      <c r="B1743" s="12" t="s">
        <v>8815</v>
      </c>
      <c r="C1743">
        <v>1</v>
      </c>
      <c r="D1743">
        <v>0</v>
      </c>
      <c r="E1743">
        <v>0</v>
      </c>
      <c r="F1743">
        <v>0</v>
      </c>
      <c r="G1743">
        <v>0</v>
      </c>
    </row>
    <row r="1744" spans="1:7" ht="13" x14ac:dyDescent="0.15">
      <c r="A1744" s="2">
        <v>203259</v>
      </c>
      <c r="B1744" s="12" t="s">
        <v>8816</v>
      </c>
      <c r="C1744">
        <v>1</v>
      </c>
      <c r="D1744">
        <v>0</v>
      </c>
      <c r="E1744">
        <v>0</v>
      </c>
      <c r="F1744">
        <v>0</v>
      </c>
      <c r="G1744">
        <v>0</v>
      </c>
    </row>
    <row r="1745" spans="1:7" ht="13" x14ac:dyDescent="0.15">
      <c r="A1745" s="2">
        <v>6071788</v>
      </c>
      <c r="B1745" s="12" t="s">
        <v>8817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ht="13" x14ac:dyDescent="0.15">
      <c r="A1746" s="2">
        <v>6244192</v>
      </c>
      <c r="B1746" s="12" t="s">
        <v>8818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ht="13" x14ac:dyDescent="0.15">
      <c r="A1747" s="2">
        <v>844653</v>
      </c>
      <c r="B1747" s="12" t="s">
        <v>8819</v>
      </c>
      <c r="C1747">
        <v>0</v>
      </c>
      <c r="D1747">
        <v>1</v>
      </c>
      <c r="E1747">
        <v>0</v>
      </c>
      <c r="F1747">
        <v>0</v>
      </c>
      <c r="G1747">
        <v>0</v>
      </c>
    </row>
    <row r="1748" spans="1:7" ht="13" x14ac:dyDescent="0.15">
      <c r="A1748" s="2">
        <v>5038900</v>
      </c>
      <c r="B1748" s="12" t="s">
        <v>8820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ht="13" x14ac:dyDescent="0.15">
      <c r="A1749" s="2">
        <v>2402137</v>
      </c>
      <c r="B1749" s="12" t="s">
        <v>8821</v>
      </c>
      <c r="C1749">
        <v>0</v>
      </c>
      <c r="D1749">
        <v>1</v>
      </c>
      <c r="E1749">
        <v>0</v>
      </c>
      <c r="F1749">
        <v>0</v>
      </c>
      <c r="G1749">
        <v>0</v>
      </c>
    </row>
    <row r="1750" spans="1:7" ht="13" x14ac:dyDescent="0.15">
      <c r="A1750" s="2">
        <v>12491026</v>
      </c>
      <c r="B1750" s="12" t="s">
        <v>8822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ht="13" x14ac:dyDescent="0.15">
      <c r="A1751" s="2">
        <v>5114356</v>
      </c>
      <c r="B1751" s="12" t="s">
        <v>8823</v>
      </c>
      <c r="C1751">
        <v>0</v>
      </c>
      <c r="D1751">
        <v>1</v>
      </c>
      <c r="E1751">
        <v>0</v>
      </c>
      <c r="F1751">
        <v>0</v>
      </c>
      <c r="G1751">
        <v>0</v>
      </c>
    </row>
    <row r="1752" spans="1:7" ht="13" x14ac:dyDescent="0.15">
      <c r="A1752" s="2">
        <v>775372</v>
      </c>
      <c r="B1752" s="12" t="s">
        <v>8824</v>
      </c>
      <c r="C1752">
        <v>0</v>
      </c>
      <c r="D1752">
        <v>1</v>
      </c>
      <c r="E1752">
        <v>0</v>
      </c>
      <c r="F1752">
        <v>0</v>
      </c>
      <c r="G1752">
        <v>0</v>
      </c>
    </row>
    <row r="1753" spans="1:7" ht="13" x14ac:dyDescent="0.15">
      <c r="A1753" s="2">
        <v>7322926</v>
      </c>
      <c r="B1753" s="12" t="s">
        <v>8825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ht="13" x14ac:dyDescent="0.15">
      <c r="A1754" s="2">
        <v>4049416</v>
      </c>
      <c r="B1754" s="12" t="s">
        <v>8826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ht="13" x14ac:dyDescent="0.15">
      <c r="A1755" s="2">
        <v>5459566</v>
      </c>
      <c r="B1755" s="12" t="s">
        <v>8827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ht="13" x14ac:dyDescent="0.15">
      <c r="A1756" s="2">
        <v>9653982</v>
      </c>
      <c r="B1756" s="12" t="s">
        <v>8828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ht="13" x14ac:dyDescent="0.15">
      <c r="A1757" s="2">
        <v>5659248</v>
      </c>
      <c r="B1757" s="12" t="s">
        <v>8829</v>
      </c>
      <c r="C1757">
        <v>1</v>
      </c>
      <c r="D1757">
        <v>1</v>
      </c>
      <c r="E1757">
        <v>0</v>
      </c>
      <c r="F1757">
        <v>0</v>
      </c>
      <c r="G1757">
        <v>0</v>
      </c>
    </row>
    <row r="1758" spans="1:7" ht="13" x14ac:dyDescent="0.15">
      <c r="A1758" s="2">
        <v>465875</v>
      </c>
      <c r="B1758" s="12" t="s">
        <v>8830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ht="13" x14ac:dyDescent="0.15">
      <c r="A1759" s="2">
        <v>320052</v>
      </c>
      <c r="B1759" s="12" t="s">
        <v>8831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ht="13" x14ac:dyDescent="0.15">
      <c r="A1760" s="2">
        <v>780370</v>
      </c>
      <c r="B1760" s="12" t="s">
        <v>8832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ht="13" x14ac:dyDescent="0.15">
      <c r="A1761" s="2">
        <v>5164196</v>
      </c>
      <c r="B1761" s="12" t="s">
        <v>8833</v>
      </c>
      <c r="C1761">
        <v>0</v>
      </c>
      <c r="D1761">
        <v>0</v>
      </c>
      <c r="E1761">
        <v>0</v>
      </c>
      <c r="F1761">
        <v>1</v>
      </c>
      <c r="G1761">
        <v>1</v>
      </c>
    </row>
    <row r="1762" spans="1:7" ht="13" x14ac:dyDescent="0.15">
      <c r="A1762" s="2">
        <v>1103987</v>
      </c>
      <c r="B1762" s="12" t="s">
        <v>8834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ht="13" x14ac:dyDescent="0.15">
      <c r="A1763" s="2">
        <v>1230417</v>
      </c>
      <c r="B1763" s="12" t="s">
        <v>8835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ht="13" x14ac:dyDescent="0.15">
      <c r="A1764" s="2">
        <v>337550</v>
      </c>
      <c r="B1764" s="12" t="s">
        <v>8836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ht="13" x14ac:dyDescent="0.15">
      <c r="A1765" s="2">
        <v>1235099</v>
      </c>
      <c r="B1765" s="12" t="s">
        <v>8837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ht="13" x14ac:dyDescent="0.15">
      <c r="A1766" s="2">
        <v>874936</v>
      </c>
      <c r="B1766" s="12" t="s">
        <v>8838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ht="13" x14ac:dyDescent="0.15">
      <c r="A1767" s="2">
        <v>1433058</v>
      </c>
      <c r="B1767" s="12" t="s">
        <v>8839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ht="13" x14ac:dyDescent="0.15">
      <c r="A1768" s="2">
        <v>2964642</v>
      </c>
      <c r="B1768" s="12" t="s">
        <v>8840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ht="13" x14ac:dyDescent="0.15">
      <c r="A1769" s="2">
        <v>4384086</v>
      </c>
      <c r="B1769" s="12" t="s">
        <v>8841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ht="13" x14ac:dyDescent="0.15">
      <c r="A1770" s="2">
        <v>478942</v>
      </c>
      <c r="B1770" s="12" t="s">
        <v>8842</v>
      </c>
      <c r="C1770">
        <v>1</v>
      </c>
      <c r="D1770">
        <v>0</v>
      </c>
      <c r="E1770">
        <v>0</v>
      </c>
      <c r="F1770">
        <v>0</v>
      </c>
      <c r="G1770">
        <v>0</v>
      </c>
    </row>
    <row r="1771" spans="1:7" ht="13" x14ac:dyDescent="0.15">
      <c r="A1771" s="2">
        <v>787490</v>
      </c>
      <c r="B1771" s="12" t="s">
        <v>8842</v>
      </c>
      <c r="C1771">
        <v>1</v>
      </c>
      <c r="D1771">
        <v>0</v>
      </c>
      <c r="E1771">
        <v>0</v>
      </c>
      <c r="F1771">
        <v>0</v>
      </c>
      <c r="G1771">
        <v>0</v>
      </c>
    </row>
    <row r="1772" spans="1:7" ht="13" x14ac:dyDescent="0.15">
      <c r="A1772" s="2">
        <v>6088922</v>
      </c>
      <c r="B1772" s="12" t="s">
        <v>8843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ht="13" x14ac:dyDescent="0.15">
      <c r="A1773" s="2">
        <v>1442109</v>
      </c>
      <c r="B1773" s="12" t="s">
        <v>8844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ht="13" x14ac:dyDescent="0.15">
      <c r="A1774" s="2">
        <v>1331751</v>
      </c>
      <c r="B1774" s="12" t="s">
        <v>8845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ht="13" x14ac:dyDescent="0.15">
      <c r="A1775" s="2">
        <v>1641247</v>
      </c>
      <c r="B1775" s="12" t="s">
        <v>8846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ht="13" x14ac:dyDescent="0.15">
      <c r="A1776" s="2">
        <v>139780</v>
      </c>
      <c r="B1776" s="12" t="s">
        <v>8847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ht="13" x14ac:dyDescent="0.15">
      <c r="A1777" s="2">
        <v>8619822</v>
      </c>
      <c r="B1777" s="12" t="s">
        <v>8848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ht="13" x14ac:dyDescent="0.15">
      <c r="A1778" s="2">
        <v>4035976</v>
      </c>
      <c r="B1778" s="12" t="s">
        <v>8849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ht="13" x14ac:dyDescent="0.15">
      <c r="A1779" s="2">
        <v>9001656</v>
      </c>
      <c r="B1779" s="12" t="s">
        <v>8850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ht="13" x14ac:dyDescent="0.15">
      <c r="A1780" s="2">
        <v>913742</v>
      </c>
      <c r="B1780" s="12" t="s">
        <v>8851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ht="13" x14ac:dyDescent="0.15">
      <c r="A1781" s="2">
        <v>7736208</v>
      </c>
      <c r="B1781" s="12" t="s">
        <v>8852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ht="13" x14ac:dyDescent="0.15">
      <c r="A1782" s="2">
        <v>88554</v>
      </c>
      <c r="B1782" s="12" t="s">
        <v>8853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ht="13" x14ac:dyDescent="0.15">
      <c r="A1783" s="2">
        <v>2303687</v>
      </c>
      <c r="B1783" s="12" t="s">
        <v>8854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ht="13" x14ac:dyDescent="0.15">
      <c r="A1784" s="2">
        <v>361200</v>
      </c>
      <c r="B1784" s="12" t="s">
        <v>8855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ht="13" x14ac:dyDescent="0.15">
      <c r="A1785" s="2">
        <v>5347876</v>
      </c>
      <c r="B1785" s="12" t="s">
        <v>8856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ht="13" x14ac:dyDescent="0.15">
      <c r="A1786" s="2">
        <v>358856</v>
      </c>
      <c r="B1786" s="12" t="s">
        <v>8857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ht="13" x14ac:dyDescent="0.15">
      <c r="A1787" s="2">
        <v>782374</v>
      </c>
      <c r="B1787" s="12" t="s">
        <v>8858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ht="13" x14ac:dyDescent="0.15">
      <c r="A1788" s="2">
        <v>2583296</v>
      </c>
      <c r="B1788" s="12" t="s">
        <v>8859</v>
      </c>
      <c r="C1788">
        <v>1</v>
      </c>
      <c r="D1788">
        <v>0</v>
      </c>
      <c r="E1788">
        <v>0</v>
      </c>
      <c r="F1788">
        <v>0</v>
      </c>
      <c r="G1788">
        <v>0</v>
      </c>
    </row>
    <row r="1789" spans="1:7" ht="13" x14ac:dyDescent="0.15">
      <c r="A1789" s="2">
        <v>2244077</v>
      </c>
      <c r="B1789" s="12" t="s">
        <v>8860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ht="13" x14ac:dyDescent="0.15">
      <c r="A1790" s="2">
        <v>6914160</v>
      </c>
      <c r="B1790" s="12" t="s">
        <v>8861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ht="13" x14ac:dyDescent="0.15">
      <c r="A1791" s="2">
        <v>166050</v>
      </c>
      <c r="B1791" s="12" t="s">
        <v>8862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ht="13" x14ac:dyDescent="0.15">
      <c r="A1792" s="2">
        <v>3853992</v>
      </c>
      <c r="B1792" s="12" t="s">
        <v>8863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ht="13" x14ac:dyDescent="0.15">
      <c r="A1793" s="2">
        <v>7138426</v>
      </c>
      <c r="B1793" s="12" t="s">
        <v>8864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ht="13" x14ac:dyDescent="0.15">
      <c r="A1794" s="2">
        <v>8880894</v>
      </c>
      <c r="B1794" s="12" t="s">
        <v>8865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ht="13" x14ac:dyDescent="0.15">
      <c r="A1795" s="2">
        <v>11656448</v>
      </c>
      <c r="B1795" s="12" t="s">
        <v>8866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ht="13" x14ac:dyDescent="0.15">
      <c r="A1796" s="2">
        <v>273366</v>
      </c>
      <c r="B1796" s="12" t="s">
        <v>8867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ht="13" x14ac:dyDescent="0.15">
      <c r="A1797" s="2">
        <v>1339218</v>
      </c>
      <c r="B1797" s="12" t="s">
        <v>8868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ht="13" x14ac:dyDescent="0.15">
      <c r="A1798" s="2">
        <v>6075386</v>
      </c>
      <c r="B1798" s="12" t="s">
        <v>8869</v>
      </c>
      <c r="C1798">
        <v>0</v>
      </c>
      <c r="D1798">
        <v>1</v>
      </c>
      <c r="E1798">
        <v>1</v>
      </c>
      <c r="F1798">
        <v>0</v>
      </c>
      <c r="G1798">
        <v>0</v>
      </c>
    </row>
    <row r="1799" spans="1:7" ht="13" x14ac:dyDescent="0.15">
      <c r="A1799" s="2">
        <v>4524056</v>
      </c>
      <c r="B1799" s="12" t="s">
        <v>8870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ht="13" x14ac:dyDescent="0.15">
      <c r="A1800" s="2">
        <v>1020109</v>
      </c>
      <c r="B1800" s="12" t="s">
        <v>8871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ht="13" x14ac:dyDescent="0.15">
      <c r="A1801" s="2">
        <v>6128254</v>
      </c>
      <c r="B1801" s="12" t="s">
        <v>8872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ht="13" x14ac:dyDescent="0.15">
      <c r="A1802" s="2">
        <v>106057</v>
      </c>
      <c r="B1802" s="12" t="s">
        <v>8873</v>
      </c>
      <c r="C1802">
        <v>1</v>
      </c>
      <c r="D1802">
        <v>1</v>
      </c>
      <c r="E1802">
        <v>0</v>
      </c>
      <c r="F1802">
        <v>0</v>
      </c>
      <c r="G1802">
        <v>0</v>
      </c>
    </row>
    <row r="1803" spans="1:7" ht="13" x14ac:dyDescent="0.15">
      <c r="A1803" s="2">
        <v>2272367</v>
      </c>
      <c r="B1803" s="12" t="s">
        <v>8874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ht="13" x14ac:dyDescent="0.15">
      <c r="A1804" s="2">
        <v>8571906</v>
      </c>
      <c r="B1804" s="12" t="s">
        <v>8875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ht="13" x14ac:dyDescent="0.15">
      <c r="A1805" s="2">
        <v>123355</v>
      </c>
      <c r="B1805" s="12" t="s">
        <v>8876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ht="13" x14ac:dyDescent="0.15">
      <c r="A1806" s="2">
        <v>2010806</v>
      </c>
      <c r="B1806" s="12" t="s">
        <v>8877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ht="13" x14ac:dyDescent="0.15">
      <c r="A1807" s="2">
        <v>5455614</v>
      </c>
      <c r="B1807" s="12" t="s">
        <v>8878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ht="13" x14ac:dyDescent="0.15">
      <c r="A1808" s="2">
        <v>1836037</v>
      </c>
      <c r="B1808" s="12" t="s">
        <v>8879</v>
      </c>
      <c r="C1808">
        <v>0</v>
      </c>
      <c r="D1808">
        <v>1</v>
      </c>
      <c r="E1808">
        <v>0</v>
      </c>
      <c r="F1808">
        <v>0</v>
      </c>
      <c r="G1808">
        <v>0</v>
      </c>
    </row>
    <row r="1809" spans="1:7" ht="13" x14ac:dyDescent="0.15">
      <c r="A1809" s="2">
        <v>2581458</v>
      </c>
      <c r="B1809" s="12" t="s">
        <v>8880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ht="13" x14ac:dyDescent="0.15">
      <c r="A1810" s="2">
        <v>6130902</v>
      </c>
      <c r="B1810" s="12" t="s">
        <v>8881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ht="13" x14ac:dyDescent="0.15">
      <c r="A1811" s="2">
        <v>2337014</v>
      </c>
      <c r="B1811" s="12" t="s">
        <v>8882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ht="13" x14ac:dyDescent="0.15">
      <c r="A1812" s="2">
        <v>10440412</v>
      </c>
      <c r="B1812" s="12" t="s">
        <v>8883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ht="13" x14ac:dyDescent="0.15">
      <c r="A1813" s="2">
        <v>411008</v>
      </c>
      <c r="B1813" s="12" t="s">
        <v>8884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ht="13" x14ac:dyDescent="0.15">
      <c r="A1814" s="2">
        <v>112054</v>
      </c>
      <c r="B1814" s="12" t="s">
        <v>8885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ht="13" x14ac:dyDescent="0.15">
      <c r="A1815" s="2">
        <v>1429449</v>
      </c>
      <c r="B1815" s="12" t="s">
        <v>8886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ht="13" x14ac:dyDescent="0.15">
      <c r="A1816" s="2">
        <v>5232792</v>
      </c>
      <c r="B1816" s="12" t="s">
        <v>8887</v>
      </c>
      <c r="C1816">
        <v>1</v>
      </c>
      <c r="D1816">
        <v>0</v>
      </c>
      <c r="E1816">
        <v>0</v>
      </c>
      <c r="F1816">
        <v>0</v>
      </c>
      <c r="G1816">
        <v>0</v>
      </c>
    </row>
    <row r="1817" spans="1:7" ht="13" x14ac:dyDescent="0.15">
      <c r="A1817" s="2">
        <v>7211600</v>
      </c>
      <c r="B1817" s="12" t="s">
        <v>8888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ht="13" x14ac:dyDescent="0.15">
      <c r="A1818" s="2">
        <v>1314008</v>
      </c>
      <c r="B1818" s="12" t="s">
        <v>8889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ht="13" x14ac:dyDescent="0.15">
      <c r="A1819" s="2">
        <v>5957766</v>
      </c>
      <c r="B1819" s="12" t="s">
        <v>8890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ht="13" x14ac:dyDescent="0.15">
      <c r="A1820" s="2">
        <v>4061080</v>
      </c>
      <c r="B1820" s="12" t="s">
        <v>8891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ht="13" x14ac:dyDescent="0.15">
      <c r="A1821" s="2">
        <v>1718437</v>
      </c>
      <c r="B1821" s="12" t="s">
        <v>8892</v>
      </c>
      <c r="C1821">
        <v>0</v>
      </c>
      <c r="D1821">
        <v>0</v>
      </c>
      <c r="E1821">
        <v>0</v>
      </c>
      <c r="F1821">
        <v>0</v>
      </c>
      <c r="G1821">
        <v>1</v>
      </c>
    </row>
    <row r="1822" spans="1:7" ht="13" x14ac:dyDescent="0.15">
      <c r="A1822" s="2">
        <v>6018030</v>
      </c>
      <c r="B1822" s="12" t="s">
        <v>8893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ht="13" x14ac:dyDescent="0.15">
      <c r="A1823" s="2">
        <v>6931604</v>
      </c>
      <c r="B1823" s="12" t="s">
        <v>8894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ht="13" x14ac:dyDescent="0.15">
      <c r="A1824" s="2">
        <v>279570</v>
      </c>
      <c r="B1824" s="12" t="s">
        <v>8895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ht="13" x14ac:dyDescent="0.15">
      <c r="A1825" s="2">
        <v>1945796</v>
      </c>
      <c r="B1825" s="12" t="s">
        <v>8896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ht="13" x14ac:dyDescent="0.15">
      <c r="A1826" s="2">
        <v>8819906</v>
      </c>
      <c r="B1826" s="12" t="s">
        <v>8897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ht="13" x14ac:dyDescent="0.15">
      <c r="A1827" s="2">
        <v>5079866</v>
      </c>
      <c r="B1827" s="12" t="s">
        <v>8898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ht="13" x14ac:dyDescent="0.15">
      <c r="A1828" s="2">
        <v>457046</v>
      </c>
      <c r="B1828" s="12" t="s">
        <v>8899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ht="13" x14ac:dyDescent="0.15">
      <c r="A1829" s="2">
        <v>11904786</v>
      </c>
      <c r="B1829" s="12" t="s">
        <v>8900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ht="13" x14ac:dyDescent="0.15">
      <c r="A1830" s="2">
        <v>2834032</v>
      </c>
      <c r="B1830" s="12" t="s">
        <v>8901</v>
      </c>
      <c r="C1830">
        <v>0</v>
      </c>
      <c r="D1830">
        <v>0</v>
      </c>
      <c r="E1830">
        <v>0</v>
      </c>
      <c r="F1830">
        <v>0</v>
      </c>
      <c r="G1830">
        <v>1</v>
      </c>
    </row>
    <row r="1831" spans="1:7" ht="13" x14ac:dyDescent="0.15">
      <c r="A1831" s="2">
        <v>3002170</v>
      </c>
      <c r="B1831" s="12" t="s">
        <v>8902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ht="13" x14ac:dyDescent="0.15">
      <c r="A1832" s="2">
        <v>81896</v>
      </c>
      <c r="B1832" s="12" t="s">
        <v>8903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ht="13" x14ac:dyDescent="0.15">
      <c r="A1833" s="2">
        <v>1625724</v>
      </c>
      <c r="B1833" s="12" t="s">
        <v>8904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ht="13" x14ac:dyDescent="0.15">
      <c r="A1834" s="2">
        <v>2314792</v>
      </c>
      <c r="B1834" s="12" t="s">
        <v>8905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ht="13" x14ac:dyDescent="0.15">
      <c r="A1835" s="2">
        <v>4052886</v>
      </c>
      <c r="B1835" s="12" t="s">
        <v>8906</v>
      </c>
      <c r="C1835">
        <v>0</v>
      </c>
      <c r="D1835">
        <v>1</v>
      </c>
      <c r="E1835">
        <v>0</v>
      </c>
      <c r="F1835">
        <v>0</v>
      </c>
      <c r="G1835">
        <v>0</v>
      </c>
    </row>
    <row r="1836" spans="1:7" ht="13" x14ac:dyDescent="0.15">
      <c r="A1836" s="2">
        <v>3220976</v>
      </c>
      <c r="B1836" s="12" t="s">
        <v>8907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ht="13" x14ac:dyDescent="0.15">
      <c r="A1837" s="2">
        <v>491560</v>
      </c>
      <c r="B1837" s="12" t="s">
        <v>8908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ht="13" x14ac:dyDescent="0.15">
      <c r="A1838" s="2">
        <v>7224716</v>
      </c>
      <c r="B1838" s="12" t="s">
        <v>8909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ht="13" x14ac:dyDescent="0.15">
      <c r="A1839" s="2">
        <v>8045690</v>
      </c>
      <c r="B1839" s="12" t="s">
        <v>8910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ht="13" x14ac:dyDescent="0.15">
      <c r="A1840" s="2">
        <v>3322314</v>
      </c>
      <c r="B1840" s="12" t="s">
        <v>8911</v>
      </c>
      <c r="C1840">
        <v>0</v>
      </c>
      <c r="D1840">
        <v>1</v>
      </c>
      <c r="E1840">
        <v>0</v>
      </c>
      <c r="F1840">
        <v>0</v>
      </c>
      <c r="G1840">
        <v>1</v>
      </c>
    </row>
    <row r="1841" spans="1:7" ht="13" x14ac:dyDescent="0.15">
      <c r="A1841" s="2">
        <v>2119795</v>
      </c>
      <c r="B1841" s="12" t="s">
        <v>8912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ht="13" x14ac:dyDescent="0.15">
      <c r="A1842" s="2">
        <v>1765218</v>
      </c>
      <c r="B1842" s="12" t="s">
        <v>8913</v>
      </c>
      <c r="C1842">
        <v>1</v>
      </c>
      <c r="D1842">
        <v>0</v>
      </c>
      <c r="E1842">
        <v>0</v>
      </c>
      <c r="F1842">
        <v>0</v>
      </c>
      <c r="G1842">
        <v>0</v>
      </c>
    </row>
    <row r="1843" spans="1:7" ht="13" x14ac:dyDescent="0.15">
      <c r="A1843" s="2">
        <v>7213334</v>
      </c>
      <c r="B1843" s="12" t="s">
        <v>8914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ht="13" x14ac:dyDescent="0.15">
      <c r="A1844" s="2">
        <v>8164794</v>
      </c>
      <c r="B1844" s="12" t="s">
        <v>8915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ht="13" x14ac:dyDescent="0.15">
      <c r="A1845" s="2">
        <v>1018841</v>
      </c>
      <c r="B1845" s="12" t="s">
        <v>8916</v>
      </c>
      <c r="C1845">
        <v>0</v>
      </c>
      <c r="D1845">
        <v>1</v>
      </c>
      <c r="E1845">
        <v>0</v>
      </c>
      <c r="F1845">
        <v>1</v>
      </c>
      <c r="G1845">
        <v>0</v>
      </c>
    </row>
    <row r="1846" spans="1:7" ht="13" x14ac:dyDescent="0.15">
      <c r="A1846" s="2">
        <v>1474684</v>
      </c>
      <c r="B1846" s="12" t="s">
        <v>8917</v>
      </c>
      <c r="C1846">
        <v>0</v>
      </c>
      <c r="D1846">
        <v>0</v>
      </c>
      <c r="E1846">
        <v>0</v>
      </c>
      <c r="F1846">
        <v>0</v>
      </c>
      <c r="G1846">
        <v>1</v>
      </c>
    </row>
    <row r="1847" spans="1:7" ht="13" x14ac:dyDescent="0.15">
      <c r="A1847" s="2">
        <v>9158770</v>
      </c>
      <c r="B1847" s="12" t="s">
        <v>8918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ht="13" x14ac:dyDescent="0.15">
      <c r="A1848" s="2">
        <v>386946</v>
      </c>
      <c r="B1848" s="12" t="s">
        <v>8919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ht="13" x14ac:dyDescent="0.15">
      <c r="A1849" s="2">
        <v>943690</v>
      </c>
      <c r="B1849" s="12" t="s">
        <v>8920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ht="13" x14ac:dyDescent="0.15">
      <c r="A1850" s="2">
        <v>399990</v>
      </c>
      <c r="B1850" s="12" t="s">
        <v>8921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ht="13" x14ac:dyDescent="0.15">
      <c r="A1851" s="2">
        <v>88559</v>
      </c>
      <c r="B1851" s="12" t="s">
        <v>8922</v>
      </c>
      <c r="C1851">
        <v>1</v>
      </c>
      <c r="D1851">
        <v>0</v>
      </c>
      <c r="E1851">
        <v>0</v>
      </c>
      <c r="F1851">
        <v>0</v>
      </c>
      <c r="G1851">
        <v>0</v>
      </c>
    </row>
    <row r="1852" spans="1:7" ht="13" x14ac:dyDescent="0.15">
      <c r="A1852" s="2">
        <v>1399045</v>
      </c>
      <c r="B1852" s="12" t="s">
        <v>8922</v>
      </c>
      <c r="C1852">
        <v>1</v>
      </c>
      <c r="D1852">
        <v>0</v>
      </c>
      <c r="E1852">
        <v>0</v>
      </c>
      <c r="F1852">
        <v>0</v>
      </c>
      <c r="G1852">
        <v>0</v>
      </c>
    </row>
    <row r="1853" spans="1:7" ht="13" x14ac:dyDescent="0.15">
      <c r="A1853" s="2">
        <v>804503</v>
      </c>
      <c r="B1853" s="12" t="s">
        <v>8923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ht="13" x14ac:dyDescent="0.15">
      <c r="A1854" s="2">
        <v>3501074</v>
      </c>
      <c r="B1854" s="12" t="s">
        <v>8924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ht="13" x14ac:dyDescent="0.15">
      <c r="A1855" s="2">
        <v>832453</v>
      </c>
      <c r="B1855" s="12" t="s">
        <v>8925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ht="13" x14ac:dyDescent="0.15">
      <c r="A1856" s="2">
        <v>1933854</v>
      </c>
      <c r="B1856" s="12" t="s">
        <v>8926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ht="13" x14ac:dyDescent="0.15">
      <c r="A1857" s="2">
        <v>6494622</v>
      </c>
      <c r="B1857" s="12" t="s">
        <v>8927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ht="13" x14ac:dyDescent="0.15">
      <c r="A1858" s="2">
        <v>465339</v>
      </c>
      <c r="B1858" s="12" t="s">
        <v>8928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ht="13" x14ac:dyDescent="0.15">
      <c r="A1859" s="2">
        <v>431543</v>
      </c>
      <c r="B1859" s="12" t="s">
        <v>8929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ht="13" x14ac:dyDescent="0.15">
      <c r="A1860" s="2">
        <v>1832045</v>
      </c>
      <c r="B1860" s="12" t="s">
        <v>8930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ht="13" x14ac:dyDescent="0.15">
      <c r="A1861" s="2">
        <v>288987</v>
      </c>
      <c r="B1861" s="12" t="s">
        <v>8931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ht="13" x14ac:dyDescent="0.15">
      <c r="A1862" s="2">
        <v>1691237</v>
      </c>
      <c r="B1862" s="12" t="s">
        <v>8932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ht="13" x14ac:dyDescent="0.15">
      <c r="A1863" s="2">
        <v>7942796</v>
      </c>
      <c r="B1863" s="12" t="s">
        <v>8933</v>
      </c>
      <c r="C1863">
        <v>1</v>
      </c>
      <c r="D1863">
        <v>0</v>
      </c>
      <c r="E1863">
        <v>0</v>
      </c>
      <c r="F1863">
        <v>0</v>
      </c>
      <c r="G1863">
        <v>1</v>
      </c>
    </row>
    <row r="1864" spans="1:7" ht="13" x14ac:dyDescent="0.15">
      <c r="A1864" s="2">
        <v>80240</v>
      </c>
      <c r="B1864" s="12" t="s">
        <v>8934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ht="13" x14ac:dyDescent="0.15">
      <c r="A1865" s="2">
        <v>11368698</v>
      </c>
      <c r="B1865" s="12" t="s">
        <v>8935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ht="13" x14ac:dyDescent="0.15">
      <c r="A1866" s="2">
        <v>978540</v>
      </c>
      <c r="B1866" s="12" t="s">
        <v>8936</v>
      </c>
      <c r="C1866">
        <v>1</v>
      </c>
      <c r="D1866">
        <v>0</v>
      </c>
      <c r="E1866">
        <v>0</v>
      </c>
      <c r="F1866">
        <v>0</v>
      </c>
      <c r="G1866">
        <v>0</v>
      </c>
    </row>
    <row r="1867" spans="1:7" ht="13" x14ac:dyDescent="0.15">
      <c r="A1867" s="2">
        <v>824043</v>
      </c>
      <c r="B1867" s="12" t="s">
        <v>8937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ht="13" x14ac:dyDescent="0.15">
      <c r="A1868" s="2">
        <v>96642</v>
      </c>
      <c r="B1868" s="12" t="s">
        <v>8938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ht="13" x14ac:dyDescent="0.15">
      <c r="A1869" s="2">
        <v>144060</v>
      </c>
      <c r="B1869" s="12" t="s">
        <v>8939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ht="13" x14ac:dyDescent="0.15">
      <c r="A1870" s="2">
        <v>1936532</v>
      </c>
      <c r="B1870" s="12" t="s">
        <v>8940</v>
      </c>
      <c r="C1870">
        <v>1</v>
      </c>
      <c r="D1870">
        <v>0</v>
      </c>
      <c r="E1870">
        <v>0</v>
      </c>
      <c r="F1870">
        <v>0</v>
      </c>
      <c r="G1870">
        <v>0</v>
      </c>
    </row>
    <row r="1871" spans="1:7" ht="13" x14ac:dyDescent="0.15">
      <c r="A1871" s="2">
        <v>1332030</v>
      </c>
      <c r="B1871" s="12" t="s">
        <v>8941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ht="13" x14ac:dyDescent="0.15">
      <c r="A1872" s="2">
        <v>4502154</v>
      </c>
      <c r="B1872" s="12" t="s">
        <v>8942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ht="13" x14ac:dyDescent="0.15">
      <c r="A1873" s="2">
        <v>5189670</v>
      </c>
      <c r="B1873" s="12" t="s">
        <v>8943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ht="13" x14ac:dyDescent="0.15">
      <c r="A1874" s="2">
        <v>5515410</v>
      </c>
      <c r="B1874" s="12" t="s">
        <v>8944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ht="13" x14ac:dyDescent="0.15">
      <c r="A1875" s="2">
        <v>6874206</v>
      </c>
      <c r="B1875" s="12" t="s">
        <v>8945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ht="13" x14ac:dyDescent="0.15">
      <c r="A1876" s="2">
        <v>2548214</v>
      </c>
      <c r="B1876" s="12" t="s">
        <v>8946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ht="13" x14ac:dyDescent="0.15">
      <c r="A1877" s="2">
        <v>7214050</v>
      </c>
      <c r="B1877" s="12" t="s">
        <v>8947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ht="13" x14ac:dyDescent="0.15">
      <c r="A1878" s="2">
        <v>212671</v>
      </c>
      <c r="B1878" s="12" t="s">
        <v>8948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ht="13" x14ac:dyDescent="0.15">
      <c r="A1879" s="2">
        <v>176376</v>
      </c>
      <c r="B1879" s="12" t="s">
        <v>8949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ht="13" x14ac:dyDescent="0.15">
      <c r="A1880" s="2">
        <v>7383396</v>
      </c>
      <c r="B1880" s="12" t="s">
        <v>8950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ht="13" x14ac:dyDescent="0.15">
      <c r="A1881" s="2">
        <v>3063454</v>
      </c>
      <c r="B1881" s="12" t="s">
        <v>8951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ht="13" x14ac:dyDescent="0.15">
      <c r="A1882" s="2">
        <v>4189492</v>
      </c>
      <c r="B1882" s="12" t="s">
        <v>8952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ht="13" x14ac:dyDescent="0.15">
      <c r="A1883" s="2">
        <v>1342711</v>
      </c>
      <c r="B1883" s="12" t="s">
        <v>8953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ht="13" x14ac:dyDescent="0.15">
      <c r="A1884" s="2">
        <v>5536400</v>
      </c>
      <c r="B1884" s="12" t="s">
        <v>8954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ht="13" x14ac:dyDescent="0.15">
      <c r="A1885" s="2">
        <v>7801964</v>
      </c>
      <c r="B1885" s="12" t="s">
        <v>8955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ht="13" x14ac:dyDescent="0.15">
      <c r="A1886" s="2">
        <v>8421350</v>
      </c>
      <c r="B1886" s="12" t="s">
        <v>8956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ht="13" x14ac:dyDescent="0.15">
      <c r="A1887" s="2">
        <v>8664224</v>
      </c>
      <c r="B1887" s="12" t="s">
        <v>8957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ht="13" x14ac:dyDescent="0.15">
      <c r="A1888" s="2">
        <v>296374</v>
      </c>
      <c r="B1888" s="12" t="s">
        <v>8958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ht="13" x14ac:dyDescent="0.15">
      <c r="A1889" s="2">
        <v>1758290</v>
      </c>
      <c r="B1889" s="12" t="s">
        <v>8959</v>
      </c>
      <c r="C1889">
        <v>1</v>
      </c>
      <c r="D1889">
        <v>0</v>
      </c>
      <c r="E1889">
        <v>0</v>
      </c>
      <c r="F1889">
        <v>0</v>
      </c>
      <c r="G1889">
        <v>0</v>
      </c>
    </row>
    <row r="1890" spans="1:7" ht="13" x14ac:dyDescent="0.15">
      <c r="A1890" s="2">
        <v>5269594</v>
      </c>
      <c r="B1890" s="12" t="s">
        <v>8960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ht="13" x14ac:dyDescent="0.15">
      <c r="A1891" s="2">
        <v>2189461</v>
      </c>
      <c r="B1891" s="12" t="s">
        <v>8961</v>
      </c>
      <c r="C1891">
        <v>0</v>
      </c>
      <c r="D1891">
        <v>1</v>
      </c>
      <c r="E1891">
        <v>0</v>
      </c>
      <c r="F1891">
        <v>0</v>
      </c>
      <c r="G1891">
        <v>1</v>
      </c>
    </row>
    <row r="1892" spans="1:7" ht="13" x14ac:dyDescent="0.15">
      <c r="A1892" s="2">
        <v>955183</v>
      </c>
      <c r="B1892" s="12" t="s">
        <v>8962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ht="13" x14ac:dyDescent="0.15">
      <c r="A1893" s="2">
        <v>1163560</v>
      </c>
      <c r="B1893" s="12" t="s">
        <v>8963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ht="13" x14ac:dyDescent="0.15">
      <c r="A1894" s="2">
        <v>5095130</v>
      </c>
      <c r="B1894" s="12" t="s">
        <v>8964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ht="13" x14ac:dyDescent="0.15">
      <c r="A1895" s="2">
        <v>1050289</v>
      </c>
      <c r="B1895" s="12" t="s">
        <v>8965</v>
      </c>
      <c r="C1895">
        <v>1</v>
      </c>
      <c r="D1895">
        <v>0</v>
      </c>
      <c r="E1895">
        <v>0</v>
      </c>
      <c r="F1895">
        <v>0</v>
      </c>
      <c r="G1895">
        <v>0</v>
      </c>
    </row>
    <row r="1896" spans="1:7" ht="13" x14ac:dyDescent="0.15">
      <c r="A1896" s="2">
        <v>7214196</v>
      </c>
      <c r="B1896" s="12" t="s">
        <v>8966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ht="13" x14ac:dyDescent="0.15">
      <c r="A1897" s="2">
        <v>2786956</v>
      </c>
      <c r="B1897" s="12" t="s">
        <v>8967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ht="13" x14ac:dyDescent="0.15">
      <c r="A1898" s="2">
        <v>2543378</v>
      </c>
      <c r="B1898" s="12" t="s">
        <v>8968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ht="13" x14ac:dyDescent="0.15">
      <c r="A1899" s="2">
        <v>92400</v>
      </c>
      <c r="B1899" s="12" t="s">
        <v>8969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ht="13" x14ac:dyDescent="0.15">
      <c r="A1900" s="2">
        <v>3460454</v>
      </c>
      <c r="B1900" s="12" t="s">
        <v>8970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ht="13" x14ac:dyDescent="0.15">
      <c r="A1901" s="2">
        <v>3601366</v>
      </c>
      <c r="B1901" s="12" t="s">
        <v>8971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ht="13" x14ac:dyDescent="0.15">
      <c r="A1902" s="2">
        <v>163949</v>
      </c>
      <c r="B1902" s="12" t="s">
        <v>8972</v>
      </c>
      <c r="C1902">
        <v>0</v>
      </c>
      <c r="D1902">
        <v>0</v>
      </c>
      <c r="E1902">
        <v>0</v>
      </c>
      <c r="F1902">
        <v>0</v>
      </c>
      <c r="G1902">
        <v>1</v>
      </c>
    </row>
    <row r="1903" spans="1:7" ht="13" x14ac:dyDescent="0.15">
      <c r="A1903" s="2">
        <v>103488</v>
      </c>
      <c r="B1903" s="12" t="s">
        <v>8973</v>
      </c>
      <c r="C1903">
        <v>0</v>
      </c>
      <c r="D1903">
        <v>0</v>
      </c>
      <c r="E1903">
        <v>0</v>
      </c>
      <c r="F1903">
        <v>0</v>
      </c>
      <c r="G1903">
        <v>1</v>
      </c>
    </row>
    <row r="1904" spans="1:7" ht="13" x14ac:dyDescent="0.15">
      <c r="A1904" s="2">
        <v>7407770</v>
      </c>
      <c r="B1904" s="12" t="s">
        <v>8974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ht="13" x14ac:dyDescent="0.15">
      <c r="A1905" s="2">
        <v>3644256</v>
      </c>
      <c r="B1905" s="12" t="s">
        <v>8975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ht="13" x14ac:dyDescent="0.15">
      <c r="A1906" s="2">
        <v>10163846</v>
      </c>
      <c r="B1906" s="12" t="s">
        <v>8976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ht="13" x14ac:dyDescent="0.15">
      <c r="A1907" s="2">
        <v>6579366</v>
      </c>
      <c r="B1907" s="12" t="s">
        <v>8977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ht="13" x14ac:dyDescent="0.15">
      <c r="A1908" s="2">
        <v>6236572</v>
      </c>
      <c r="B1908" s="12" t="s">
        <v>8978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ht="13" x14ac:dyDescent="0.15">
      <c r="A1909" s="2">
        <v>1852598</v>
      </c>
      <c r="B1909" s="12" t="s">
        <v>8979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ht="13" x14ac:dyDescent="0.15">
      <c r="A1910" s="2">
        <v>4635276</v>
      </c>
      <c r="B1910" s="12" t="s">
        <v>8980</v>
      </c>
      <c r="C1910">
        <v>0</v>
      </c>
      <c r="D1910">
        <v>0</v>
      </c>
      <c r="E1910">
        <v>0</v>
      </c>
      <c r="F1910">
        <v>0</v>
      </c>
      <c r="G1910">
        <v>1</v>
      </c>
    </row>
    <row r="1911" spans="1:7" ht="13" x14ac:dyDescent="0.15">
      <c r="A1911" s="2">
        <v>1694423</v>
      </c>
      <c r="B1911" s="12" t="s">
        <v>8981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ht="13" x14ac:dyDescent="0.15">
      <c r="A1912" s="2">
        <v>3038248</v>
      </c>
      <c r="B1912" s="12" t="s">
        <v>8982</v>
      </c>
      <c r="C1912">
        <v>1</v>
      </c>
      <c r="D1912">
        <v>0</v>
      </c>
      <c r="E1912">
        <v>0</v>
      </c>
      <c r="F1912">
        <v>0</v>
      </c>
      <c r="G1912">
        <v>0</v>
      </c>
    </row>
    <row r="1913" spans="1:7" ht="13" x14ac:dyDescent="0.15">
      <c r="A1913" s="2">
        <v>3052478</v>
      </c>
      <c r="B1913" s="12" t="s">
        <v>8983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ht="13" x14ac:dyDescent="0.15">
      <c r="A1914" s="2">
        <v>2137109</v>
      </c>
      <c r="B1914" s="12" t="s">
        <v>8984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ht="13" x14ac:dyDescent="0.15">
      <c r="A1915" s="2">
        <v>331744</v>
      </c>
      <c r="B1915" s="12" t="s">
        <v>8985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ht="13" x14ac:dyDescent="0.15">
      <c r="A1916" s="2">
        <v>5672484</v>
      </c>
      <c r="B1916" s="12" t="s">
        <v>8986</v>
      </c>
      <c r="C1916">
        <v>1</v>
      </c>
      <c r="D1916">
        <v>0</v>
      </c>
      <c r="E1916">
        <v>0</v>
      </c>
      <c r="F1916">
        <v>0</v>
      </c>
      <c r="G1916">
        <v>0</v>
      </c>
    </row>
    <row r="1917" spans="1:7" ht="13" x14ac:dyDescent="0.15">
      <c r="A1917" s="2">
        <v>90481</v>
      </c>
      <c r="B1917" s="12" t="s">
        <v>8987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ht="13" x14ac:dyDescent="0.15">
      <c r="A1918" s="2">
        <v>7550336</v>
      </c>
      <c r="B1918" s="12" t="s">
        <v>8988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ht="13" x14ac:dyDescent="0.15">
      <c r="A1919" s="2">
        <v>92402</v>
      </c>
      <c r="B1919" s="12" t="s">
        <v>8989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ht="13" x14ac:dyDescent="0.15">
      <c r="A1920" s="2">
        <v>7224710</v>
      </c>
      <c r="B1920" s="12" t="s">
        <v>8990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ht="13" x14ac:dyDescent="0.15">
      <c r="A1921" s="2">
        <v>5715524</v>
      </c>
      <c r="B1921" s="12" t="s">
        <v>8991</v>
      </c>
      <c r="C1921">
        <v>1</v>
      </c>
      <c r="D1921">
        <v>0</v>
      </c>
      <c r="E1921">
        <v>0</v>
      </c>
      <c r="F1921">
        <v>0</v>
      </c>
      <c r="G1921">
        <v>1</v>
      </c>
    </row>
    <row r="1922" spans="1:7" ht="13" x14ac:dyDescent="0.15">
      <c r="A1922" s="2">
        <v>292414</v>
      </c>
      <c r="B1922" s="12" t="s">
        <v>8992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ht="13" x14ac:dyDescent="0.15">
      <c r="A1923" s="2">
        <v>6271042</v>
      </c>
      <c r="B1923" s="12" t="s">
        <v>8993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ht="13" x14ac:dyDescent="0.15">
      <c r="A1924" s="2">
        <v>1676824</v>
      </c>
      <c r="B1924" s="12" t="s">
        <v>8994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ht="13" x14ac:dyDescent="0.15">
      <c r="A1925" s="2">
        <v>1072965</v>
      </c>
      <c r="B1925" s="12" t="s">
        <v>8995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ht="13" x14ac:dyDescent="0.15">
      <c r="A1926" s="2">
        <v>865546</v>
      </c>
      <c r="B1926" s="12" t="s">
        <v>8996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ht="13" x14ac:dyDescent="0.15">
      <c r="A1927" s="2">
        <v>2147262</v>
      </c>
      <c r="B1927" s="12" t="s">
        <v>8997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ht="13" x14ac:dyDescent="0.15">
      <c r="A1928" s="2">
        <v>6395566</v>
      </c>
      <c r="B1928" s="12" t="s">
        <v>8998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ht="13" x14ac:dyDescent="0.15">
      <c r="A1929" s="2">
        <v>7440274</v>
      </c>
      <c r="B1929" s="12" t="s">
        <v>8999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ht="13" x14ac:dyDescent="0.15">
      <c r="A1930" s="2">
        <v>5057130</v>
      </c>
      <c r="B1930" s="12" t="s">
        <v>9000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ht="13" x14ac:dyDescent="0.15">
      <c r="A1931" s="2">
        <v>412175</v>
      </c>
      <c r="B1931" s="12" t="s">
        <v>9001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ht="13" x14ac:dyDescent="0.15">
      <c r="A1932" s="2">
        <v>118397</v>
      </c>
      <c r="B1932" s="12" t="s">
        <v>9002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ht="13" x14ac:dyDescent="0.15">
      <c r="A1933" s="2">
        <v>348512</v>
      </c>
      <c r="B1933" s="12" t="s">
        <v>9003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ht="13" x14ac:dyDescent="0.15">
      <c r="A1934" s="2">
        <v>165046</v>
      </c>
      <c r="B1934" s="12" t="s">
        <v>9004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ht="13" x14ac:dyDescent="0.15">
      <c r="A1935" s="2">
        <v>361201</v>
      </c>
      <c r="B1935" s="12" t="s">
        <v>9005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ht="13" x14ac:dyDescent="0.15">
      <c r="A1936" s="2">
        <v>160523</v>
      </c>
      <c r="B1936" s="12" t="s">
        <v>9006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ht="13" x14ac:dyDescent="0.15">
      <c r="A1937" s="2">
        <v>1360443</v>
      </c>
      <c r="B1937" s="12" t="s">
        <v>9007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ht="13" x14ac:dyDescent="0.15">
      <c r="A1938" s="2">
        <v>1597420</v>
      </c>
      <c r="B1938" s="12" t="s">
        <v>9008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ht="13" x14ac:dyDescent="0.15">
      <c r="A1939" s="2">
        <v>103491</v>
      </c>
      <c r="B1939" s="12" t="s">
        <v>9009</v>
      </c>
      <c r="C1939">
        <v>1</v>
      </c>
      <c r="D1939">
        <v>0</v>
      </c>
      <c r="E1939">
        <v>0</v>
      </c>
      <c r="F1939">
        <v>0</v>
      </c>
      <c r="G1939">
        <v>0</v>
      </c>
    </row>
    <row r="1940" spans="1:7" ht="13" x14ac:dyDescent="0.15">
      <c r="A1940" s="2">
        <v>8236556</v>
      </c>
      <c r="B1940" s="12" t="s">
        <v>9010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ht="13" x14ac:dyDescent="0.15">
      <c r="A1941" s="2">
        <v>1409008</v>
      </c>
      <c r="B1941" s="12" t="s">
        <v>9011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ht="13" x14ac:dyDescent="0.15">
      <c r="A1942" s="2">
        <v>115265</v>
      </c>
      <c r="B1942" s="12" t="s">
        <v>9012</v>
      </c>
      <c r="C1942">
        <v>1</v>
      </c>
      <c r="D1942">
        <v>0</v>
      </c>
      <c r="E1942">
        <v>0</v>
      </c>
      <c r="F1942">
        <v>0</v>
      </c>
      <c r="G1942">
        <v>0</v>
      </c>
    </row>
    <row r="1943" spans="1:7" ht="13" x14ac:dyDescent="0.15">
      <c r="A1943" s="2">
        <v>1442435</v>
      </c>
      <c r="B1943" s="12" t="s">
        <v>9013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ht="13" x14ac:dyDescent="0.15">
      <c r="A1944" s="2">
        <v>4597870</v>
      </c>
      <c r="B1944" s="12" t="s">
        <v>9014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ht="13" x14ac:dyDescent="0.15">
      <c r="A1945" s="2">
        <v>1636699</v>
      </c>
      <c r="B1945" s="12" t="s">
        <v>9015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ht="13" x14ac:dyDescent="0.15">
      <c r="A1946" s="2">
        <v>1199099</v>
      </c>
      <c r="B1946" s="12" t="s">
        <v>9016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ht="13" x14ac:dyDescent="0.15">
      <c r="A1947" s="2">
        <v>1978940</v>
      </c>
      <c r="B1947" s="12" t="s">
        <v>9017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ht="13" x14ac:dyDescent="0.15">
      <c r="A1948" s="2">
        <v>839188</v>
      </c>
      <c r="B1948" s="12" t="s">
        <v>9018</v>
      </c>
      <c r="C1948">
        <v>0</v>
      </c>
      <c r="D1948">
        <v>0</v>
      </c>
      <c r="E1948">
        <v>1</v>
      </c>
      <c r="F1948">
        <v>0</v>
      </c>
      <c r="G1948">
        <v>0</v>
      </c>
    </row>
    <row r="1949" spans="1:7" ht="13" x14ac:dyDescent="0.15">
      <c r="A1949" s="2">
        <v>8690890</v>
      </c>
      <c r="B1949" s="12" t="s">
        <v>9019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ht="13" x14ac:dyDescent="0.15">
      <c r="A1950" s="2">
        <v>212216</v>
      </c>
      <c r="B1950" s="12" t="s">
        <v>9020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ht="13" x14ac:dyDescent="0.15">
      <c r="A1951" s="2">
        <v>1043162</v>
      </c>
      <c r="B1951" s="12" t="s">
        <v>9021</v>
      </c>
      <c r="C1951">
        <v>1</v>
      </c>
      <c r="D1951">
        <v>0</v>
      </c>
      <c r="E1951">
        <v>0</v>
      </c>
      <c r="F1951">
        <v>0</v>
      </c>
      <c r="G1951">
        <v>0</v>
      </c>
    </row>
    <row r="1952" spans="1:7" ht="13" x14ac:dyDescent="0.15">
      <c r="A1952" s="2">
        <v>468607</v>
      </c>
      <c r="B1952" s="12" t="s">
        <v>9022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ht="13" x14ac:dyDescent="0.15">
      <c r="A1953" s="2">
        <v>472014</v>
      </c>
      <c r="B1953" s="12" t="s">
        <v>9023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ht="13" x14ac:dyDescent="0.15">
      <c r="A1954" s="2">
        <v>86759</v>
      </c>
      <c r="B1954" s="12" t="s">
        <v>9024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ht="13" x14ac:dyDescent="0.15">
      <c r="A1955" s="2">
        <v>303496</v>
      </c>
      <c r="B1955" s="12" t="s">
        <v>9025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ht="13" x14ac:dyDescent="0.15">
      <c r="A1956" s="2">
        <v>1043732</v>
      </c>
      <c r="B1956" s="12" t="s">
        <v>9026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ht="13" x14ac:dyDescent="0.15">
      <c r="A1957" s="2">
        <v>6264782</v>
      </c>
      <c r="B1957" s="12" t="s">
        <v>9027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ht="13" x14ac:dyDescent="0.15">
      <c r="A1958" s="2">
        <v>2768802</v>
      </c>
      <c r="B1958" s="12" t="s">
        <v>9028</v>
      </c>
      <c r="C1958">
        <v>1</v>
      </c>
      <c r="D1958">
        <v>0</v>
      </c>
      <c r="E1958">
        <v>0</v>
      </c>
      <c r="F1958">
        <v>0</v>
      </c>
      <c r="G1958">
        <v>0</v>
      </c>
    </row>
    <row r="1959" spans="1:7" ht="13" x14ac:dyDescent="0.15">
      <c r="A1959" s="2">
        <v>784896</v>
      </c>
      <c r="B1959" s="12" t="s">
        <v>9029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ht="13" x14ac:dyDescent="0.15">
      <c r="A1960" s="2">
        <v>198181</v>
      </c>
      <c r="B1960" s="12" t="s">
        <v>9030</v>
      </c>
      <c r="C1960">
        <v>1</v>
      </c>
      <c r="D1960">
        <v>0</v>
      </c>
      <c r="E1960">
        <v>0</v>
      </c>
      <c r="F1960">
        <v>0</v>
      </c>
      <c r="G1960">
        <v>0</v>
      </c>
    </row>
    <row r="1961" spans="1:7" ht="13" x14ac:dyDescent="0.15">
      <c r="A1961" s="2">
        <v>4836846</v>
      </c>
      <c r="B1961" s="12" t="s">
        <v>9031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ht="13" x14ac:dyDescent="0.15">
      <c r="A1962" s="2">
        <v>5464086</v>
      </c>
      <c r="B1962" s="12" t="s">
        <v>9032</v>
      </c>
      <c r="C1962">
        <v>0</v>
      </c>
      <c r="D1962">
        <v>1</v>
      </c>
      <c r="E1962">
        <v>0</v>
      </c>
      <c r="F1962">
        <v>0</v>
      </c>
      <c r="G1962">
        <v>0</v>
      </c>
    </row>
    <row r="1963" spans="1:7" ht="13" x14ac:dyDescent="0.15">
      <c r="A1963" s="2">
        <v>118401</v>
      </c>
      <c r="B1963" s="12" t="s">
        <v>9033</v>
      </c>
      <c r="C1963">
        <v>0</v>
      </c>
      <c r="D1963">
        <v>1</v>
      </c>
      <c r="E1963">
        <v>0</v>
      </c>
      <c r="F1963">
        <v>0</v>
      </c>
      <c r="G1963">
        <v>0</v>
      </c>
    </row>
    <row r="1964" spans="1:7" ht="13" x14ac:dyDescent="0.15">
      <c r="A1964" s="2">
        <v>106064</v>
      </c>
      <c r="B1964" s="12" t="s">
        <v>9034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ht="13" x14ac:dyDescent="0.15">
      <c r="A1965" s="2">
        <v>1592648</v>
      </c>
      <c r="B1965" s="12" t="s">
        <v>9035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ht="13" x14ac:dyDescent="0.15">
      <c r="A1966" s="2">
        <v>1608180</v>
      </c>
      <c r="B1966" s="12" t="s">
        <v>9036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ht="13" x14ac:dyDescent="0.15">
      <c r="A1967" s="2">
        <v>3038546</v>
      </c>
      <c r="B1967" s="12" t="s">
        <v>9037</v>
      </c>
      <c r="C1967">
        <v>0</v>
      </c>
      <c r="D1967">
        <v>0</v>
      </c>
      <c r="E1967">
        <v>1</v>
      </c>
      <c r="F1967">
        <v>0</v>
      </c>
      <c r="G1967">
        <v>0</v>
      </c>
    </row>
    <row r="1968" spans="1:7" ht="13" x14ac:dyDescent="0.15">
      <c r="A1968" s="2">
        <v>354318</v>
      </c>
      <c r="B1968" s="12" t="s">
        <v>9038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ht="13" x14ac:dyDescent="0.15">
      <c r="A1969" s="2">
        <v>3098856</v>
      </c>
      <c r="B1969" s="12" t="s">
        <v>9039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ht="13" x14ac:dyDescent="0.15">
      <c r="A1970" s="2">
        <v>115270</v>
      </c>
      <c r="B1970" s="12" t="s">
        <v>9040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ht="13" x14ac:dyDescent="0.15">
      <c r="A1971" s="2">
        <v>815063</v>
      </c>
      <c r="B1971" s="12" t="s">
        <v>9041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ht="13" x14ac:dyDescent="0.15">
      <c r="A1972" s="2">
        <v>1879599</v>
      </c>
      <c r="B1972" s="12" t="s">
        <v>9042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ht="13" x14ac:dyDescent="0.15">
      <c r="A1973" s="2">
        <v>1619473</v>
      </c>
      <c r="B1973" s="12" t="s">
        <v>9043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ht="13" x14ac:dyDescent="0.15">
      <c r="A1974" s="2">
        <v>6439562</v>
      </c>
      <c r="B1974" s="12" t="s">
        <v>9044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ht="13" x14ac:dyDescent="0.15">
      <c r="A1975" s="2">
        <v>468999</v>
      </c>
      <c r="B1975" s="12" t="s">
        <v>9045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ht="13" x14ac:dyDescent="0.15">
      <c r="A1976" s="2">
        <v>5290382</v>
      </c>
      <c r="B1976" s="12" t="s">
        <v>9046</v>
      </c>
      <c r="C1976">
        <v>0</v>
      </c>
      <c r="D1976">
        <v>1</v>
      </c>
      <c r="E1976">
        <v>0</v>
      </c>
      <c r="F1976">
        <v>1</v>
      </c>
      <c r="G1976">
        <v>0</v>
      </c>
    </row>
    <row r="1977" spans="1:7" ht="13" x14ac:dyDescent="0.15">
      <c r="A1977" s="2">
        <v>4450826</v>
      </c>
      <c r="B1977" s="12" t="s">
        <v>9047</v>
      </c>
      <c r="C1977">
        <v>0</v>
      </c>
      <c r="D1977">
        <v>0</v>
      </c>
      <c r="E1977">
        <v>0</v>
      </c>
      <c r="F1977">
        <v>1</v>
      </c>
      <c r="G1977">
        <v>1</v>
      </c>
    </row>
    <row r="1978" spans="1:7" ht="13" x14ac:dyDescent="0.15">
      <c r="A1978" s="2">
        <v>7117634</v>
      </c>
      <c r="B1978" s="12" t="s">
        <v>9048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ht="13" x14ac:dyDescent="0.15">
      <c r="A1979" s="2">
        <v>2580046</v>
      </c>
      <c r="B1979" s="12" t="s">
        <v>9049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ht="13" x14ac:dyDescent="0.15">
      <c r="A1980" s="2">
        <v>1533435</v>
      </c>
      <c r="B1980" s="12" t="s">
        <v>9050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ht="13" x14ac:dyDescent="0.15">
      <c r="A1981" s="2">
        <v>8655796</v>
      </c>
      <c r="B1981" s="12" t="s">
        <v>9051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ht="13" x14ac:dyDescent="0.15">
      <c r="A1982" s="2">
        <v>112073</v>
      </c>
      <c r="B1982" s="12" t="s">
        <v>9052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ht="13" x14ac:dyDescent="0.15">
      <c r="A1983" s="2">
        <v>6473300</v>
      </c>
      <c r="B1983" s="12" t="s">
        <v>9053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ht="13" x14ac:dyDescent="0.15">
      <c r="A1984" s="2">
        <v>1548850</v>
      </c>
      <c r="B1984" s="12" t="s">
        <v>9054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ht="13" x14ac:dyDescent="0.15">
      <c r="A1985" s="2">
        <v>1039877</v>
      </c>
      <c r="B1985" s="12" t="s">
        <v>9055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ht="13" x14ac:dyDescent="0.15">
      <c r="A1986" s="2">
        <v>1988386</v>
      </c>
      <c r="B1986" s="12" t="s">
        <v>9056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ht="13" x14ac:dyDescent="0.15">
      <c r="A1987" s="2">
        <v>1380582</v>
      </c>
      <c r="B1987" s="12" t="s">
        <v>9057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ht="13" x14ac:dyDescent="0.15">
      <c r="A1988" s="2">
        <v>1648934</v>
      </c>
      <c r="B1988" s="12" t="s">
        <v>9057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ht="13" x14ac:dyDescent="0.15">
      <c r="A1989" s="2">
        <v>1828246</v>
      </c>
      <c r="B1989" s="12" t="s">
        <v>9057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ht="13" x14ac:dyDescent="0.15">
      <c r="A1990" s="2">
        <v>5982986</v>
      </c>
      <c r="B1990" s="12" t="s">
        <v>9058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ht="13" x14ac:dyDescent="0.15">
      <c r="A1991" s="2">
        <v>94511</v>
      </c>
      <c r="B1991" s="12" t="s">
        <v>9059</v>
      </c>
      <c r="C1991">
        <v>1</v>
      </c>
      <c r="D1991">
        <v>0</v>
      </c>
      <c r="E1991">
        <v>0</v>
      </c>
      <c r="F1991">
        <v>0</v>
      </c>
      <c r="G1991">
        <v>0</v>
      </c>
    </row>
    <row r="1992" spans="1:7" ht="13" x14ac:dyDescent="0.15">
      <c r="A1992" s="2">
        <v>8606894</v>
      </c>
      <c r="B1992" s="12" t="s">
        <v>9060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ht="13" x14ac:dyDescent="0.15">
      <c r="A1993" s="2">
        <v>969007</v>
      </c>
      <c r="B1993" s="12" t="s">
        <v>9061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ht="13" x14ac:dyDescent="0.15">
      <c r="A1994" s="2">
        <v>2295809</v>
      </c>
      <c r="B1994" s="12" t="s">
        <v>9061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ht="13" x14ac:dyDescent="0.15">
      <c r="A1995" s="2">
        <v>1827163</v>
      </c>
      <c r="B1995" s="12" t="s">
        <v>9062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ht="13" x14ac:dyDescent="0.15">
      <c r="A1996" s="2">
        <v>1877712</v>
      </c>
      <c r="B1996" s="12" t="s">
        <v>9063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ht="13" x14ac:dyDescent="0.15">
      <c r="A1997" s="2">
        <v>159182</v>
      </c>
      <c r="B1997" s="12" t="s">
        <v>9064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ht="13" x14ac:dyDescent="0.15">
      <c r="A1998" s="2">
        <v>374407</v>
      </c>
      <c r="B1998" s="12" t="s">
        <v>9065</v>
      </c>
      <c r="C1998">
        <v>1</v>
      </c>
      <c r="D1998">
        <v>0</v>
      </c>
      <c r="E1998">
        <v>0</v>
      </c>
      <c r="F1998">
        <v>0</v>
      </c>
      <c r="G1998">
        <v>0</v>
      </c>
    </row>
    <row r="1999" spans="1:7" ht="13" x14ac:dyDescent="0.15">
      <c r="A1999" s="2">
        <v>434694</v>
      </c>
      <c r="B1999" s="12" t="s">
        <v>9066</v>
      </c>
      <c r="C1999">
        <v>1</v>
      </c>
      <c r="D1999">
        <v>0</v>
      </c>
      <c r="E1999">
        <v>0</v>
      </c>
      <c r="F1999">
        <v>0</v>
      </c>
      <c r="G1999">
        <v>0</v>
      </c>
    </row>
    <row r="2000" spans="1:7" ht="13" x14ac:dyDescent="0.15">
      <c r="A2000" s="2">
        <v>159193</v>
      </c>
      <c r="B2000" s="12" t="s">
        <v>9067</v>
      </c>
      <c r="C2000">
        <v>1</v>
      </c>
      <c r="D2000">
        <v>0</v>
      </c>
      <c r="E2000">
        <v>0</v>
      </c>
      <c r="F2000">
        <v>0</v>
      </c>
      <c r="G2000">
        <v>0</v>
      </c>
    </row>
    <row r="2001" spans="1:7" ht="13" x14ac:dyDescent="0.15">
      <c r="A2001" s="2">
        <v>159184</v>
      </c>
      <c r="B2001" s="12" t="s">
        <v>9068</v>
      </c>
      <c r="C2001">
        <v>1</v>
      </c>
      <c r="D2001">
        <v>0</v>
      </c>
      <c r="E2001">
        <v>0</v>
      </c>
      <c r="F2001">
        <v>0</v>
      </c>
      <c r="G2001">
        <v>0</v>
      </c>
    </row>
    <row r="2002" spans="1:7" ht="13" x14ac:dyDescent="0.15">
      <c r="A2002" s="2">
        <v>159186</v>
      </c>
      <c r="B2002" s="12" t="s">
        <v>9069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ht="13" x14ac:dyDescent="0.15">
      <c r="A2003" s="2">
        <v>2042131</v>
      </c>
      <c r="B2003" s="12" t="s">
        <v>9070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ht="13" x14ac:dyDescent="0.15">
      <c r="A2004" s="2">
        <v>1442437</v>
      </c>
      <c r="B2004" s="12" t="s">
        <v>9071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ht="13" x14ac:dyDescent="0.15">
      <c r="A2005" s="2">
        <v>8543390</v>
      </c>
      <c r="B2005" s="12" t="s">
        <v>9072</v>
      </c>
      <c r="C2005">
        <v>0</v>
      </c>
      <c r="D2005">
        <v>1</v>
      </c>
      <c r="E2005">
        <v>0</v>
      </c>
      <c r="F2005">
        <v>0</v>
      </c>
      <c r="G2005">
        <v>0</v>
      </c>
    </row>
    <row r="2006" spans="1:7" ht="13" x14ac:dyDescent="0.15">
      <c r="A2006" s="2">
        <v>2660806</v>
      </c>
      <c r="B2006" s="12" t="s">
        <v>9073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ht="13" x14ac:dyDescent="0.15">
      <c r="A2007" s="2">
        <v>7316014</v>
      </c>
      <c r="B2007" s="12" t="s">
        <v>9074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ht="13" x14ac:dyDescent="0.15">
      <c r="A2008" s="2">
        <v>262972</v>
      </c>
      <c r="B2008" s="12" t="s">
        <v>9075</v>
      </c>
      <c r="C2008">
        <v>0</v>
      </c>
      <c r="D2008">
        <v>1</v>
      </c>
      <c r="E2008">
        <v>0</v>
      </c>
      <c r="F2008">
        <v>0</v>
      </c>
      <c r="G2008">
        <v>0</v>
      </c>
    </row>
    <row r="2009" spans="1:7" ht="13" x14ac:dyDescent="0.15">
      <c r="A2009" s="2">
        <v>238793</v>
      </c>
      <c r="B2009" s="12" t="s">
        <v>9076</v>
      </c>
      <c r="C2009">
        <v>0</v>
      </c>
      <c r="D2009">
        <v>1</v>
      </c>
      <c r="E2009">
        <v>0</v>
      </c>
      <c r="F2009">
        <v>0</v>
      </c>
      <c r="G2009">
        <v>0</v>
      </c>
    </row>
    <row r="2010" spans="1:7" ht="13" x14ac:dyDescent="0.15">
      <c r="A2010" s="2">
        <v>6468322</v>
      </c>
      <c r="B2010" s="12" t="s">
        <v>9077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ht="13" x14ac:dyDescent="0.15">
      <c r="A2011" s="2">
        <v>1678749</v>
      </c>
      <c r="B2011" s="12" t="s">
        <v>9078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ht="13" x14ac:dyDescent="0.15">
      <c r="A2012" s="2">
        <v>312172</v>
      </c>
      <c r="B2012" s="12" t="s">
        <v>9079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ht="13" x14ac:dyDescent="0.15">
      <c r="A2013" s="2">
        <v>3140006</v>
      </c>
      <c r="B2013" s="12" t="s">
        <v>9080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ht="13" x14ac:dyDescent="0.15">
      <c r="A2014" s="2">
        <v>434706</v>
      </c>
      <c r="B2014" s="12" t="s">
        <v>9081</v>
      </c>
      <c r="C2014">
        <v>0</v>
      </c>
      <c r="D2014">
        <v>1</v>
      </c>
      <c r="E2014">
        <v>0</v>
      </c>
      <c r="F2014">
        <v>0</v>
      </c>
      <c r="G2014">
        <v>0</v>
      </c>
    </row>
    <row r="2015" spans="1:7" ht="13" x14ac:dyDescent="0.15">
      <c r="A2015" s="2">
        <v>4831392</v>
      </c>
      <c r="B2015" s="12" t="s">
        <v>9082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ht="13" x14ac:dyDescent="0.15">
      <c r="A2016" s="2">
        <v>1579911</v>
      </c>
      <c r="B2016" s="12" t="s">
        <v>9083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ht="13" x14ac:dyDescent="0.15">
      <c r="A2017" s="2">
        <v>286371</v>
      </c>
      <c r="B2017" s="12" t="s">
        <v>9084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ht="13" x14ac:dyDescent="0.15">
      <c r="A2018" s="2">
        <v>5320412</v>
      </c>
      <c r="B2018" s="12" t="s">
        <v>9085</v>
      </c>
      <c r="C2018">
        <v>0</v>
      </c>
      <c r="D2018">
        <v>1</v>
      </c>
      <c r="E2018">
        <v>0</v>
      </c>
      <c r="F2018">
        <v>0</v>
      </c>
      <c r="G2018">
        <v>0</v>
      </c>
    </row>
    <row r="2019" spans="1:7" ht="13" x14ac:dyDescent="0.15">
      <c r="A2019" s="2">
        <v>2319283</v>
      </c>
      <c r="B2019" s="12" t="s">
        <v>9086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ht="13" x14ac:dyDescent="0.15">
      <c r="A2020" s="2">
        <v>88571</v>
      </c>
      <c r="B2020" s="12" t="s">
        <v>9087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ht="13" x14ac:dyDescent="0.15">
      <c r="A2021" s="2">
        <v>1877005</v>
      </c>
      <c r="B2021" s="12" t="s">
        <v>9088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ht="13" x14ac:dyDescent="0.15">
      <c r="A2022" s="2">
        <v>476922</v>
      </c>
      <c r="B2022" s="12" t="s">
        <v>9089</v>
      </c>
      <c r="C2022">
        <v>0</v>
      </c>
      <c r="D2022">
        <v>0</v>
      </c>
      <c r="E2022">
        <v>1</v>
      </c>
      <c r="F2022">
        <v>0</v>
      </c>
      <c r="G2022">
        <v>0</v>
      </c>
    </row>
    <row r="2023" spans="1:7" ht="13" x14ac:dyDescent="0.15">
      <c r="A2023" s="2">
        <v>391666</v>
      </c>
      <c r="B2023" s="12" t="s">
        <v>9090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ht="13" x14ac:dyDescent="0.15">
      <c r="A2024" s="2">
        <v>3169450</v>
      </c>
      <c r="B2024" s="12" t="s">
        <v>9091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ht="13" x14ac:dyDescent="0.15">
      <c r="A2025" s="2">
        <v>8722386</v>
      </c>
      <c r="B2025" s="12" t="s">
        <v>9092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ht="13" x14ac:dyDescent="0.15">
      <c r="A2026" s="2">
        <v>170982</v>
      </c>
      <c r="B2026" s="12" t="s">
        <v>9093</v>
      </c>
      <c r="C2026">
        <v>1</v>
      </c>
      <c r="D2026">
        <v>0</v>
      </c>
      <c r="E2026">
        <v>0</v>
      </c>
      <c r="F2026">
        <v>1</v>
      </c>
      <c r="G2026">
        <v>0</v>
      </c>
    </row>
    <row r="2027" spans="1:7" ht="13" x14ac:dyDescent="0.15">
      <c r="A2027" s="2">
        <v>122355</v>
      </c>
      <c r="B2027" s="12" t="s">
        <v>9094</v>
      </c>
      <c r="C2027">
        <v>0</v>
      </c>
      <c r="D2027">
        <v>0</v>
      </c>
      <c r="E2027">
        <v>0</v>
      </c>
      <c r="F2027">
        <v>1</v>
      </c>
      <c r="G2027">
        <v>0</v>
      </c>
    </row>
    <row r="2028" spans="1:7" ht="13" x14ac:dyDescent="0.15">
      <c r="A2028" s="2">
        <v>1842127</v>
      </c>
      <c r="B2028" s="12" t="s">
        <v>9095</v>
      </c>
      <c r="C2028">
        <v>1</v>
      </c>
      <c r="D2028">
        <v>0</v>
      </c>
      <c r="E2028">
        <v>0</v>
      </c>
      <c r="F2028">
        <v>0</v>
      </c>
      <c r="G2028">
        <v>0</v>
      </c>
    </row>
    <row r="2029" spans="1:7" ht="13" x14ac:dyDescent="0.15">
      <c r="A2029" s="2">
        <v>1750905</v>
      </c>
      <c r="B2029" s="14" t="s">
        <v>9096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ht="13" x14ac:dyDescent="0.15">
      <c r="A2030" s="2">
        <v>1066032</v>
      </c>
      <c r="B2030" s="12" t="s">
        <v>9097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ht="13" x14ac:dyDescent="0.15">
      <c r="A2031" s="2">
        <v>362355</v>
      </c>
      <c r="B2031" s="12" t="s">
        <v>9098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ht="13" x14ac:dyDescent="0.15">
      <c r="A2032" s="2">
        <v>106072</v>
      </c>
      <c r="B2032" s="12" t="s">
        <v>9099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ht="13" x14ac:dyDescent="0.15">
      <c r="A2033" s="2">
        <v>6006350</v>
      </c>
      <c r="B2033" s="12" t="s">
        <v>9100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ht="13" x14ac:dyDescent="0.15">
      <c r="A2034" s="2">
        <v>2443340</v>
      </c>
      <c r="B2034" s="12" t="s">
        <v>9101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ht="13" x14ac:dyDescent="0.15">
      <c r="A2035" s="2">
        <v>1528497</v>
      </c>
      <c r="B2035" s="12" t="s">
        <v>9102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ht="13" x14ac:dyDescent="0.15">
      <c r="A2036" s="2">
        <v>2390791</v>
      </c>
      <c r="B2036" s="12" t="s">
        <v>9103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ht="13" x14ac:dyDescent="0.15">
      <c r="A2037" s="2">
        <v>2310212</v>
      </c>
      <c r="B2037" s="12" t="s">
        <v>9104</v>
      </c>
      <c r="C2037">
        <v>0</v>
      </c>
      <c r="D2037">
        <v>1</v>
      </c>
      <c r="E2037">
        <v>0</v>
      </c>
      <c r="F2037">
        <v>0</v>
      </c>
      <c r="G2037">
        <v>0</v>
      </c>
    </row>
    <row r="2038" spans="1:7" ht="13" x14ac:dyDescent="0.15">
      <c r="A2038" s="2">
        <v>96657</v>
      </c>
      <c r="B2038" s="12" t="s">
        <v>9105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ht="13" x14ac:dyDescent="0.15">
      <c r="A2039" s="2">
        <v>4354880</v>
      </c>
      <c r="B2039" s="12" t="s">
        <v>9106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ht="13" x14ac:dyDescent="0.15">
      <c r="A2040" s="2">
        <v>2950342</v>
      </c>
      <c r="B2040" s="12" t="s">
        <v>9107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ht="13" x14ac:dyDescent="0.15">
      <c r="A2041" s="2">
        <v>4158110</v>
      </c>
      <c r="B2041" s="12" t="s">
        <v>9108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ht="13" x14ac:dyDescent="0.15">
      <c r="A2042" s="2">
        <v>112084</v>
      </c>
      <c r="B2042" s="12" t="s">
        <v>9109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ht="13" x14ac:dyDescent="0.15">
      <c r="A2043" s="2">
        <v>2789226</v>
      </c>
      <c r="B2043" s="12" t="s">
        <v>9110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ht="13" x14ac:dyDescent="0.15">
      <c r="A2044" s="2">
        <v>1583638</v>
      </c>
      <c r="B2044" s="12" t="s">
        <v>9111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ht="13" x14ac:dyDescent="0.15">
      <c r="A2045" s="2">
        <v>1819022</v>
      </c>
      <c r="B2045" s="12" t="s">
        <v>9112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ht="13" x14ac:dyDescent="0.15">
      <c r="A2046" s="2">
        <v>8304608</v>
      </c>
      <c r="B2046" s="12" t="s">
        <v>9113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ht="13" x14ac:dyDescent="0.15">
      <c r="A2047" s="2">
        <v>7214208</v>
      </c>
      <c r="B2047" s="12" t="s">
        <v>9114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ht="13" x14ac:dyDescent="0.15">
      <c r="A2048" s="2">
        <v>3860980</v>
      </c>
      <c r="B2048" s="12" t="s">
        <v>9115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ht="13" x14ac:dyDescent="0.15">
      <c r="A2049" s="2">
        <v>4565536</v>
      </c>
      <c r="B2049" s="12" t="s">
        <v>9116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ht="13" x14ac:dyDescent="0.15">
      <c r="A2050" s="2">
        <v>7577814</v>
      </c>
      <c r="B2050" s="12" t="s">
        <v>9117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ht="13" x14ac:dyDescent="0.15">
      <c r="A2051" s="2">
        <v>1065528</v>
      </c>
      <c r="B2051" s="12" t="s">
        <v>9118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ht="13" x14ac:dyDescent="0.15">
      <c r="A2052" s="2">
        <v>352080</v>
      </c>
      <c r="B2052" s="12" t="s">
        <v>9119</v>
      </c>
      <c r="C2052">
        <v>1</v>
      </c>
      <c r="D2052">
        <v>0</v>
      </c>
      <c r="E2052">
        <v>0</v>
      </c>
      <c r="F2052">
        <v>0</v>
      </c>
      <c r="G2052">
        <v>0</v>
      </c>
    </row>
    <row r="2053" spans="1:7" ht="13" x14ac:dyDescent="0.15">
      <c r="A2053" s="2">
        <v>441936</v>
      </c>
      <c r="B2053" s="12" t="s">
        <v>9120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ht="13" x14ac:dyDescent="0.15">
      <c r="A2054" s="2">
        <v>125633</v>
      </c>
      <c r="B2054" s="12" t="s">
        <v>9121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ht="13" x14ac:dyDescent="0.15">
      <c r="A2055" s="2">
        <v>823357</v>
      </c>
      <c r="B2055" s="12" t="s">
        <v>9122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ht="13" x14ac:dyDescent="0.15">
      <c r="A2056" s="2">
        <v>1977439</v>
      </c>
      <c r="B2056" s="12" t="s">
        <v>9123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ht="13" x14ac:dyDescent="0.15">
      <c r="A2057" s="2">
        <v>86764</v>
      </c>
      <c r="B2057" s="12" t="s">
        <v>9124</v>
      </c>
      <c r="C2057">
        <v>1</v>
      </c>
      <c r="D2057">
        <v>0</v>
      </c>
      <c r="E2057">
        <v>0</v>
      </c>
      <c r="F2057">
        <v>1</v>
      </c>
      <c r="G2057">
        <v>0</v>
      </c>
    </row>
    <row r="2058" spans="1:7" ht="13" x14ac:dyDescent="0.15">
      <c r="A2058" s="2">
        <v>118406</v>
      </c>
      <c r="B2058" s="12" t="s">
        <v>9125</v>
      </c>
      <c r="C2058">
        <v>0</v>
      </c>
      <c r="D2058">
        <v>1</v>
      </c>
      <c r="E2058">
        <v>0</v>
      </c>
      <c r="F2058">
        <v>0</v>
      </c>
      <c r="G2058">
        <v>0</v>
      </c>
    </row>
    <row r="2059" spans="1:7" ht="13" x14ac:dyDescent="0.15">
      <c r="A2059" s="2">
        <v>86765</v>
      </c>
      <c r="B2059" s="12" t="s">
        <v>9126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ht="13" x14ac:dyDescent="0.15">
      <c r="A2060" s="2">
        <v>1091909</v>
      </c>
      <c r="B2060" s="12" t="s">
        <v>9127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ht="13" x14ac:dyDescent="0.15">
      <c r="A2061" s="2">
        <v>94514</v>
      </c>
      <c r="B2061" s="12" t="s">
        <v>9128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ht="13" x14ac:dyDescent="0.15">
      <c r="A2062" s="2">
        <v>7918750</v>
      </c>
      <c r="B2062" s="12" t="s">
        <v>9128</v>
      </c>
      <c r="C2062">
        <v>1</v>
      </c>
      <c r="D2062">
        <v>0</v>
      </c>
      <c r="E2062">
        <v>0</v>
      </c>
      <c r="F2062">
        <v>0</v>
      </c>
      <c r="G2062">
        <v>0</v>
      </c>
    </row>
    <row r="2063" spans="1:7" ht="13" x14ac:dyDescent="0.15">
      <c r="A2063" s="2">
        <v>1625015</v>
      </c>
      <c r="B2063" s="12" t="s">
        <v>9129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ht="13" x14ac:dyDescent="0.15">
      <c r="A2064" s="2">
        <v>283203</v>
      </c>
      <c r="B2064" s="12" t="s">
        <v>9130</v>
      </c>
      <c r="C2064">
        <v>0</v>
      </c>
      <c r="D2064">
        <v>1</v>
      </c>
      <c r="E2064">
        <v>0</v>
      </c>
      <c r="F2064">
        <v>0</v>
      </c>
      <c r="G2064">
        <v>0</v>
      </c>
    </row>
    <row r="2065" spans="1:7" ht="13" x14ac:dyDescent="0.15">
      <c r="A2065" s="2">
        <v>2152112</v>
      </c>
      <c r="B2065" s="12" t="s">
        <v>9131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ht="13" x14ac:dyDescent="0.15">
      <c r="A2066" s="2">
        <v>4388486</v>
      </c>
      <c r="B2066" s="12" t="s">
        <v>9132</v>
      </c>
      <c r="C2066">
        <v>1</v>
      </c>
      <c r="D2066">
        <v>0</v>
      </c>
      <c r="E2066">
        <v>0</v>
      </c>
      <c r="F2066">
        <v>0</v>
      </c>
      <c r="G2066">
        <v>0</v>
      </c>
    </row>
    <row r="2067" spans="1:7" ht="13" x14ac:dyDescent="0.15">
      <c r="A2067" s="2">
        <v>396349</v>
      </c>
      <c r="B2067" s="12" t="s">
        <v>9133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ht="13" x14ac:dyDescent="0.15">
      <c r="A2068" s="2">
        <v>7278862</v>
      </c>
      <c r="B2068" s="12" t="s">
        <v>9134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ht="13" x14ac:dyDescent="0.15">
      <c r="A2069" s="2">
        <v>1933073</v>
      </c>
      <c r="B2069" s="12" t="s">
        <v>9135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ht="13" x14ac:dyDescent="0.15">
      <c r="A2070" s="2">
        <v>3859618</v>
      </c>
      <c r="B2070" s="12" t="s">
        <v>9136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ht="13" x14ac:dyDescent="0.15">
      <c r="A2071" s="2">
        <v>5366240</v>
      </c>
      <c r="B2071" s="12" t="s">
        <v>9137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ht="13" x14ac:dyDescent="0.15">
      <c r="A2072" s="2">
        <v>257315</v>
      </c>
      <c r="B2072" s="12" t="s">
        <v>9138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ht="13" x14ac:dyDescent="0.15">
      <c r="A2073" s="2">
        <v>2255085</v>
      </c>
      <c r="B2073" s="12" t="s">
        <v>9139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ht="13" x14ac:dyDescent="0.15">
      <c r="A2074" s="2">
        <v>1133480</v>
      </c>
      <c r="B2074" s="12" t="s">
        <v>9140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ht="13" x14ac:dyDescent="0.15">
      <c r="A2075" s="2">
        <v>451461</v>
      </c>
      <c r="B2075" s="12" t="s">
        <v>9141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ht="13" x14ac:dyDescent="0.15">
      <c r="A2076" s="2">
        <v>5626028</v>
      </c>
      <c r="B2076" s="12" t="s">
        <v>9142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ht="13" x14ac:dyDescent="0.15">
      <c r="A2077" s="2">
        <v>1751105</v>
      </c>
      <c r="B2077" s="12" t="s">
        <v>9143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ht="13" x14ac:dyDescent="0.15">
      <c r="A2078" s="2">
        <v>477524</v>
      </c>
      <c r="B2078" s="12" t="s">
        <v>9144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ht="13" x14ac:dyDescent="0.15">
      <c r="A2079" s="2">
        <v>2407574</v>
      </c>
      <c r="B2079" s="12" t="s">
        <v>9145</v>
      </c>
      <c r="C2079">
        <v>0</v>
      </c>
      <c r="D2079">
        <v>1</v>
      </c>
      <c r="E2079">
        <v>0</v>
      </c>
      <c r="F2079">
        <v>0</v>
      </c>
      <c r="G2079">
        <v>0</v>
      </c>
    </row>
    <row r="2080" spans="1:7" ht="13" x14ac:dyDescent="0.15">
      <c r="A2080" s="2">
        <v>460091</v>
      </c>
      <c r="B2080" s="12" t="s">
        <v>9146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ht="13" x14ac:dyDescent="0.15">
      <c r="A2081" s="2">
        <v>284335</v>
      </c>
      <c r="B2081" s="12" t="s">
        <v>9147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ht="13" x14ac:dyDescent="0.15">
      <c r="A2082" s="2">
        <v>94516</v>
      </c>
      <c r="B2082" s="12" t="s">
        <v>9148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ht="13" x14ac:dyDescent="0.15">
      <c r="A2083" s="2">
        <v>108872</v>
      </c>
      <c r="B2083" s="12" t="s">
        <v>9149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ht="13" x14ac:dyDescent="0.15">
      <c r="A2084" s="2">
        <v>1809014</v>
      </c>
      <c r="B2084" s="12" t="s">
        <v>9150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ht="13" x14ac:dyDescent="0.15">
      <c r="A2085" s="2">
        <v>445890</v>
      </c>
      <c r="B2085" s="12" t="s">
        <v>9151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ht="13" x14ac:dyDescent="0.15">
      <c r="A2086" s="2">
        <v>92410</v>
      </c>
      <c r="B2086" s="12" t="s">
        <v>9152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ht="13" x14ac:dyDescent="0.15">
      <c r="A2087" s="2">
        <v>5463164</v>
      </c>
      <c r="B2087" s="12" t="s">
        <v>9153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ht="13" x14ac:dyDescent="0.15">
      <c r="A2088" s="2">
        <v>273855</v>
      </c>
      <c r="B2088" s="12" t="s">
        <v>9154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ht="13" x14ac:dyDescent="0.15">
      <c r="A2089" s="2">
        <v>94517</v>
      </c>
      <c r="B2089" s="12" t="s">
        <v>9155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ht="13" x14ac:dyDescent="0.15">
      <c r="A2090" s="2">
        <v>108717</v>
      </c>
      <c r="B2090" s="12" t="s">
        <v>9156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ht="13" x14ac:dyDescent="0.15">
      <c r="A2091" s="2">
        <v>165588</v>
      </c>
      <c r="B2091" s="12" t="s">
        <v>9157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ht="13" x14ac:dyDescent="0.15">
      <c r="A2092" s="2">
        <v>383126</v>
      </c>
      <c r="B2092" s="12" t="s">
        <v>9158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ht="13" x14ac:dyDescent="0.15">
      <c r="A2093" s="2">
        <v>273374</v>
      </c>
      <c r="B2093" s="12" t="s">
        <v>9159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ht="13" x14ac:dyDescent="0.15">
      <c r="A2094" s="2">
        <v>11559534</v>
      </c>
      <c r="B2094" s="12" t="s">
        <v>9160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ht="13" x14ac:dyDescent="0.15">
      <c r="A2095" s="2">
        <v>96591</v>
      </c>
      <c r="B2095" s="12" t="s">
        <v>9161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ht="13" x14ac:dyDescent="0.15">
      <c r="A2096" s="2">
        <v>7115722</v>
      </c>
      <c r="B2096" s="12" t="s">
        <v>9162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ht="13" x14ac:dyDescent="0.15">
      <c r="A2097" s="2">
        <v>6315734</v>
      </c>
      <c r="B2097" s="12" t="s">
        <v>9163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ht="13" x14ac:dyDescent="0.15">
      <c r="A2098" s="2">
        <v>6987788</v>
      </c>
      <c r="B2098" s="12" t="s">
        <v>9164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ht="13" x14ac:dyDescent="0.15">
      <c r="A2099" s="2">
        <v>425702</v>
      </c>
      <c r="B2099" s="12" t="s">
        <v>9165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ht="13" x14ac:dyDescent="0.15">
      <c r="A2100" s="2">
        <v>3007640</v>
      </c>
      <c r="B2100" s="12" t="s">
        <v>9166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ht="13" x14ac:dyDescent="0.15">
      <c r="A2101" s="2">
        <v>2701238</v>
      </c>
      <c r="B2101" s="12" t="s">
        <v>9167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ht="13" x14ac:dyDescent="0.15">
      <c r="A2102" s="2">
        <v>5969074</v>
      </c>
      <c r="B2102" s="12" t="s">
        <v>9168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ht="13" x14ac:dyDescent="0.15">
      <c r="A2103" s="2">
        <v>499398</v>
      </c>
      <c r="B2103" s="12" t="s">
        <v>9169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ht="13" x14ac:dyDescent="0.15">
      <c r="A2104" s="2">
        <v>10313176</v>
      </c>
      <c r="B2104" s="12" t="s">
        <v>9170</v>
      </c>
      <c r="C2104">
        <v>1</v>
      </c>
      <c r="D2104">
        <v>1</v>
      </c>
      <c r="E2104">
        <v>0</v>
      </c>
      <c r="F2104">
        <v>0</v>
      </c>
      <c r="G2104">
        <v>0</v>
      </c>
    </row>
    <row r="2105" spans="1:7" ht="13" x14ac:dyDescent="0.15">
      <c r="A2105" s="2">
        <v>2707408</v>
      </c>
      <c r="B2105" s="12" t="s">
        <v>9171</v>
      </c>
      <c r="C2105">
        <v>0</v>
      </c>
      <c r="D2105">
        <v>0</v>
      </c>
      <c r="E2105">
        <v>0</v>
      </c>
      <c r="F2105">
        <v>0</v>
      </c>
      <c r="G2105">
        <v>1</v>
      </c>
    </row>
    <row r="2106" spans="1:7" ht="13" x14ac:dyDescent="0.15">
      <c r="A2106" s="2">
        <v>8714904</v>
      </c>
      <c r="B2106" s="12" t="s">
        <v>9172</v>
      </c>
      <c r="C2106">
        <v>1</v>
      </c>
      <c r="D2106">
        <v>0</v>
      </c>
      <c r="E2106">
        <v>0</v>
      </c>
      <c r="F2106">
        <v>0</v>
      </c>
      <c r="G2106">
        <v>1</v>
      </c>
    </row>
    <row r="2107" spans="1:7" ht="13" x14ac:dyDescent="0.15">
      <c r="A2107" s="2">
        <v>409591</v>
      </c>
      <c r="B2107" s="12" t="s">
        <v>9173</v>
      </c>
      <c r="C2107">
        <v>0</v>
      </c>
      <c r="D2107">
        <v>1</v>
      </c>
      <c r="E2107">
        <v>0</v>
      </c>
      <c r="F2107">
        <v>0</v>
      </c>
      <c r="G2107">
        <v>0</v>
      </c>
    </row>
    <row r="2108" spans="1:7" ht="13" x14ac:dyDescent="0.15">
      <c r="A2108" s="2">
        <v>988824</v>
      </c>
      <c r="B2108" s="12" t="s">
        <v>9174</v>
      </c>
      <c r="C2108">
        <v>1</v>
      </c>
      <c r="D2108">
        <v>1</v>
      </c>
      <c r="E2108">
        <v>0</v>
      </c>
      <c r="F2108">
        <v>0</v>
      </c>
      <c r="G2108">
        <v>0</v>
      </c>
    </row>
    <row r="2109" spans="1:7" ht="13" x14ac:dyDescent="0.15">
      <c r="A2109" s="2">
        <v>1861744</v>
      </c>
      <c r="B2109" s="12" t="s">
        <v>9175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ht="13" x14ac:dyDescent="0.15">
      <c r="A2110" s="2">
        <v>115285</v>
      </c>
      <c r="B2110" s="12" t="s">
        <v>9176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ht="13" x14ac:dyDescent="0.15">
      <c r="A2111" s="2">
        <v>2281375</v>
      </c>
      <c r="B2111" s="12" t="s">
        <v>9177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ht="13" x14ac:dyDescent="0.15">
      <c r="A2112" s="2">
        <v>5823498</v>
      </c>
      <c r="B2112" s="12" t="s">
        <v>9178</v>
      </c>
      <c r="C2112">
        <v>1</v>
      </c>
      <c r="D2112">
        <v>0</v>
      </c>
      <c r="E2112">
        <v>0</v>
      </c>
      <c r="F2112">
        <v>0</v>
      </c>
      <c r="G2112">
        <v>0</v>
      </c>
    </row>
    <row r="2113" spans="1:7" ht="13" x14ac:dyDescent="0.15">
      <c r="A2113" s="2">
        <v>8610392</v>
      </c>
      <c r="B2113" s="12" t="s">
        <v>9179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ht="13" x14ac:dyDescent="0.15">
      <c r="A2114" s="2">
        <v>1352421</v>
      </c>
      <c r="B2114" s="12" t="s">
        <v>9180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ht="13" x14ac:dyDescent="0.15">
      <c r="A2115" s="2">
        <v>7132916</v>
      </c>
      <c r="B2115" s="12" t="s">
        <v>9181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ht="13" x14ac:dyDescent="0.15">
      <c r="A2116" s="2">
        <v>364845</v>
      </c>
      <c r="B2116" s="12" t="s">
        <v>9182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ht="13" x14ac:dyDescent="0.15">
      <c r="A2117" s="2">
        <v>1378167</v>
      </c>
      <c r="B2117" s="12" t="s">
        <v>9183</v>
      </c>
      <c r="C2117">
        <v>1</v>
      </c>
      <c r="D2117">
        <v>0</v>
      </c>
      <c r="E2117">
        <v>0</v>
      </c>
      <c r="F2117">
        <v>0</v>
      </c>
      <c r="G2117">
        <v>0</v>
      </c>
    </row>
    <row r="2118" spans="1:7" ht="13" x14ac:dyDescent="0.15">
      <c r="A2118" s="2">
        <v>3560084</v>
      </c>
      <c r="B2118" s="12" t="s">
        <v>9184</v>
      </c>
      <c r="C2118">
        <v>1</v>
      </c>
      <c r="D2118">
        <v>0</v>
      </c>
      <c r="E2118">
        <v>0</v>
      </c>
      <c r="F2118">
        <v>0</v>
      </c>
      <c r="G2118">
        <v>0</v>
      </c>
    </row>
    <row r="2119" spans="1:7" ht="13" x14ac:dyDescent="0.15">
      <c r="A2119" s="2">
        <v>10530168</v>
      </c>
      <c r="B2119" s="12" t="s">
        <v>9185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ht="13" x14ac:dyDescent="0.15">
      <c r="A2120" s="2">
        <v>1657505</v>
      </c>
      <c r="B2120" s="12" t="s">
        <v>9186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ht="13" x14ac:dyDescent="0.15">
      <c r="A2121" s="2">
        <v>88580</v>
      </c>
      <c r="B2121" s="12" t="s">
        <v>9187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ht="13" x14ac:dyDescent="0.15">
      <c r="A2122" s="2">
        <v>7214416</v>
      </c>
      <c r="B2122" s="12" t="s">
        <v>9188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ht="13" x14ac:dyDescent="0.15">
      <c r="A2123" s="2">
        <v>112159</v>
      </c>
      <c r="B2123" s="12" t="s">
        <v>9189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ht="13" x14ac:dyDescent="0.15">
      <c r="A2124" s="2">
        <v>5176266</v>
      </c>
      <c r="B2124" s="12" t="s">
        <v>9190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ht="13" x14ac:dyDescent="0.15">
      <c r="A2125" s="2">
        <v>7817340</v>
      </c>
      <c r="B2125" s="12" t="s">
        <v>9191</v>
      </c>
      <c r="C2125">
        <v>0</v>
      </c>
      <c r="D2125">
        <v>1</v>
      </c>
      <c r="E2125">
        <v>0</v>
      </c>
      <c r="F2125">
        <v>0</v>
      </c>
      <c r="G2125">
        <v>0</v>
      </c>
    </row>
    <row r="2126" spans="1:7" ht="13" x14ac:dyDescent="0.15">
      <c r="A2126" s="2">
        <v>4513868</v>
      </c>
      <c r="B2126" s="12" t="s">
        <v>9192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ht="13" x14ac:dyDescent="0.15">
      <c r="A2127" s="2">
        <v>367037</v>
      </c>
      <c r="B2127" s="12" t="s">
        <v>9193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ht="13" x14ac:dyDescent="0.15">
      <c r="A2128" s="2">
        <v>4619520</v>
      </c>
      <c r="B2128" s="12" t="s">
        <v>9194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ht="13" x14ac:dyDescent="0.15">
      <c r="A2129" s="2">
        <v>4558858</v>
      </c>
      <c r="B2129" s="12" t="s">
        <v>9195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ht="13" x14ac:dyDescent="0.15">
      <c r="A2130" s="2">
        <v>112095</v>
      </c>
      <c r="B2130" s="12" t="s">
        <v>9196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ht="13" x14ac:dyDescent="0.15">
      <c r="A2131" s="2">
        <v>4605814</v>
      </c>
      <c r="B2131" s="12" t="s">
        <v>9197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ht="13" x14ac:dyDescent="0.15">
      <c r="A2132" s="2">
        <v>5127574</v>
      </c>
      <c r="B2132" s="12" t="s">
        <v>9198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ht="13" x14ac:dyDescent="0.15">
      <c r="A2133" s="2">
        <v>11909980</v>
      </c>
      <c r="B2133" s="12" t="s">
        <v>9199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ht="13" x14ac:dyDescent="0.15">
      <c r="A2134" s="2">
        <v>285390</v>
      </c>
      <c r="B2134" s="12" t="s">
        <v>9200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ht="13" x14ac:dyDescent="0.15">
      <c r="A2135" s="2">
        <v>284765</v>
      </c>
      <c r="B2135" s="12" t="s">
        <v>9201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ht="13" x14ac:dyDescent="0.15">
      <c r="A2136" s="2">
        <v>86770</v>
      </c>
      <c r="B2136" s="12" t="s">
        <v>9202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ht="13" x14ac:dyDescent="0.15">
      <c r="A2137" s="2">
        <v>1424080</v>
      </c>
      <c r="B2137" s="12" t="s">
        <v>9203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ht="13" x14ac:dyDescent="0.15">
      <c r="A2138" s="2">
        <v>460665</v>
      </c>
      <c r="B2138" s="12" t="s">
        <v>9204</v>
      </c>
      <c r="C2138">
        <v>0</v>
      </c>
      <c r="D2138">
        <v>0</v>
      </c>
      <c r="E2138">
        <v>0</v>
      </c>
      <c r="F2138">
        <v>0</v>
      </c>
      <c r="G2138">
        <v>1</v>
      </c>
    </row>
    <row r="2139" spans="1:7" ht="13" x14ac:dyDescent="0.15">
      <c r="A2139" s="2">
        <v>6903284</v>
      </c>
      <c r="B2139" s="12" t="s">
        <v>9205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ht="13" x14ac:dyDescent="0.15">
      <c r="A2140" s="2">
        <v>1802968</v>
      </c>
      <c r="B2140" s="12" t="s">
        <v>9206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ht="13" x14ac:dyDescent="0.15">
      <c r="A2141" s="2">
        <v>282312</v>
      </c>
      <c r="B2141" s="12" t="s">
        <v>9207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ht="13" x14ac:dyDescent="0.15">
      <c r="A2142" s="2">
        <v>1592154</v>
      </c>
      <c r="B2142" s="12" t="s">
        <v>9208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ht="13" x14ac:dyDescent="0.15">
      <c r="A2143" s="2">
        <v>400690</v>
      </c>
      <c r="B2143" s="12" t="s">
        <v>9209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ht="13" x14ac:dyDescent="0.15">
      <c r="A2144" s="2">
        <v>127388</v>
      </c>
      <c r="B2144" s="12" t="s">
        <v>9210</v>
      </c>
      <c r="C2144">
        <v>0</v>
      </c>
      <c r="D2144">
        <v>1</v>
      </c>
      <c r="E2144">
        <v>0</v>
      </c>
      <c r="F2144">
        <v>0</v>
      </c>
      <c r="G2144">
        <v>0</v>
      </c>
    </row>
    <row r="2145" spans="1:7" ht="13" x14ac:dyDescent="0.15">
      <c r="A2145" s="2">
        <v>361217</v>
      </c>
      <c r="B2145" s="12" t="s">
        <v>9211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ht="13" x14ac:dyDescent="0.15">
      <c r="A2146" s="2">
        <v>5141800</v>
      </c>
      <c r="B2146" s="12" t="s">
        <v>9212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ht="13" x14ac:dyDescent="0.15">
      <c r="A2147" s="2">
        <v>7505728</v>
      </c>
      <c r="B2147" s="12" t="s">
        <v>9213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ht="13" x14ac:dyDescent="0.15">
      <c r="A2148" s="2">
        <v>389664</v>
      </c>
      <c r="B2148" s="12" t="s">
        <v>9214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ht="13" x14ac:dyDescent="0.15">
      <c r="A2149" s="2">
        <v>9788858</v>
      </c>
      <c r="B2149" s="12" t="s">
        <v>9215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ht="13" x14ac:dyDescent="0.15">
      <c r="A2150" s="2">
        <v>3922704</v>
      </c>
      <c r="B2150" s="12" t="s">
        <v>9216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ht="13" x14ac:dyDescent="0.15">
      <c r="A2151" s="2">
        <v>1591493</v>
      </c>
      <c r="B2151" s="12" t="s">
        <v>9217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ht="13" x14ac:dyDescent="0.15">
      <c r="A2152" s="2">
        <v>86771</v>
      </c>
      <c r="B2152" s="12" t="s">
        <v>9218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ht="13" x14ac:dyDescent="0.15">
      <c r="A2153" s="2">
        <v>478079</v>
      </c>
      <c r="B2153" s="12" t="s">
        <v>9219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ht="13" x14ac:dyDescent="0.15">
      <c r="A2154" s="2">
        <v>454733</v>
      </c>
      <c r="B2154" s="12" t="s">
        <v>9220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ht="13" x14ac:dyDescent="0.15">
      <c r="A2155" s="2">
        <v>11131980</v>
      </c>
      <c r="B2155" s="12" t="s">
        <v>9221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ht="13" x14ac:dyDescent="0.15">
      <c r="A2156" s="2">
        <v>294154</v>
      </c>
      <c r="B2156" s="12" t="s">
        <v>9222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ht="13" x14ac:dyDescent="0.15">
      <c r="A2157" s="2">
        <v>3114358</v>
      </c>
      <c r="B2157" s="12" t="s">
        <v>9223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ht="13" x14ac:dyDescent="0.15">
      <c r="A2158" s="2">
        <v>98878</v>
      </c>
      <c r="B2158" s="12" t="s">
        <v>9224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ht="13" x14ac:dyDescent="0.15">
      <c r="A2159" s="2">
        <v>11087632</v>
      </c>
      <c r="B2159" s="12" t="s">
        <v>9225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ht="13" x14ac:dyDescent="0.15">
      <c r="A2160" s="2">
        <v>318898</v>
      </c>
      <c r="B2160" s="12" t="s">
        <v>9226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ht="13" x14ac:dyDescent="0.15">
      <c r="A2161" s="2">
        <v>3955680</v>
      </c>
      <c r="B2161" s="12" t="s">
        <v>9227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ht="13" x14ac:dyDescent="0.15">
      <c r="A2162" s="2">
        <v>1783495</v>
      </c>
      <c r="B2162" s="12" t="s">
        <v>9228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ht="13" x14ac:dyDescent="0.15">
      <c r="A2163" s="2">
        <v>7420880</v>
      </c>
      <c r="B2163" s="12" t="s">
        <v>9229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ht="13" x14ac:dyDescent="0.15">
      <c r="A2164" s="2">
        <v>433309</v>
      </c>
      <c r="B2164" s="12" t="s">
        <v>9230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ht="13" x14ac:dyDescent="0.15">
      <c r="A2165" s="2">
        <v>112105</v>
      </c>
      <c r="B2165" s="12" t="s">
        <v>9231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ht="13" x14ac:dyDescent="0.15">
      <c r="A2166" s="2">
        <v>1190689</v>
      </c>
      <c r="B2166" s="12" t="s">
        <v>9232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ht="13" x14ac:dyDescent="0.15">
      <c r="A2167" s="2">
        <v>106079</v>
      </c>
      <c r="B2167" s="12" t="s">
        <v>9233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ht="13" x14ac:dyDescent="0.15">
      <c r="A2168" s="2">
        <v>3538386</v>
      </c>
      <c r="B2168" s="12" t="s">
        <v>9234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ht="13" x14ac:dyDescent="0.15">
      <c r="A2169" s="2">
        <v>323463</v>
      </c>
      <c r="B2169" s="12" t="s">
        <v>9235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ht="13" x14ac:dyDescent="0.15">
      <c r="A2170" s="2">
        <v>756573</v>
      </c>
      <c r="B2170" s="12" t="s">
        <v>9236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ht="13" x14ac:dyDescent="0.15">
      <c r="A2171" s="2">
        <v>373584</v>
      </c>
      <c r="B2171" s="12" t="s">
        <v>9237</v>
      </c>
      <c r="C2171">
        <v>0</v>
      </c>
      <c r="D2171">
        <v>0</v>
      </c>
      <c r="E2171">
        <v>1</v>
      </c>
      <c r="F2171">
        <v>0</v>
      </c>
      <c r="G2171">
        <v>0</v>
      </c>
    </row>
    <row r="2172" spans="1:7" ht="13" x14ac:dyDescent="0.15">
      <c r="A2172" s="2">
        <v>4942360</v>
      </c>
      <c r="B2172" s="12" t="s">
        <v>9238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ht="13" x14ac:dyDescent="0.15">
      <c r="A2173" s="2">
        <v>191710</v>
      </c>
      <c r="B2173" s="12" t="s">
        <v>9239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ht="13" x14ac:dyDescent="0.15">
      <c r="A2174" s="2">
        <v>318236</v>
      </c>
      <c r="B2174" s="12" t="s">
        <v>9240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ht="13" x14ac:dyDescent="0.15">
      <c r="A2175" s="2">
        <v>92418</v>
      </c>
      <c r="B2175" s="12" t="s">
        <v>9241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ht="13" x14ac:dyDescent="0.15">
      <c r="A2176" s="2">
        <v>5421268</v>
      </c>
      <c r="B2176" s="12" t="s">
        <v>9242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ht="13" x14ac:dyDescent="0.15">
      <c r="A2177" s="2">
        <v>220196</v>
      </c>
      <c r="B2177" s="12" t="s">
        <v>9243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ht="13" x14ac:dyDescent="0.15">
      <c r="A2178" s="2">
        <v>6965802</v>
      </c>
      <c r="B2178" s="12" t="s">
        <v>9244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ht="13" x14ac:dyDescent="0.15">
      <c r="A2179" s="2">
        <v>3840062</v>
      </c>
      <c r="B2179" s="12" t="s">
        <v>9245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ht="13" x14ac:dyDescent="0.15">
      <c r="A2180" s="2">
        <v>1302514</v>
      </c>
      <c r="B2180" s="12" t="s">
        <v>9246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ht="13" x14ac:dyDescent="0.15">
      <c r="A2181" s="2">
        <v>7248820</v>
      </c>
      <c r="B2181" s="12" t="s">
        <v>9247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ht="13" x14ac:dyDescent="0.15">
      <c r="A2182" s="2">
        <v>1194637</v>
      </c>
      <c r="B2182" s="12" t="s">
        <v>9248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ht="13" x14ac:dyDescent="0.15">
      <c r="A2183" s="2">
        <v>6398232</v>
      </c>
      <c r="B2183" s="12" t="s">
        <v>9249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ht="13" x14ac:dyDescent="0.15">
      <c r="A2184" s="2">
        <v>1843894</v>
      </c>
      <c r="B2184" s="12" t="s">
        <v>9250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ht="13" x14ac:dyDescent="0.15">
      <c r="A2185" s="2">
        <v>450934</v>
      </c>
      <c r="B2185" s="12" t="s">
        <v>9251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ht="13" x14ac:dyDescent="0.15">
      <c r="A2186" s="2">
        <v>13451558</v>
      </c>
      <c r="B2186" s="12" t="s">
        <v>9252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ht="13" x14ac:dyDescent="0.15">
      <c r="A2187" s="2">
        <v>7879820</v>
      </c>
      <c r="B2187" s="12" t="s">
        <v>9253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ht="13" x14ac:dyDescent="0.15">
      <c r="A2188" s="2">
        <v>1843230</v>
      </c>
      <c r="B2188" s="12" t="s">
        <v>9254</v>
      </c>
      <c r="C2188">
        <v>0</v>
      </c>
      <c r="D2188">
        <v>1</v>
      </c>
      <c r="E2188">
        <v>0</v>
      </c>
      <c r="F2188">
        <v>0</v>
      </c>
      <c r="G2188">
        <v>0</v>
      </c>
    </row>
    <row r="2189" spans="1:7" ht="13" x14ac:dyDescent="0.15">
      <c r="A2189" s="2">
        <v>2176707</v>
      </c>
      <c r="B2189" s="12" t="s">
        <v>9255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ht="13" x14ac:dyDescent="0.15">
      <c r="A2190" s="2">
        <v>2802008</v>
      </c>
      <c r="B2190" s="12" t="s">
        <v>9256</v>
      </c>
      <c r="C2190">
        <v>1</v>
      </c>
      <c r="D2190">
        <v>1</v>
      </c>
      <c r="E2190">
        <v>0</v>
      </c>
      <c r="F2190">
        <v>0</v>
      </c>
      <c r="G2190">
        <v>0</v>
      </c>
    </row>
    <row r="2191" spans="1:7" ht="13" x14ac:dyDescent="0.15">
      <c r="A2191" s="2">
        <v>5339440</v>
      </c>
      <c r="B2191" s="12" t="s">
        <v>9257</v>
      </c>
      <c r="C2191">
        <v>1</v>
      </c>
      <c r="D2191">
        <v>0</v>
      </c>
      <c r="E2191">
        <v>0</v>
      </c>
      <c r="F2191">
        <v>1</v>
      </c>
      <c r="G2191">
        <v>1</v>
      </c>
    </row>
    <row r="2192" spans="1:7" ht="13" x14ac:dyDescent="0.15">
      <c r="A2192" s="2">
        <v>98882</v>
      </c>
      <c r="B2192" s="12" t="s">
        <v>9258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ht="13" x14ac:dyDescent="0.15">
      <c r="A2193" s="2">
        <v>7651892</v>
      </c>
      <c r="B2193" s="12" t="s">
        <v>9259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ht="13" x14ac:dyDescent="0.15">
      <c r="A2194" s="2">
        <v>368530</v>
      </c>
      <c r="B2194" s="12" t="s">
        <v>9260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ht="13" x14ac:dyDescent="0.15">
      <c r="A2195" s="2">
        <v>3481364</v>
      </c>
      <c r="B2195" s="12" t="s">
        <v>9261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ht="13" x14ac:dyDescent="0.15">
      <c r="A2196" s="2">
        <v>81912</v>
      </c>
      <c r="B2196" s="12" t="s">
        <v>9262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ht="13" x14ac:dyDescent="0.15">
      <c r="A2197" s="2">
        <v>466618</v>
      </c>
      <c r="B2197" s="12" t="s">
        <v>9263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ht="13" x14ac:dyDescent="0.15">
      <c r="A2198" s="2">
        <v>3533018</v>
      </c>
      <c r="B2198" s="12" t="s">
        <v>9264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ht="13" x14ac:dyDescent="0.15">
      <c r="A2199" s="2">
        <v>5328716</v>
      </c>
      <c r="B2199" s="12" t="s">
        <v>9265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ht="13" x14ac:dyDescent="0.15">
      <c r="A2200" s="2">
        <v>2372162</v>
      </c>
      <c r="B2200" s="12" t="s">
        <v>9266</v>
      </c>
      <c r="C2200">
        <v>0</v>
      </c>
      <c r="D2200">
        <v>1</v>
      </c>
      <c r="E2200">
        <v>0</v>
      </c>
      <c r="F2200">
        <v>0</v>
      </c>
      <c r="G2200">
        <v>0</v>
      </c>
    </row>
    <row r="2201" spans="1:7" ht="13" x14ac:dyDescent="0.15">
      <c r="A2201" s="2">
        <v>7801780</v>
      </c>
      <c r="B2201" s="12" t="s">
        <v>9267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ht="13" x14ac:dyDescent="0.15">
      <c r="A2202" s="2">
        <v>2234222</v>
      </c>
      <c r="B2202" s="12" t="s">
        <v>9268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ht="13" x14ac:dyDescent="0.15">
      <c r="A2203" s="2">
        <v>106092</v>
      </c>
      <c r="B2203" s="12" t="s">
        <v>9269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ht="13" x14ac:dyDescent="0.15">
      <c r="A2204" s="2">
        <v>309193</v>
      </c>
      <c r="B2204" s="12" t="s">
        <v>9270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ht="13" x14ac:dyDescent="0.15">
      <c r="A2205" s="2">
        <v>11051982</v>
      </c>
      <c r="B2205" s="12" t="s">
        <v>9271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ht="13" x14ac:dyDescent="0.15">
      <c r="A2206" s="2">
        <v>2345136</v>
      </c>
      <c r="B2206" s="12" t="s">
        <v>9272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ht="13" x14ac:dyDescent="0.15">
      <c r="A2207" s="2">
        <v>90496</v>
      </c>
      <c r="B2207" s="12" t="s">
        <v>9273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ht="13" x14ac:dyDescent="0.15">
      <c r="A2208" s="2">
        <v>816397</v>
      </c>
      <c r="B2208" s="12" t="s">
        <v>9274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ht="13" x14ac:dyDescent="0.15">
      <c r="A2209" s="2">
        <v>92423</v>
      </c>
      <c r="B2209" s="12" t="s">
        <v>9275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ht="13" x14ac:dyDescent="0.15">
      <c r="A2210" s="2">
        <v>6215600</v>
      </c>
      <c r="B2210" s="12" t="s">
        <v>9276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ht="13" x14ac:dyDescent="0.15">
      <c r="A2211" s="2">
        <v>3006802</v>
      </c>
      <c r="B2211" s="12" t="s">
        <v>9277</v>
      </c>
      <c r="C2211">
        <v>0</v>
      </c>
      <c r="D2211">
        <v>1</v>
      </c>
      <c r="E2211">
        <v>0</v>
      </c>
      <c r="F2211">
        <v>0</v>
      </c>
      <c r="G2211">
        <v>0</v>
      </c>
    </row>
    <row r="2212" spans="1:7" ht="13" x14ac:dyDescent="0.15">
      <c r="A2212" s="2">
        <v>266171</v>
      </c>
      <c r="B2212" s="12" t="s">
        <v>9278</v>
      </c>
      <c r="C2212">
        <v>0</v>
      </c>
      <c r="D2212">
        <v>1</v>
      </c>
      <c r="E2212">
        <v>0</v>
      </c>
      <c r="F2212">
        <v>0</v>
      </c>
      <c r="G2212">
        <v>0</v>
      </c>
    </row>
    <row r="2213" spans="1:7" ht="13" x14ac:dyDescent="0.15">
      <c r="A2213" s="2">
        <v>1086191</v>
      </c>
      <c r="B2213" s="12" t="s">
        <v>9279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ht="13" x14ac:dyDescent="0.15">
      <c r="A2214" s="2">
        <v>461097</v>
      </c>
      <c r="B2214" s="12" t="s">
        <v>9280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ht="13" x14ac:dyDescent="0.15">
      <c r="A2215" s="2">
        <v>118421</v>
      </c>
      <c r="B2215" s="12" t="s">
        <v>9281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ht="13" x14ac:dyDescent="0.15">
      <c r="A2216" s="2">
        <v>5071412</v>
      </c>
      <c r="B2216" s="12" t="s">
        <v>9282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ht="13" x14ac:dyDescent="0.15">
      <c r="A2217" s="2">
        <v>2187850</v>
      </c>
      <c r="B2217" s="12" t="s">
        <v>9283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ht="13" x14ac:dyDescent="0.15">
      <c r="A2218" s="2">
        <v>118422</v>
      </c>
      <c r="B2218" s="12" t="s">
        <v>9284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ht="13" x14ac:dyDescent="0.15">
      <c r="A2219" s="2">
        <v>1132600</v>
      </c>
      <c r="B2219" s="12" t="s">
        <v>9285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ht="13" x14ac:dyDescent="0.15">
      <c r="A2220" s="2">
        <v>1826805</v>
      </c>
      <c r="B2220" s="12" t="s">
        <v>9286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ht="13" x14ac:dyDescent="0.15">
      <c r="A2221" s="2">
        <v>802821</v>
      </c>
      <c r="B2221" s="12" t="s">
        <v>9287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ht="13" x14ac:dyDescent="0.15">
      <c r="A2222" s="2">
        <v>10207090</v>
      </c>
      <c r="B2222" s="12" t="s">
        <v>9288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ht="13" x14ac:dyDescent="0.15">
      <c r="A2223" s="2">
        <v>1727444</v>
      </c>
      <c r="B2223" s="12" t="s">
        <v>9289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ht="13" x14ac:dyDescent="0.15">
      <c r="A2224" s="2">
        <v>94473</v>
      </c>
      <c r="B2224" s="12" t="s">
        <v>9290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ht="13" x14ac:dyDescent="0.15">
      <c r="A2225" s="2">
        <v>181248</v>
      </c>
      <c r="B2225" s="12" t="s">
        <v>9291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ht="13" x14ac:dyDescent="0.15">
      <c r="A2226" s="2">
        <v>1874066</v>
      </c>
      <c r="B2226" s="12" t="s">
        <v>9292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ht="13" x14ac:dyDescent="0.15">
      <c r="A2227" s="2">
        <v>1997878</v>
      </c>
      <c r="B2227" s="12" t="s">
        <v>9293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ht="13" x14ac:dyDescent="0.15">
      <c r="A2228" s="2">
        <v>1266020</v>
      </c>
      <c r="B2228" s="12" t="s">
        <v>9294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ht="13" x14ac:dyDescent="0.15">
      <c r="A2229" s="2">
        <v>2248977</v>
      </c>
      <c r="B2229" s="12" t="s">
        <v>9295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ht="13" x14ac:dyDescent="0.15">
      <c r="A2230" s="2">
        <v>108894</v>
      </c>
      <c r="B2230" s="12" t="s">
        <v>9296</v>
      </c>
      <c r="C2230">
        <v>1</v>
      </c>
      <c r="D2230">
        <v>0</v>
      </c>
      <c r="E2230">
        <v>0</v>
      </c>
      <c r="F2230">
        <v>0</v>
      </c>
      <c r="G2230">
        <v>0</v>
      </c>
    </row>
    <row r="2231" spans="1:7" ht="13" x14ac:dyDescent="0.15">
      <c r="A2231" s="2">
        <v>1616014</v>
      </c>
      <c r="B2231" s="12" t="s">
        <v>9297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ht="13" x14ac:dyDescent="0.15">
      <c r="A2232" s="2">
        <v>1396401</v>
      </c>
      <c r="B2232" s="12" t="s">
        <v>9298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ht="13" x14ac:dyDescent="0.15">
      <c r="A2233" s="2">
        <v>1225098</v>
      </c>
      <c r="B2233" s="12" t="s">
        <v>9299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ht="13" x14ac:dyDescent="0.15">
      <c r="A2234" s="2">
        <v>2442560</v>
      </c>
      <c r="B2234" s="12" t="s">
        <v>9300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ht="13" x14ac:dyDescent="0.15">
      <c r="A2235" s="2">
        <v>90500</v>
      </c>
      <c r="B2235" s="12" t="s">
        <v>9301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ht="13" x14ac:dyDescent="0.15">
      <c r="A2236" s="2">
        <v>7022666</v>
      </c>
      <c r="B2236" s="12" t="s">
        <v>9302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ht="13" x14ac:dyDescent="0.15">
      <c r="A2237" s="2">
        <v>262981</v>
      </c>
      <c r="B2237" s="12" t="s">
        <v>9303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ht="13" x14ac:dyDescent="0.15">
      <c r="A2238" s="2">
        <v>8324422</v>
      </c>
      <c r="B2238" s="12" t="s">
        <v>9304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ht="13" x14ac:dyDescent="0.15">
      <c r="A2239" s="2">
        <v>346369</v>
      </c>
      <c r="B2239" s="12" t="s">
        <v>9305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ht="13" x14ac:dyDescent="0.15">
      <c r="A2240" s="2">
        <v>2628232</v>
      </c>
      <c r="B2240" s="12" t="s">
        <v>9306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ht="13" x14ac:dyDescent="0.15">
      <c r="A2241" s="2">
        <v>3762198</v>
      </c>
      <c r="B2241" s="12" t="s">
        <v>9307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ht="13" x14ac:dyDescent="0.15">
      <c r="A2242" s="2">
        <v>5594440</v>
      </c>
      <c r="B2242" s="12" t="s">
        <v>9308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ht="13" x14ac:dyDescent="0.15">
      <c r="A2243" s="2">
        <v>4695530</v>
      </c>
      <c r="B2243" s="12" t="s">
        <v>9309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ht="13" x14ac:dyDescent="0.15">
      <c r="A2244" s="2">
        <v>426769</v>
      </c>
      <c r="B2244" s="12" t="s">
        <v>9310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ht="13" x14ac:dyDescent="0.15">
      <c r="A2245" s="2">
        <v>380096</v>
      </c>
      <c r="B2245" s="12" t="s">
        <v>9311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ht="13" x14ac:dyDescent="0.15">
      <c r="A2246" s="2">
        <v>9688298</v>
      </c>
      <c r="B2246" s="12" t="s">
        <v>9312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ht="13" x14ac:dyDescent="0.15">
      <c r="A2247" s="2">
        <v>1839578</v>
      </c>
      <c r="B2247" s="12" t="s">
        <v>9313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ht="13" x14ac:dyDescent="0.15">
      <c r="A2248" s="2">
        <v>12149798</v>
      </c>
      <c r="B2248" s="12" t="s">
        <v>9314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ht="13" x14ac:dyDescent="0.15">
      <c r="A2249" s="2">
        <v>1347975</v>
      </c>
      <c r="B2249" s="12" t="s">
        <v>9315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ht="13" x14ac:dyDescent="0.15">
      <c r="A2250" s="2">
        <v>340281</v>
      </c>
      <c r="B2250" s="12" t="s">
        <v>9316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ht="13" x14ac:dyDescent="0.15">
      <c r="A2251" s="2">
        <v>96677</v>
      </c>
      <c r="B2251" s="12" t="s">
        <v>9317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ht="13" x14ac:dyDescent="0.15">
      <c r="A2252" s="2">
        <v>852863</v>
      </c>
      <c r="B2252" s="12" t="s">
        <v>9318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ht="13" x14ac:dyDescent="0.15">
      <c r="A2253" s="2">
        <v>5125350</v>
      </c>
      <c r="B2253" s="12" t="s">
        <v>9319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ht="13" x14ac:dyDescent="0.15">
      <c r="A2254" s="2">
        <v>103512</v>
      </c>
      <c r="B2254" s="12" t="s">
        <v>9320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ht="13" x14ac:dyDescent="0.15">
      <c r="A2255" s="2">
        <v>9024200</v>
      </c>
      <c r="B2255" s="12" t="s">
        <v>9321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ht="13" x14ac:dyDescent="0.15">
      <c r="A2256" s="2">
        <v>3860168</v>
      </c>
      <c r="B2256" s="12" t="s">
        <v>9322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ht="13" x14ac:dyDescent="0.15">
      <c r="A2257" s="2">
        <v>112123</v>
      </c>
      <c r="B2257" s="12" t="s">
        <v>9323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ht="13" x14ac:dyDescent="0.15">
      <c r="A2258" s="2">
        <v>6474560</v>
      </c>
      <c r="B2258" s="12" t="s">
        <v>9324</v>
      </c>
      <c r="C2258">
        <v>1</v>
      </c>
      <c r="D2258">
        <v>0</v>
      </c>
      <c r="E2258">
        <v>0</v>
      </c>
      <c r="F2258">
        <v>0</v>
      </c>
      <c r="G2258">
        <v>0</v>
      </c>
    </row>
    <row r="2259" spans="1:7" ht="13" x14ac:dyDescent="0.15">
      <c r="A2259" s="2">
        <v>294196</v>
      </c>
      <c r="B2259" s="12" t="s">
        <v>9325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ht="13" x14ac:dyDescent="0.15">
      <c r="A2260" s="2">
        <v>816398</v>
      </c>
      <c r="B2260" s="12" t="s">
        <v>9326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ht="13" x14ac:dyDescent="0.15">
      <c r="A2261" s="2">
        <v>6314340</v>
      </c>
      <c r="B2261" s="12" t="s">
        <v>9327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ht="13" x14ac:dyDescent="0.15">
      <c r="A2262" s="2">
        <v>7557512</v>
      </c>
      <c r="B2262" s="12" t="s">
        <v>9328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ht="13" x14ac:dyDescent="0.15">
      <c r="A2263" s="2">
        <v>144728</v>
      </c>
      <c r="B2263" s="12" t="s">
        <v>9329</v>
      </c>
      <c r="C2263">
        <v>0</v>
      </c>
      <c r="D2263">
        <v>1</v>
      </c>
      <c r="E2263">
        <v>0</v>
      </c>
      <c r="F2263">
        <v>0</v>
      </c>
      <c r="G2263">
        <v>0</v>
      </c>
    </row>
    <row r="2264" spans="1:7" ht="13" x14ac:dyDescent="0.15">
      <c r="A2264" s="2">
        <v>2315764</v>
      </c>
      <c r="B2264" s="14" t="s">
        <v>9330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ht="13" x14ac:dyDescent="0.15">
      <c r="A2265" s="2">
        <v>2155025</v>
      </c>
      <c r="B2265" s="12" t="s">
        <v>9331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ht="13" x14ac:dyDescent="0.15">
      <c r="A2266" s="2">
        <v>256569</v>
      </c>
      <c r="B2266" s="12" t="s">
        <v>9332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ht="13" x14ac:dyDescent="0.15">
      <c r="A2267" s="2">
        <v>366848</v>
      </c>
      <c r="B2267" s="12" t="s">
        <v>9333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ht="13" x14ac:dyDescent="0.15">
      <c r="A2268" s="2">
        <v>398533</v>
      </c>
      <c r="B2268" s="12" t="s">
        <v>9334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ht="13" x14ac:dyDescent="0.15">
      <c r="A2269" s="2">
        <v>389670</v>
      </c>
      <c r="B2269" s="12" t="s">
        <v>9335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ht="13" x14ac:dyDescent="0.15">
      <c r="A2270" s="2">
        <v>2731624</v>
      </c>
      <c r="B2270" s="12" t="s">
        <v>9336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ht="13" x14ac:dyDescent="0.15">
      <c r="A2271" s="2">
        <v>423713</v>
      </c>
      <c r="B2271" s="12" t="s">
        <v>9337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ht="13" x14ac:dyDescent="0.15">
      <c r="A2272" s="2">
        <v>5260520</v>
      </c>
      <c r="B2272" s="12" t="s">
        <v>9338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ht="13" x14ac:dyDescent="0.15">
      <c r="A2273" s="2">
        <v>338648</v>
      </c>
      <c r="B2273" s="12" t="s">
        <v>9339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ht="13" x14ac:dyDescent="0.15">
      <c r="A2274" s="2">
        <v>435576</v>
      </c>
      <c r="B2274" s="12" t="s">
        <v>9340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ht="13" x14ac:dyDescent="0.15">
      <c r="A2275" s="2">
        <v>168366</v>
      </c>
      <c r="B2275" s="12" t="s">
        <v>9341</v>
      </c>
      <c r="C2275">
        <v>0</v>
      </c>
      <c r="D2275">
        <v>1</v>
      </c>
      <c r="E2275">
        <v>0</v>
      </c>
      <c r="F2275">
        <v>0</v>
      </c>
      <c r="G2275">
        <v>0</v>
      </c>
    </row>
    <row r="2276" spans="1:7" ht="13" x14ac:dyDescent="0.15">
      <c r="A2276" s="2">
        <v>3636060</v>
      </c>
      <c r="B2276" s="12" t="s">
        <v>9342</v>
      </c>
      <c r="C2276">
        <v>0</v>
      </c>
      <c r="D2276">
        <v>1</v>
      </c>
      <c r="E2276">
        <v>0</v>
      </c>
      <c r="F2276">
        <v>0</v>
      </c>
      <c r="G2276">
        <v>0</v>
      </c>
    </row>
    <row r="2277" spans="1:7" ht="13" x14ac:dyDescent="0.15">
      <c r="A2277" s="2">
        <v>94526</v>
      </c>
      <c r="B2277" s="12" t="s">
        <v>9343</v>
      </c>
      <c r="C2277">
        <v>0</v>
      </c>
      <c r="D2277">
        <v>0</v>
      </c>
      <c r="E2277">
        <v>0</v>
      </c>
      <c r="F2277">
        <v>1</v>
      </c>
      <c r="G2277">
        <v>0</v>
      </c>
    </row>
    <row r="2278" spans="1:7" ht="13" x14ac:dyDescent="0.15">
      <c r="A2278" s="2">
        <v>98896</v>
      </c>
      <c r="B2278" s="12" t="s">
        <v>9344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ht="13" x14ac:dyDescent="0.15">
      <c r="A2279" s="2">
        <v>83466</v>
      </c>
      <c r="B2279" s="12" t="s">
        <v>9345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ht="13" x14ac:dyDescent="0.15">
      <c r="A2280" s="2">
        <v>155394</v>
      </c>
      <c r="B2280" s="12" t="s">
        <v>9346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ht="13" x14ac:dyDescent="0.15">
      <c r="A2281" s="2">
        <v>465347</v>
      </c>
      <c r="B2281" s="12" t="s">
        <v>9347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ht="13" x14ac:dyDescent="0.15">
      <c r="A2282" s="2">
        <v>4210022</v>
      </c>
      <c r="B2282" s="12" t="s">
        <v>9348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ht="13" x14ac:dyDescent="0.15">
      <c r="A2283" s="2">
        <v>202748</v>
      </c>
      <c r="B2283" s="12" t="s">
        <v>9349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ht="13" x14ac:dyDescent="0.15">
      <c r="A2284" s="2">
        <v>118435</v>
      </c>
      <c r="B2284" s="12" t="s">
        <v>9350</v>
      </c>
      <c r="C2284">
        <v>1</v>
      </c>
      <c r="D2284">
        <v>0</v>
      </c>
      <c r="E2284">
        <v>0</v>
      </c>
      <c r="F2284">
        <v>0</v>
      </c>
      <c r="G2284">
        <v>0</v>
      </c>
    </row>
    <row r="2285" spans="1:7" ht="13" x14ac:dyDescent="0.15">
      <c r="A2285" s="2">
        <v>1780441</v>
      </c>
      <c r="B2285" s="12" t="s">
        <v>9351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ht="13" x14ac:dyDescent="0.15">
      <c r="A2286" s="2">
        <v>7562112</v>
      </c>
      <c r="B2286" s="12" t="s">
        <v>9352</v>
      </c>
      <c r="C2286">
        <v>0</v>
      </c>
      <c r="D2286">
        <v>0</v>
      </c>
      <c r="E2286">
        <v>0</v>
      </c>
      <c r="F2286">
        <v>0</v>
      </c>
      <c r="G2286">
        <v>1</v>
      </c>
    </row>
    <row r="2287" spans="1:7" ht="13" x14ac:dyDescent="0.15">
      <c r="A2287" s="2">
        <v>192464</v>
      </c>
      <c r="B2287" s="12" t="s">
        <v>9353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ht="13" x14ac:dyDescent="0.15">
      <c r="A2288" s="2">
        <v>3855028</v>
      </c>
      <c r="B2288" s="12" t="s">
        <v>9354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ht="13" x14ac:dyDescent="0.15">
      <c r="A2289" s="2">
        <v>3281796</v>
      </c>
      <c r="B2289" s="12" t="s">
        <v>9355</v>
      </c>
      <c r="C2289">
        <v>0</v>
      </c>
      <c r="D2289">
        <v>0</v>
      </c>
      <c r="E2289">
        <v>0</v>
      </c>
      <c r="F2289">
        <v>0</v>
      </c>
      <c r="G2289">
        <v>1</v>
      </c>
    </row>
    <row r="2290" spans="1:7" ht="13" x14ac:dyDescent="0.15">
      <c r="A2290" s="2">
        <v>7552574</v>
      </c>
      <c r="B2290" s="12" t="s">
        <v>9356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ht="13" x14ac:dyDescent="0.15">
      <c r="A2291" s="2">
        <v>373587</v>
      </c>
      <c r="B2291" s="12" t="s">
        <v>9357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ht="13" x14ac:dyDescent="0.15">
      <c r="A2292" s="2">
        <v>120575</v>
      </c>
      <c r="B2292" s="12" t="s">
        <v>9358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ht="13" x14ac:dyDescent="0.15">
      <c r="A2293" s="2">
        <v>1121628</v>
      </c>
      <c r="B2293" s="12" t="s">
        <v>9359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ht="13" x14ac:dyDescent="0.15">
      <c r="A2294" s="2">
        <v>5335606</v>
      </c>
      <c r="B2294" s="12" t="s">
        <v>9360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ht="13" x14ac:dyDescent="0.15">
      <c r="A2295" s="2">
        <v>312189</v>
      </c>
      <c r="B2295" s="12" t="s">
        <v>9361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ht="13" x14ac:dyDescent="0.15">
      <c r="A2296" s="2">
        <v>1704503</v>
      </c>
      <c r="B2296" s="12" t="s">
        <v>9362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ht="13" x14ac:dyDescent="0.15">
      <c r="A2297" s="2">
        <v>287871</v>
      </c>
      <c r="B2297" s="12" t="s">
        <v>9363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ht="13" x14ac:dyDescent="0.15">
      <c r="A2298" s="2">
        <v>115319</v>
      </c>
      <c r="B2298" s="12" t="s">
        <v>9364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ht="13" x14ac:dyDescent="0.15">
      <c r="A2299" s="2">
        <v>5083928</v>
      </c>
      <c r="B2299" s="12" t="s">
        <v>9365</v>
      </c>
      <c r="C2299">
        <v>0</v>
      </c>
      <c r="D2299">
        <v>1</v>
      </c>
      <c r="E2299">
        <v>0</v>
      </c>
      <c r="F2299">
        <v>0</v>
      </c>
      <c r="G2299">
        <v>0</v>
      </c>
    </row>
    <row r="2300" spans="1:7" ht="13" x14ac:dyDescent="0.15">
      <c r="A2300" s="2">
        <v>7340066</v>
      </c>
      <c r="B2300" s="12" t="s">
        <v>9366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ht="13" x14ac:dyDescent="0.15">
      <c r="A2301" s="2">
        <v>7224612</v>
      </c>
      <c r="B2301" s="12" t="s">
        <v>9367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ht="13" x14ac:dyDescent="0.15">
      <c r="A2302" s="2">
        <v>6777614</v>
      </c>
      <c r="B2302" s="12" t="s">
        <v>9368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ht="13" x14ac:dyDescent="0.15">
      <c r="A2303" s="2">
        <v>1721648</v>
      </c>
      <c r="B2303" s="12" t="s">
        <v>9369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ht="13" x14ac:dyDescent="0.15">
      <c r="A2304" s="2">
        <v>1578873</v>
      </c>
      <c r="B2304" s="12" t="s">
        <v>9370</v>
      </c>
      <c r="C2304">
        <v>0</v>
      </c>
      <c r="D2304">
        <v>1</v>
      </c>
      <c r="E2304">
        <v>0</v>
      </c>
      <c r="F2304">
        <v>0</v>
      </c>
      <c r="G2304">
        <v>0</v>
      </c>
    </row>
    <row r="2305" spans="1:7" ht="13" x14ac:dyDescent="0.15">
      <c r="A2305" s="2">
        <v>1559356</v>
      </c>
      <c r="B2305" s="12" t="s">
        <v>9371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ht="13" x14ac:dyDescent="0.15">
      <c r="A2306" s="2">
        <v>7022790</v>
      </c>
      <c r="B2306" s="12" t="s">
        <v>9372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ht="13" x14ac:dyDescent="0.15">
      <c r="A2307" s="2">
        <v>128419</v>
      </c>
      <c r="B2307" s="12" t="s">
        <v>9373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ht="13" x14ac:dyDescent="0.15">
      <c r="A2308" s="2">
        <v>190918</v>
      </c>
      <c r="B2308" s="12" t="s">
        <v>9374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ht="13" x14ac:dyDescent="0.15">
      <c r="A2309" s="2">
        <v>287872</v>
      </c>
      <c r="B2309" s="12" t="s">
        <v>9375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ht="13" x14ac:dyDescent="0.15">
      <c r="A2310" s="2">
        <v>444745</v>
      </c>
      <c r="B2310" s="12" t="s">
        <v>9376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ht="13" x14ac:dyDescent="0.15">
      <c r="A2311" s="2">
        <v>455275</v>
      </c>
      <c r="B2311" s="12" t="s">
        <v>9377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ht="13" x14ac:dyDescent="0.15">
      <c r="A2312" s="2">
        <v>972412</v>
      </c>
      <c r="B2312" s="12" t="s">
        <v>9378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ht="13" x14ac:dyDescent="0.15">
      <c r="A2313" s="2">
        <v>81919</v>
      </c>
      <c r="B2313" s="12" t="s">
        <v>9379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ht="13" x14ac:dyDescent="0.15">
      <c r="A2314" s="2">
        <v>10327354</v>
      </c>
      <c r="B2314" s="12" t="s">
        <v>9380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ht="13" x14ac:dyDescent="0.15">
      <c r="A2315" s="2">
        <v>115322</v>
      </c>
      <c r="B2315" s="12" t="s">
        <v>9381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ht="13" x14ac:dyDescent="0.15">
      <c r="A2316" s="2">
        <v>437741</v>
      </c>
      <c r="B2316" s="12" t="s">
        <v>9382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ht="13" x14ac:dyDescent="0.15">
      <c r="A2317" s="2">
        <v>1158101</v>
      </c>
      <c r="B2317" s="12" t="s">
        <v>9383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ht="13" x14ac:dyDescent="0.15">
      <c r="A2318" s="2">
        <v>7958782</v>
      </c>
      <c r="B2318" s="12" t="s">
        <v>9384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ht="13" x14ac:dyDescent="0.15">
      <c r="A2319" s="2">
        <v>177991</v>
      </c>
      <c r="B2319" s="12" t="s">
        <v>9385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ht="13" x14ac:dyDescent="0.15">
      <c r="A2320" s="2">
        <v>491738</v>
      </c>
      <c r="B2320" s="12" t="s">
        <v>9386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ht="13" x14ac:dyDescent="0.15">
      <c r="A2321" s="2">
        <v>1715081</v>
      </c>
      <c r="B2321" s="12" t="s">
        <v>9387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ht="13" x14ac:dyDescent="0.15">
      <c r="A2322" s="2">
        <v>1300017</v>
      </c>
      <c r="B2322" s="12" t="s">
        <v>9388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ht="13" x14ac:dyDescent="0.15">
      <c r="A2323" s="2">
        <v>2379308</v>
      </c>
      <c r="B2323" s="12" t="s">
        <v>9389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ht="13" x14ac:dyDescent="0.15">
      <c r="A2324" s="2">
        <v>7224736</v>
      </c>
      <c r="B2324" s="12" t="s">
        <v>9390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ht="13" x14ac:dyDescent="0.15">
      <c r="A2325" s="2">
        <v>156231</v>
      </c>
      <c r="B2325" s="12" t="s">
        <v>9391</v>
      </c>
      <c r="C2325">
        <v>0</v>
      </c>
      <c r="D2325">
        <v>1</v>
      </c>
      <c r="E2325">
        <v>0</v>
      </c>
      <c r="F2325">
        <v>0</v>
      </c>
      <c r="G2325">
        <v>0</v>
      </c>
    </row>
    <row r="2326" spans="1:7" ht="13" x14ac:dyDescent="0.15">
      <c r="A2326" s="2">
        <v>7559160</v>
      </c>
      <c r="B2326" s="12" t="s">
        <v>9392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ht="13" x14ac:dyDescent="0.15">
      <c r="A2327" s="2">
        <v>886666</v>
      </c>
      <c r="B2327" s="12" t="s">
        <v>9393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ht="13" x14ac:dyDescent="0.15">
      <c r="A2328" s="2">
        <v>86787</v>
      </c>
      <c r="B2328" s="12" t="s">
        <v>9394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ht="13" x14ac:dyDescent="0.15">
      <c r="A2329" s="2">
        <v>3185682</v>
      </c>
      <c r="B2329" s="12" t="s">
        <v>9395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ht="13" x14ac:dyDescent="0.15">
      <c r="A2330" s="2">
        <v>925266</v>
      </c>
      <c r="B2330" s="12" t="s">
        <v>9396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ht="13" x14ac:dyDescent="0.15">
      <c r="A2331" s="2">
        <v>282323</v>
      </c>
      <c r="B2331" s="12" t="s">
        <v>9397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ht="13" x14ac:dyDescent="0.15">
      <c r="A2332" s="2">
        <v>3990562</v>
      </c>
      <c r="B2332" s="12" t="s">
        <v>9398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ht="13" x14ac:dyDescent="0.15">
      <c r="A2333" s="2">
        <v>4470830</v>
      </c>
      <c r="B2333" s="12" t="s">
        <v>9399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ht="13" x14ac:dyDescent="0.15">
      <c r="A2334" s="2">
        <v>136658</v>
      </c>
      <c r="B2334" s="12" t="s">
        <v>9400</v>
      </c>
      <c r="C2334">
        <v>1</v>
      </c>
      <c r="D2334">
        <v>0</v>
      </c>
      <c r="E2334">
        <v>0</v>
      </c>
      <c r="F2334">
        <v>0</v>
      </c>
      <c r="G2334">
        <v>0</v>
      </c>
    </row>
    <row r="2335" spans="1:7" ht="13" x14ac:dyDescent="0.15">
      <c r="A2335" s="2">
        <v>4428122</v>
      </c>
      <c r="B2335" s="12" t="s">
        <v>9401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ht="13" x14ac:dyDescent="0.15">
      <c r="A2336" s="2">
        <v>96684</v>
      </c>
      <c r="B2336" s="12" t="s">
        <v>9402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ht="13" x14ac:dyDescent="0.15">
      <c r="A2337" s="2">
        <v>2980696</v>
      </c>
      <c r="B2337" s="12" t="s">
        <v>9403</v>
      </c>
      <c r="C2337">
        <v>0</v>
      </c>
      <c r="D2337">
        <v>1</v>
      </c>
      <c r="E2337">
        <v>0</v>
      </c>
      <c r="F2337">
        <v>0</v>
      </c>
      <c r="G2337">
        <v>0</v>
      </c>
    </row>
    <row r="2338" spans="1:7" ht="13" x14ac:dyDescent="0.15">
      <c r="A2338" s="2">
        <v>252781</v>
      </c>
      <c r="B2338" s="12" t="s">
        <v>9404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ht="13" x14ac:dyDescent="0.15">
      <c r="A2339" s="2">
        <v>1064899</v>
      </c>
      <c r="B2339" s="12" t="s">
        <v>9405</v>
      </c>
      <c r="C2339">
        <v>1</v>
      </c>
      <c r="D2339">
        <v>1</v>
      </c>
      <c r="E2339">
        <v>0</v>
      </c>
      <c r="F2339">
        <v>0</v>
      </c>
      <c r="G2339">
        <v>1</v>
      </c>
    </row>
    <row r="2340" spans="1:7" ht="13" x14ac:dyDescent="0.15">
      <c r="A2340" s="2">
        <v>4419214</v>
      </c>
      <c r="B2340" s="12" t="s">
        <v>9406</v>
      </c>
      <c r="C2340">
        <v>0</v>
      </c>
      <c r="D2340">
        <v>0</v>
      </c>
      <c r="E2340">
        <v>0</v>
      </c>
      <c r="F2340">
        <v>0</v>
      </c>
      <c r="G2340">
        <v>1</v>
      </c>
    </row>
    <row r="2341" spans="1:7" ht="13" x14ac:dyDescent="0.15">
      <c r="A2341" s="2">
        <v>1407599</v>
      </c>
      <c r="B2341" s="12" t="s">
        <v>9407</v>
      </c>
      <c r="C2341">
        <v>0</v>
      </c>
      <c r="D2341">
        <v>0</v>
      </c>
      <c r="E2341">
        <v>1</v>
      </c>
      <c r="F2341">
        <v>0</v>
      </c>
      <c r="G2341">
        <v>0</v>
      </c>
    </row>
    <row r="2342" spans="1:7" ht="13" x14ac:dyDescent="0.15">
      <c r="A2342" s="2">
        <v>10819168</v>
      </c>
      <c r="B2342" s="12" t="s">
        <v>9408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ht="13" x14ac:dyDescent="0.15">
      <c r="A2343" s="2">
        <v>262985</v>
      </c>
      <c r="B2343" s="12" t="s">
        <v>9409</v>
      </c>
      <c r="C2343">
        <v>1</v>
      </c>
      <c r="D2343">
        <v>0</v>
      </c>
      <c r="E2343">
        <v>0</v>
      </c>
      <c r="F2343">
        <v>0</v>
      </c>
      <c r="G2343">
        <v>0</v>
      </c>
    </row>
    <row r="2344" spans="1:7" ht="13" x14ac:dyDescent="0.15">
      <c r="A2344" s="2">
        <v>358332</v>
      </c>
      <c r="B2344" s="12" t="s">
        <v>9410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ht="13" x14ac:dyDescent="0.15">
      <c r="A2345" s="2">
        <v>7259746</v>
      </c>
      <c r="B2345" s="12" t="s">
        <v>9410</v>
      </c>
      <c r="C2345">
        <v>1</v>
      </c>
      <c r="D2345">
        <v>0</v>
      </c>
      <c r="E2345">
        <v>0</v>
      </c>
      <c r="F2345">
        <v>0</v>
      </c>
      <c r="G2345">
        <v>0</v>
      </c>
    </row>
    <row r="2346" spans="1:7" ht="13" x14ac:dyDescent="0.15">
      <c r="A2346" s="2">
        <v>8686106</v>
      </c>
      <c r="B2346" s="12" t="s">
        <v>9411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ht="13" x14ac:dyDescent="0.15">
      <c r="A2347" s="2">
        <v>129709</v>
      </c>
      <c r="B2347" s="12" t="s">
        <v>9412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ht="13" x14ac:dyDescent="0.15">
      <c r="A2348" s="2">
        <v>445897</v>
      </c>
      <c r="B2348" s="12" t="s">
        <v>9413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ht="13" x14ac:dyDescent="0.15">
      <c r="A2349" s="2">
        <v>9134336</v>
      </c>
      <c r="B2349" s="12" t="s">
        <v>9414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ht="13" x14ac:dyDescent="0.15">
      <c r="A2350" s="2">
        <v>496450</v>
      </c>
      <c r="B2350" s="12" t="s">
        <v>9415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ht="13" x14ac:dyDescent="0.15">
      <c r="A2351" s="2">
        <v>174422</v>
      </c>
      <c r="B2351" s="12" t="s">
        <v>9416</v>
      </c>
      <c r="C2351">
        <v>0</v>
      </c>
      <c r="D2351">
        <v>0</v>
      </c>
      <c r="E2351">
        <v>0</v>
      </c>
      <c r="F2351">
        <v>0</v>
      </c>
      <c r="G2351">
        <v>0</v>
      </c>
    </row>
    <row r="2352" spans="1:7" ht="13" x14ac:dyDescent="0.15">
      <c r="A2352" s="2">
        <v>1587000</v>
      </c>
      <c r="B2352" s="12" t="s">
        <v>9417</v>
      </c>
      <c r="C2352">
        <v>1</v>
      </c>
      <c r="D2352">
        <v>0</v>
      </c>
      <c r="E2352">
        <v>0</v>
      </c>
      <c r="F2352">
        <v>0</v>
      </c>
      <c r="G2352">
        <v>0</v>
      </c>
    </row>
    <row r="2353" spans="1:7" ht="13" x14ac:dyDescent="0.15">
      <c r="A2353" s="2">
        <v>2515462</v>
      </c>
      <c r="B2353" s="12" t="s">
        <v>9417</v>
      </c>
      <c r="C2353">
        <v>1</v>
      </c>
      <c r="D2353">
        <v>0</v>
      </c>
      <c r="E2353">
        <v>0</v>
      </c>
      <c r="F2353">
        <v>0</v>
      </c>
      <c r="G2353">
        <v>0</v>
      </c>
    </row>
    <row r="2354" spans="1:7" ht="13" x14ac:dyDescent="0.15">
      <c r="A2354" s="2">
        <v>222619</v>
      </c>
      <c r="B2354" s="12" t="s">
        <v>9418</v>
      </c>
      <c r="C2354">
        <v>1</v>
      </c>
      <c r="D2354">
        <v>0</v>
      </c>
      <c r="E2354">
        <v>0</v>
      </c>
      <c r="F2354">
        <v>1</v>
      </c>
      <c r="G2354">
        <v>0</v>
      </c>
    </row>
    <row r="2355" spans="1:7" ht="13" x14ac:dyDescent="0.15">
      <c r="A2355" s="2">
        <v>7942806</v>
      </c>
      <c r="B2355" s="12" t="s">
        <v>9419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ht="13" x14ac:dyDescent="0.15">
      <c r="A2356" s="2">
        <v>7575180</v>
      </c>
      <c r="B2356" s="12" t="s">
        <v>9420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ht="13" x14ac:dyDescent="0.15">
      <c r="A2357" s="2">
        <v>320345</v>
      </c>
      <c r="B2357" s="12" t="s">
        <v>9421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ht="13" x14ac:dyDescent="0.15">
      <c r="A2358" s="2">
        <v>96686</v>
      </c>
      <c r="B2358" s="12" t="s">
        <v>9422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ht="13" x14ac:dyDescent="0.15">
      <c r="A2359" s="2">
        <v>96685</v>
      </c>
      <c r="B2359" s="12" t="s">
        <v>9423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ht="13" x14ac:dyDescent="0.15">
      <c r="A2360" s="2">
        <v>5809150</v>
      </c>
      <c r="B2360" s="12" t="s">
        <v>9424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ht="13" x14ac:dyDescent="0.15">
      <c r="A2361" s="2">
        <v>6520898</v>
      </c>
      <c r="B2361" s="12" t="s">
        <v>9425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ht="13" x14ac:dyDescent="0.15">
      <c r="A2362" s="2">
        <v>6311972</v>
      </c>
      <c r="B2362" s="12" t="s">
        <v>9426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ht="13" x14ac:dyDescent="0.15">
      <c r="A2363" s="2">
        <v>7035992</v>
      </c>
      <c r="B2363" s="12" t="s">
        <v>9427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ht="13" x14ac:dyDescent="0.15">
      <c r="A2364" s="2">
        <v>2249007</v>
      </c>
      <c r="B2364" s="12" t="s">
        <v>9428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ht="13" x14ac:dyDescent="0.15">
      <c r="A2365" s="2">
        <v>10294074</v>
      </c>
      <c r="B2365" s="12" t="s">
        <v>9429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ht="13" x14ac:dyDescent="0.15">
      <c r="A2366" s="2">
        <v>1124308</v>
      </c>
      <c r="B2366" s="12" t="s">
        <v>9430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ht="13" x14ac:dyDescent="0.15">
      <c r="A2367" s="2">
        <v>2404111</v>
      </c>
      <c r="B2367" s="12" t="s">
        <v>9431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ht="13" x14ac:dyDescent="0.15">
      <c r="A2368" s="2">
        <v>5299008</v>
      </c>
      <c r="B2368" s="12" t="s">
        <v>9432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ht="13" x14ac:dyDescent="0.15">
      <c r="A2369" s="2">
        <v>341281</v>
      </c>
      <c r="B2369" s="12" t="s">
        <v>9433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ht="13" x14ac:dyDescent="0.15">
      <c r="A2370" s="2">
        <v>421356</v>
      </c>
      <c r="B2370" s="12" t="s">
        <v>9434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ht="13" x14ac:dyDescent="0.15">
      <c r="A2371" s="2">
        <v>6274980</v>
      </c>
      <c r="B2371" s="12" t="s">
        <v>9435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ht="13" x14ac:dyDescent="0.15">
      <c r="A2372" s="2">
        <v>955322</v>
      </c>
      <c r="B2372" s="12" t="s">
        <v>9436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ht="13" x14ac:dyDescent="0.15">
      <c r="A2373" s="2">
        <v>284722</v>
      </c>
      <c r="B2373" s="12" t="s">
        <v>9437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ht="13" x14ac:dyDescent="0.15">
      <c r="A2374" s="2">
        <v>414766</v>
      </c>
      <c r="B2374" s="12" t="s">
        <v>9438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ht="13" x14ac:dyDescent="0.15">
      <c r="A2375" s="2">
        <v>108903</v>
      </c>
      <c r="B2375" s="12" t="s">
        <v>9439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ht="13" x14ac:dyDescent="0.15">
      <c r="A2376" s="2">
        <v>126170</v>
      </c>
      <c r="B2376" s="12" t="s">
        <v>9440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ht="13" x14ac:dyDescent="0.15">
      <c r="A2377" s="2">
        <v>2734804</v>
      </c>
      <c r="B2377" s="12" t="s">
        <v>9441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ht="13" x14ac:dyDescent="0.15">
      <c r="A2378" s="2">
        <v>2183404</v>
      </c>
      <c r="B2378" s="12" t="s">
        <v>9442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ht="13" x14ac:dyDescent="0.15">
      <c r="A2379" s="2">
        <v>94535</v>
      </c>
      <c r="B2379" s="12" t="s">
        <v>9443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ht="13" x14ac:dyDescent="0.15">
      <c r="A2380" s="2">
        <v>103523</v>
      </c>
      <c r="B2380" s="12" t="s">
        <v>9444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ht="13" x14ac:dyDescent="0.15">
      <c r="A2381" s="2">
        <v>200369</v>
      </c>
      <c r="B2381" s="12" t="s">
        <v>9445</v>
      </c>
      <c r="C2381">
        <v>0</v>
      </c>
      <c r="D2381">
        <v>1</v>
      </c>
      <c r="E2381">
        <v>0</v>
      </c>
      <c r="F2381">
        <v>0</v>
      </c>
      <c r="G2381">
        <v>0</v>
      </c>
    </row>
    <row r="2382" spans="1:7" ht="13" x14ac:dyDescent="0.15">
      <c r="A2382" s="2">
        <v>8892926</v>
      </c>
      <c r="B2382" s="12" t="s">
        <v>9446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ht="13" x14ac:dyDescent="0.15">
      <c r="A2383" s="2">
        <v>5958514</v>
      </c>
      <c r="B2383" s="12" t="s">
        <v>9447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ht="13" x14ac:dyDescent="0.15">
      <c r="A2384" s="2">
        <v>429422</v>
      </c>
      <c r="B2384" s="12" t="s">
        <v>9448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ht="13" x14ac:dyDescent="0.15">
      <c r="A2385" s="2">
        <v>1710308</v>
      </c>
      <c r="B2385" s="12" t="s">
        <v>9449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ht="13" x14ac:dyDescent="0.15">
      <c r="A2386" s="2">
        <v>2710394</v>
      </c>
      <c r="B2386" s="12" t="s">
        <v>9450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ht="13" x14ac:dyDescent="0.15">
      <c r="A2387" s="2">
        <v>295765</v>
      </c>
      <c r="B2387" s="12" t="s">
        <v>9451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ht="13" x14ac:dyDescent="0.15">
      <c r="A2388" s="2">
        <v>7677740</v>
      </c>
      <c r="B2388" s="12" t="s">
        <v>9452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ht="13" x14ac:dyDescent="0.15">
      <c r="A2389" s="2">
        <v>460671</v>
      </c>
      <c r="B2389" s="12" t="s">
        <v>9453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ht="13" x14ac:dyDescent="0.15">
      <c r="A2390" s="2">
        <v>5260064</v>
      </c>
      <c r="B2390" s="12" t="s">
        <v>9454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ht="13" x14ac:dyDescent="0.15">
      <c r="A2391" s="2">
        <v>1941007</v>
      </c>
      <c r="B2391" s="12" t="s">
        <v>9455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ht="13" x14ac:dyDescent="0.15">
      <c r="A2392" s="2">
        <v>348993</v>
      </c>
      <c r="B2392" s="12" t="s">
        <v>9456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ht="13" x14ac:dyDescent="0.15">
      <c r="A2393" s="2">
        <v>371475</v>
      </c>
      <c r="B2393" s="12" t="s">
        <v>9457</v>
      </c>
      <c r="C2393">
        <v>0</v>
      </c>
      <c r="D2393">
        <v>0</v>
      </c>
      <c r="E2393">
        <v>1</v>
      </c>
      <c r="F2393">
        <v>0</v>
      </c>
      <c r="G2393">
        <v>0</v>
      </c>
    </row>
    <row r="2394" spans="1:7" ht="13" x14ac:dyDescent="0.15">
      <c r="A2394" s="2">
        <v>103524</v>
      </c>
      <c r="B2394" s="12" t="s">
        <v>9458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ht="13" x14ac:dyDescent="0.15">
      <c r="A2395" s="2">
        <v>163181</v>
      </c>
      <c r="B2395" s="12" t="s">
        <v>9459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ht="13" x14ac:dyDescent="0.15">
      <c r="A2396" s="2">
        <v>370194</v>
      </c>
      <c r="B2396" s="12" t="s">
        <v>9460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ht="13" x14ac:dyDescent="0.15">
      <c r="A2397" s="2">
        <v>772215</v>
      </c>
      <c r="B2397" s="12" t="s">
        <v>9461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ht="13" x14ac:dyDescent="0.15">
      <c r="A2398" s="2">
        <v>1987340</v>
      </c>
      <c r="B2398" s="12" t="s">
        <v>9462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ht="13" x14ac:dyDescent="0.15">
      <c r="A2399" s="2">
        <v>96688</v>
      </c>
      <c r="B2399" s="12" t="s">
        <v>9463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ht="13" x14ac:dyDescent="0.15">
      <c r="A2400" s="2">
        <v>381798</v>
      </c>
      <c r="B2400" s="12" t="s">
        <v>9464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ht="13" x14ac:dyDescent="0.15">
      <c r="A2401" s="2">
        <v>9591912</v>
      </c>
      <c r="B2401" s="12" t="s">
        <v>9465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ht="13" x14ac:dyDescent="0.15">
      <c r="A2402" s="2">
        <v>211854</v>
      </c>
      <c r="B2402" s="12" t="s">
        <v>9466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ht="13" x14ac:dyDescent="0.15">
      <c r="A2403" s="2">
        <v>3020538</v>
      </c>
      <c r="B2403" s="12" t="s">
        <v>9467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ht="13" x14ac:dyDescent="0.15">
      <c r="A2404" s="2">
        <v>1837642</v>
      </c>
      <c r="B2404" s="12" t="s">
        <v>9468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ht="13" x14ac:dyDescent="0.15">
      <c r="A2405" s="2">
        <v>6410966</v>
      </c>
      <c r="B2405" s="12" t="s">
        <v>9469</v>
      </c>
      <c r="C2405">
        <v>1</v>
      </c>
      <c r="D2405">
        <v>0</v>
      </c>
      <c r="E2405">
        <v>0</v>
      </c>
      <c r="F2405">
        <v>0</v>
      </c>
      <c r="G2405">
        <v>1</v>
      </c>
    </row>
    <row r="2406" spans="1:7" ht="13" x14ac:dyDescent="0.15">
      <c r="A2406" s="2">
        <v>3089692</v>
      </c>
      <c r="B2406" s="12" t="s">
        <v>9470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ht="13" x14ac:dyDescent="0.15">
      <c r="A2407" s="2">
        <v>6461746</v>
      </c>
      <c r="B2407" s="12" t="s">
        <v>9471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ht="13" x14ac:dyDescent="0.15">
      <c r="A2408" s="2">
        <v>11323666</v>
      </c>
      <c r="B2408" s="12" t="s">
        <v>9472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ht="13" x14ac:dyDescent="0.15">
      <c r="A2409" s="2">
        <v>2070791</v>
      </c>
      <c r="B2409" s="12" t="s">
        <v>9472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ht="13" x14ac:dyDescent="0.15">
      <c r="A2410" s="2">
        <v>205410</v>
      </c>
      <c r="B2410" s="12" t="s">
        <v>9473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ht="13" x14ac:dyDescent="0.15">
      <c r="A2411" s="2">
        <v>4160920</v>
      </c>
      <c r="B2411" s="12" t="s">
        <v>9474</v>
      </c>
      <c r="C2411">
        <v>0</v>
      </c>
      <c r="D2411">
        <v>1</v>
      </c>
      <c r="E2411">
        <v>0</v>
      </c>
      <c r="F2411">
        <v>0</v>
      </c>
      <c r="G2411">
        <v>0</v>
      </c>
    </row>
    <row r="2412" spans="1:7" ht="13" x14ac:dyDescent="0.15">
      <c r="A2412" s="2">
        <v>2861424</v>
      </c>
      <c r="B2412" s="12" t="s">
        <v>9475</v>
      </c>
      <c r="C2412">
        <v>0</v>
      </c>
      <c r="D2412">
        <v>0</v>
      </c>
      <c r="E2412">
        <v>1</v>
      </c>
      <c r="F2412">
        <v>0</v>
      </c>
      <c r="G2412">
        <v>0</v>
      </c>
    </row>
    <row r="2413" spans="1:7" ht="13" x14ac:dyDescent="0.15">
      <c r="A2413" s="2">
        <v>1820166</v>
      </c>
      <c r="B2413" s="12" t="s">
        <v>9476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ht="13" x14ac:dyDescent="0.15">
      <c r="A2414" s="2">
        <v>1819654</v>
      </c>
      <c r="B2414" s="12" t="s">
        <v>9477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ht="13" x14ac:dyDescent="0.15">
      <c r="A2415" s="2">
        <v>3748704</v>
      </c>
      <c r="B2415" s="12" t="s">
        <v>9478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ht="13" x14ac:dyDescent="0.15">
      <c r="A2416" s="2">
        <v>1196953</v>
      </c>
      <c r="B2416" s="12" t="s">
        <v>9479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ht="13" x14ac:dyDescent="0.15">
      <c r="A2417" s="2">
        <v>1476750</v>
      </c>
      <c r="B2417" s="12" t="s">
        <v>9480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ht="13" x14ac:dyDescent="0.15">
      <c r="A2418" s="2">
        <v>5420376</v>
      </c>
      <c r="B2418" s="12" t="s">
        <v>9481</v>
      </c>
      <c r="C2418">
        <v>0</v>
      </c>
      <c r="D2418">
        <v>1</v>
      </c>
      <c r="E2418">
        <v>0</v>
      </c>
      <c r="F2418">
        <v>0</v>
      </c>
      <c r="G2418">
        <v>0</v>
      </c>
    </row>
    <row r="2419" spans="1:7" ht="13" x14ac:dyDescent="0.15">
      <c r="A2419" s="2">
        <v>5936448</v>
      </c>
      <c r="B2419" s="12" t="s">
        <v>9482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ht="13" x14ac:dyDescent="0.15">
      <c r="A2420" s="2">
        <v>1551632</v>
      </c>
      <c r="B2420" s="12" t="s">
        <v>9483</v>
      </c>
      <c r="C2420">
        <v>0</v>
      </c>
      <c r="D2420">
        <v>1</v>
      </c>
      <c r="E2420">
        <v>0</v>
      </c>
      <c r="F2420">
        <v>0</v>
      </c>
      <c r="G2420">
        <v>0</v>
      </c>
    </row>
    <row r="2421" spans="1:7" ht="13" x14ac:dyDescent="0.15">
      <c r="A2421" s="2">
        <v>4212188</v>
      </c>
      <c r="B2421" s="12" t="s">
        <v>9484</v>
      </c>
      <c r="C2421">
        <v>0</v>
      </c>
      <c r="D2421">
        <v>1</v>
      </c>
      <c r="E2421">
        <v>0</v>
      </c>
      <c r="F2421">
        <v>0</v>
      </c>
      <c r="G2421">
        <v>0</v>
      </c>
    </row>
    <row r="2422" spans="1:7" ht="13" x14ac:dyDescent="0.15">
      <c r="A2422" s="2">
        <v>996250</v>
      </c>
      <c r="B2422" s="12" t="s">
        <v>9485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ht="13" x14ac:dyDescent="0.15">
      <c r="A2423" s="2">
        <v>220008</v>
      </c>
      <c r="B2423" s="12" t="s">
        <v>9486</v>
      </c>
      <c r="C2423">
        <v>0</v>
      </c>
      <c r="D2423">
        <v>0</v>
      </c>
      <c r="E2423">
        <v>0</v>
      </c>
      <c r="F2423">
        <v>1</v>
      </c>
      <c r="G2423">
        <v>0</v>
      </c>
    </row>
    <row r="2424" spans="1:7" ht="13" x14ac:dyDescent="0.15">
      <c r="A2424" s="2">
        <v>2613448</v>
      </c>
      <c r="B2424" s="12" t="s">
        <v>9487</v>
      </c>
      <c r="C2424">
        <v>1</v>
      </c>
      <c r="D2424">
        <v>0</v>
      </c>
      <c r="E2424">
        <v>0</v>
      </c>
      <c r="F2424">
        <v>0</v>
      </c>
      <c r="G2424">
        <v>0</v>
      </c>
    </row>
    <row r="2425" spans="1:7" ht="13" x14ac:dyDescent="0.15">
      <c r="A2425" s="2">
        <v>437745</v>
      </c>
      <c r="B2425" s="12" t="s">
        <v>9488</v>
      </c>
      <c r="C2425">
        <v>0</v>
      </c>
      <c r="D2425">
        <v>1</v>
      </c>
      <c r="E2425">
        <v>1</v>
      </c>
      <c r="F2425">
        <v>0</v>
      </c>
      <c r="G2425">
        <v>0</v>
      </c>
    </row>
    <row r="2426" spans="1:7" ht="13" x14ac:dyDescent="0.15">
      <c r="A2426" s="2">
        <v>1738634</v>
      </c>
      <c r="B2426" s="12" t="s">
        <v>9489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ht="13" x14ac:dyDescent="0.15">
      <c r="A2427" s="2">
        <v>1217903</v>
      </c>
      <c r="B2427" s="12" t="s">
        <v>9490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ht="13" x14ac:dyDescent="0.15">
      <c r="A2428" s="2">
        <v>4093626</v>
      </c>
      <c r="B2428" s="12" t="s">
        <v>9491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ht="13" x14ac:dyDescent="0.15">
      <c r="A2429" s="2">
        <v>244926</v>
      </c>
      <c r="B2429" s="12" t="s">
        <v>9492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ht="13" x14ac:dyDescent="0.15">
      <c r="A2430" s="2">
        <v>106115</v>
      </c>
      <c r="B2430" s="12" t="s">
        <v>9493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ht="13" x14ac:dyDescent="0.15">
      <c r="A2431" s="2">
        <v>1500783</v>
      </c>
      <c r="B2431" s="12" t="s">
        <v>9494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ht="13" x14ac:dyDescent="0.15">
      <c r="A2432" s="2">
        <v>6233538</v>
      </c>
      <c r="B2432" s="12" t="s">
        <v>9495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ht="13" x14ac:dyDescent="0.15">
      <c r="A2433" s="2">
        <v>384766</v>
      </c>
      <c r="B2433" s="12" t="s">
        <v>9496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ht="13" x14ac:dyDescent="0.15">
      <c r="A2434" s="2">
        <v>159933</v>
      </c>
      <c r="B2434" s="12" t="s">
        <v>9497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ht="13" x14ac:dyDescent="0.15">
      <c r="A2435" s="2">
        <v>6696736</v>
      </c>
      <c r="B2435" s="12" t="s">
        <v>9498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ht="13" x14ac:dyDescent="0.15">
      <c r="A2436" s="2">
        <v>6273102</v>
      </c>
      <c r="B2436" s="12" t="s">
        <v>9499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ht="13" x14ac:dyDescent="0.15">
      <c r="A2437" s="2">
        <v>6064882</v>
      </c>
      <c r="B2437" s="12" t="s">
        <v>9500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ht="13" x14ac:dyDescent="0.15">
      <c r="A2438" s="2">
        <v>211858</v>
      </c>
      <c r="B2438" s="12" t="s">
        <v>9501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ht="13" x14ac:dyDescent="0.15">
      <c r="A2439" s="2">
        <v>1161684</v>
      </c>
      <c r="B2439" s="12" t="s">
        <v>9502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ht="13" x14ac:dyDescent="0.15">
      <c r="A2440" s="2">
        <v>94540</v>
      </c>
      <c r="B2440" s="12" t="s">
        <v>9503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ht="13" x14ac:dyDescent="0.15">
      <c r="A2441" s="2">
        <v>4465472</v>
      </c>
      <c r="B2441" s="12" t="s">
        <v>9504</v>
      </c>
      <c r="C2441">
        <v>0</v>
      </c>
      <c r="D2441">
        <v>0</v>
      </c>
      <c r="E2441">
        <v>0</v>
      </c>
      <c r="F2441">
        <v>0</v>
      </c>
      <c r="G2441">
        <v>1</v>
      </c>
    </row>
    <row r="2442" spans="1:7" ht="13" x14ac:dyDescent="0.15">
      <c r="A2442" s="2">
        <v>201391</v>
      </c>
      <c r="B2442" s="12" t="s">
        <v>9505</v>
      </c>
      <c r="C2442">
        <v>0</v>
      </c>
      <c r="D2442">
        <v>1</v>
      </c>
      <c r="E2442">
        <v>0</v>
      </c>
      <c r="F2442">
        <v>0</v>
      </c>
      <c r="G2442">
        <v>0</v>
      </c>
    </row>
    <row r="2443" spans="1:7" ht="13" x14ac:dyDescent="0.15">
      <c r="A2443" s="2">
        <v>7588054</v>
      </c>
      <c r="B2443" s="12" t="s">
        <v>9506</v>
      </c>
      <c r="C2443">
        <v>0</v>
      </c>
      <c r="D2443">
        <v>1</v>
      </c>
      <c r="E2443">
        <v>0</v>
      </c>
      <c r="F2443">
        <v>0</v>
      </c>
      <c r="G2443">
        <v>0</v>
      </c>
    </row>
    <row r="2444" spans="1:7" ht="13" x14ac:dyDescent="0.15">
      <c r="A2444" s="2">
        <v>7763662</v>
      </c>
      <c r="B2444" s="12" t="s">
        <v>9507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ht="13" x14ac:dyDescent="0.15">
      <c r="A2445" s="2">
        <v>11615044</v>
      </c>
      <c r="B2445" s="12" t="s">
        <v>9508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ht="13" x14ac:dyDescent="0.15">
      <c r="A2446" s="2">
        <v>143060</v>
      </c>
      <c r="B2446" s="12" t="s">
        <v>9509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ht="13" x14ac:dyDescent="0.15">
      <c r="A2447" s="2">
        <v>1319735</v>
      </c>
      <c r="B2447" s="12" t="s">
        <v>9510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ht="13" x14ac:dyDescent="0.15">
      <c r="A2448" s="2">
        <v>1389371</v>
      </c>
      <c r="B2448" s="12" t="s">
        <v>9511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ht="13" x14ac:dyDescent="0.15">
      <c r="A2449" s="2">
        <v>165057</v>
      </c>
      <c r="B2449" s="12" t="s">
        <v>9512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ht="13" x14ac:dyDescent="0.15">
      <c r="A2450" s="2">
        <v>101188</v>
      </c>
      <c r="B2450" s="12" t="s">
        <v>9513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ht="13" x14ac:dyDescent="0.15">
      <c r="A2451" s="2">
        <v>790772</v>
      </c>
      <c r="B2451" s="12" t="s">
        <v>9514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ht="13" x14ac:dyDescent="0.15">
      <c r="A2452" s="2">
        <v>411002</v>
      </c>
      <c r="B2452" s="12" t="s">
        <v>9515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ht="13" x14ac:dyDescent="0.15">
      <c r="A2453" s="2">
        <v>4732950</v>
      </c>
      <c r="B2453" s="12" t="s">
        <v>9516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ht="13" x14ac:dyDescent="0.15">
      <c r="A2454" s="2">
        <v>3816666</v>
      </c>
      <c r="B2454" s="12" t="s">
        <v>9517</v>
      </c>
      <c r="C2454">
        <v>1</v>
      </c>
      <c r="D2454">
        <v>0</v>
      </c>
      <c r="E2454">
        <v>0</v>
      </c>
      <c r="F2454">
        <v>0</v>
      </c>
      <c r="G2454">
        <v>0</v>
      </c>
    </row>
    <row r="2455" spans="1:7" ht="13" x14ac:dyDescent="0.15">
      <c r="A2455" s="2">
        <v>1353056</v>
      </c>
      <c r="B2455" s="12" t="s">
        <v>9518</v>
      </c>
      <c r="C2455">
        <v>0</v>
      </c>
      <c r="D2455">
        <v>0</v>
      </c>
      <c r="E2455">
        <v>0</v>
      </c>
      <c r="F2455">
        <v>0</v>
      </c>
      <c r="G2455">
        <v>1</v>
      </c>
    </row>
    <row r="2456" spans="1:7" ht="13" x14ac:dyDescent="0.15">
      <c r="A2456" s="2">
        <v>182629</v>
      </c>
      <c r="B2456" s="12" t="s">
        <v>9519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ht="13" x14ac:dyDescent="0.15">
      <c r="A2457" s="2">
        <v>290111</v>
      </c>
      <c r="B2457" s="12" t="s">
        <v>9520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ht="13" x14ac:dyDescent="0.15">
      <c r="A2458" s="2">
        <v>7520794</v>
      </c>
      <c r="B2458" s="12" t="s">
        <v>9521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ht="13" x14ac:dyDescent="0.15">
      <c r="A2459" s="2">
        <v>7068580</v>
      </c>
      <c r="B2459" s="12" t="s">
        <v>9522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ht="13" x14ac:dyDescent="0.15">
      <c r="A2460" s="2">
        <v>12317818</v>
      </c>
      <c r="B2460" s="12" t="s">
        <v>9523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ht="13" x14ac:dyDescent="0.15">
      <c r="A2461" s="2">
        <v>4698826</v>
      </c>
      <c r="B2461" s="12" t="s">
        <v>9524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ht="13" x14ac:dyDescent="0.15">
      <c r="A2462" s="2">
        <v>6111130</v>
      </c>
      <c r="B2462" s="12" t="s">
        <v>9525</v>
      </c>
      <c r="C2462">
        <v>1</v>
      </c>
      <c r="D2462">
        <v>0</v>
      </c>
      <c r="E2462">
        <v>0</v>
      </c>
      <c r="F2462">
        <v>0</v>
      </c>
      <c r="G2462">
        <v>0</v>
      </c>
    </row>
    <row r="2463" spans="1:7" ht="13" x14ac:dyDescent="0.15">
      <c r="A2463" s="2">
        <v>129712</v>
      </c>
      <c r="B2463" s="12" t="s">
        <v>9526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ht="13" x14ac:dyDescent="0.15">
      <c r="A2464" s="2">
        <v>172052</v>
      </c>
      <c r="B2464" s="12" t="s">
        <v>9527</v>
      </c>
      <c r="C2464">
        <v>1</v>
      </c>
      <c r="D2464">
        <v>0</v>
      </c>
      <c r="E2464">
        <v>0</v>
      </c>
      <c r="F2464">
        <v>0</v>
      </c>
      <c r="G2464">
        <v>0</v>
      </c>
    </row>
    <row r="2465" spans="1:7" ht="13" x14ac:dyDescent="0.15">
      <c r="A2465" s="2">
        <v>115341</v>
      </c>
      <c r="B2465" s="12" t="s">
        <v>9528</v>
      </c>
      <c r="C2465">
        <v>0</v>
      </c>
      <c r="D2465">
        <v>1</v>
      </c>
      <c r="E2465">
        <v>0</v>
      </c>
      <c r="F2465">
        <v>0</v>
      </c>
      <c r="G2465">
        <v>0</v>
      </c>
    </row>
    <row r="2466" spans="1:7" ht="13" x14ac:dyDescent="0.15">
      <c r="A2466" s="2">
        <v>6077448</v>
      </c>
      <c r="B2466" s="12" t="s">
        <v>9529</v>
      </c>
      <c r="C2466">
        <v>0</v>
      </c>
      <c r="D2466">
        <v>1</v>
      </c>
      <c r="E2466">
        <v>0</v>
      </c>
      <c r="F2466">
        <v>0</v>
      </c>
      <c r="G2466">
        <v>0</v>
      </c>
    </row>
    <row r="2467" spans="1:7" ht="13" x14ac:dyDescent="0.15">
      <c r="A2467" s="2">
        <v>4567314</v>
      </c>
      <c r="B2467" s="12" t="s">
        <v>9530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ht="13" x14ac:dyDescent="0.15">
      <c r="A2468" s="2">
        <v>1469149</v>
      </c>
      <c r="B2468" s="12" t="s">
        <v>9531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ht="13" x14ac:dyDescent="0.15">
      <c r="A2469" s="2">
        <v>108911</v>
      </c>
      <c r="B2469" s="12" t="s">
        <v>9532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ht="13" x14ac:dyDescent="0.15">
      <c r="A2470" s="2">
        <v>103369</v>
      </c>
      <c r="B2470" s="12" t="s">
        <v>9532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ht="13" x14ac:dyDescent="0.15">
      <c r="A2471" s="2">
        <v>114327</v>
      </c>
      <c r="B2471" s="12" t="s">
        <v>9532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ht="13" x14ac:dyDescent="0.15">
      <c r="A2472" s="2">
        <v>161952</v>
      </c>
      <c r="B2472" s="12" t="s">
        <v>9533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ht="13" x14ac:dyDescent="0.15">
      <c r="A2473" s="2">
        <v>2223298</v>
      </c>
      <c r="B2473" s="12" t="s">
        <v>9534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ht="13" x14ac:dyDescent="0.15">
      <c r="A2474" s="2">
        <v>6170874</v>
      </c>
      <c r="B2474" s="12" t="s">
        <v>9535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ht="13" x14ac:dyDescent="0.15">
      <c r="A2475" s="2">
        <v>2487090</v>
      </c>
      <c r="B2475" s="12" t="s">
        <v>9536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ht="13" x14ac:dyDescent="0.15">
      <c r="A2476" s="2">
        <v>898332</v>
      </c>
      <c r="B2476" s="12" t="s">
        <v>9537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ht="13" x14ac:dyDescent="0.15">
      <c r="A2477" s="2">
        <v>155446</v>
      </c>
      <c r="B2477" s="12" t="s">
        <v>9538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ht="13" x14ac:dyDescent="0.15">
      <c r="A2478" s="2">
        <v>423731</v>
      </c>
      <c r="B2478" s="12" t="s">
        <v>9539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ht="13" x14ac:dyDescent="0.15">
      <c r="A2479" s="2">
        <v>278238</v>
      </c>
      <c r="B2479" s="12" t="s">
        <v>9540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ht="13" x14ac:dyDescent="0.15">
      <c r="A2480" s="2">
        <v>965394</v>
      </c>
      <c r="B2480" s="12" t="s">
        <v>9541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ht="13" x14ac:dyDescent="0.15">
      <c r="A2481" s="2">
        <v>5580540</v>
      </c>
      <c r="B2481" s="12" t="s">
        <v>9542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ht="13" x14ac:dyDescent="0.15">
      <c r="A2482" s="2">
        <v>115345</v>
      </c>
      <c r="B2482" s="12" t="s">
        <v>9543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ht="13" x14ac:dyDescent="0.15">
      <c r="A2483" s="2">
        <v>1518542</v>
      </c>
      <c r="B2483" s="12" t="s">
        <v>9544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ht="13" x14ac:dyDescent="0.15">
      <c r="A2484" s="2">
        <v>819739</v>
      </c>
      <c r="B2484" s="12" t="s">
        <v>9545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ht="13" x14ac:dyDescent="0.15">
      <c r="A2485" s="2">
        <v>6538034</v>
      </c>
      <c r="B2485" s="12" t="s">
        <v>9546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ht="13" x14ac:dyDescent="0.15">
      <c r="A2486" s="2">
        <v>96694</v>
      </c>
      <c r="B2486" s="12" t="s">
        <v>9547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ht="13" x14ac:dyDescent="0.15">
      <c r="A2487" s="2">
        <v>106122</v>
      </c>
      <c r="B2487" s="12" t="s">
        <v>9548</v>
      </c>
      <c r="C2487">
        <v>1</v>
      </c>
      <c r="D2487">
        <v>0</v>
      </c>
      <c r="E2487">
        <v>0</v>
      </c>
      <c r="F2487">
        <v>0</v>
      </c>
      <c r="G2487">
        <v>0</v>
      </c>
    </row>
    <row r="2488" spans="1:7" ht="13" x14ac:dyDescent="0.15">
      <c r="A2488" s="2">
        <v>106123</v>
      </c>
      <c r="B2488" s="12" t="s">
        <v>9549</v>
      </c>
      <c r="C2488">
        <v>1</v>
      </c>
      <c r="D2488">
        <v>0</v>
      </c>
      <c r="E2488">
        <v>0</v>
      </c>
      <c r="F2488">
        <v>0</v>
      </c>
      <c r="G2488">
        <v>0</v>
      </c>
    </row>
    <row r="2489" spans="1:7" ht="13" x14ac:dyDescent="0.15">
      <c r="A2489" s="2">
        <v>1954804</v>
      </c>
      <c r="B2489" s="12" t="s">
        <v>9550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ht="13" x14ac:dyDescent="0.15">
      <c r="A2490" s="2">
        <v>1146270</v>
      </c>
      <c r="B2490" s="12" t="s">
        <v>9551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ht="13" x14ac:dyDescent="0.15">
      <c r="A2491" s="2">
        <v>1166709</v>
      </c>
      <c r="B2491" s="12" t="s">
        <v>9552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ht="13" x14ac:dyDescent="0.15">
      <c r="A2492" s="2">
        <v>2207986</v>
      </c>
      <c r="B2492" s="12" t="s">
        <v>9553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ht="13" x14ac:dyDescent="0.15">
      <c r="A2493" s="2">
        <v>1837576</v>
      </c>
      <c r="B2493" s="12" t="s">
        <v>9554</v>
      </c>
      <c r="C2493">
        <v>0</v>
      </c>
      <c r="D2493">
        <v>0</v>
      </c>
      <c r="E2493">
        <v>0</v>
      </c>
      <c r="F2493">
        <v>0</v>
      </c>
      <c r="G2493">
        <v>1</v>
      </c>
    </row>
    <row r="2494" spans="1:7" ht="13" x14ac:dyDescent="0.15">
      <c r="A2494" s="2">
        <v>280312</v>
      </c>
      <c r="B2494" s="12" t="s">
        <v>9555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ht="13" x14ac:dyDescent="0.15">
      <c r="A2495" s="2">
        <v>2475848</v>
      </c>
      <c r="B2495" s="12" t="s">
        <v>9556</v>
      </c>
      <c r="C2495">
        <v>0</v>
      </c>
      <c r="D2495">
        <v>1</v>
      </c>
      <c r="E2495">
        <v>0</v>
      </c>
      <c r="F2495">
        <v>0</v>
      </c>
      <c r="G2495">
        <v>0</v>
      </c>
    </row>
    <row r="2496" spans="1:7" ht="13" x14ac:dyDescent="0.15">
      <c r="A2496" s="2">
        <v>996867</v>
      </c>
      <c r="B2496" s="12" t="s">
        <v>9557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ht="13" x14ac:dyDescent="0.15">
      <c r="A2497" s="2">
        <v>6725736</v>
      </c>
      <c r="B2497" s="12" t="s">
        <v>9558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ht="13" x14ac:dyDescent="0.15">
      <c r="A2498" s="2">
        <v>3526078</v>
      </c>
      <c r="B2498" s="12" t="s">
        <v>9559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ht="13" x14ac:dyDescent="0.15">
      <c r="A2499" s="2">
        <v>4846958</v>
      </c>
      <c r="B2499" s="12" t="s">
        <v>9560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ht="13" x14ac:dyDescent="0.15">
      <c r="A2500" s="2">
        <v>1068993</v>
      </c>
      <c r="B2500" s="12" t="s">
        <v>9561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ht="13" x14ac:dyDescent="0.15">
      <c r="A2501" s="2">
        <v>5105452</v>
      </c>
      <c r="B2501" s="12" t="s">
        <v>9562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ht="13" x14ac:dyDescent="0.15">
      <c r="A2502" s="2">
        <v>1660055</v>
      </c>
      <c r="B2502" s="12" t="s">
        <v>9563</v>
      </c>
      <c r="C2502">
        <v>1</v>
      </c>
      <c r="D2502">
        <v>0</v>
      </c>
      <c r="E2502">
        <v>0</v>
      </c>
      <c r="F2502">
        <v>0</v>
      </c>
      <c r="G2502">
        <v>0</v>
      </c>
    </row>
    <row r="2503" spans="1:7" ht="13" x14ac:dyDescent="0.15">
      <c r="A2503" s="2">
        <v>7577496</v>
      </c>
      <c r="B2503" s="12" t="s">
        <v>9564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ht="13" x14ac:dyDescent="0.15">
      <c r="A2504" s="2">
        <v>4145384</v>
      </c>
      <c r="B2504" s="12" t="s">
        <v>9565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ht="13" x14ac:dyDescent="0.15">
      <c r="A2505" s="2">
        <v>3921180</v>
      </c>
      <c r="B2505" s="12" t="s">
        <v>9566</v>
      </c>
      <c r="C2505">
        <v>0</v>
      </c>
      <c r="D2505">
        <v>0</v>
      </c>
      <c r="E2505">
        <v>0</v>
      </c>
      <c r="F2505">
        <v>1</v>
      </c>
      <c r="G2505">
        <v>0</v>
      </c>
    </row>
    <row r="2506" spans="1:7" ht="13" x14ac:dyDescent="0.15">
      <c r="A2506" s="2">
        <v>780206</v>
      </c>
      <c r="B2506" s="12" t="s">
        <v>9567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ht="13" x14ac:dyDescent="0.15">
      <c r="A2507" s="2">
        <v>285403</v>
      </c>
      <c r="B2507" s="12" t="s">
        <v>9568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ht="13" x14ac:dyDescent="0.15">
      <c r="A2508" s="2">
        <v>85085</v>
      </c>
      <c r="B2508" s="12" t="s">
        <v>9569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ht="13" x14ac:dyDescent="0.15">
      <c r="A2509" s="2">
        <v>81925</v>
      </c>
      <c r="B2509" s="12" t="s">
        <v>9570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ht="13" x14ac:dyDescent="0.15">
      <c r="A2510" s="2">
        <v>6473344</v>
      </c>
      <c r="B2510" s="12" t="s">
        <v>9571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ht="13" x14ac:dyDescent="0.15">
      <c r="A2511" s="2">
        <v>278877</v>
      </c>
      <c r="B2511" s="12" t="s">
        <v>9572</v>
      </c>
      <c r="C2511">
        <v>1</v>
      </c>
      <c r="D2511">
        <v>0</v>
      </c>
      <c r="E2511">
        <v>1</v>
      </c>
      <c r="F2511">
        <v>0</v>
      </c>
      <c r="G2511">
        <v>0</v>
      </c>
    </row>
    <row r="2512" spans="1:7" ht="13" x14ac:dyDescent="0.15">
      <c r="A2512" s="2">
        <v>106126</v>
      </c>
      <c r="B2512" s="12" t="s">
        <v>9573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ht="13" x14ac:dyDescent="0.15">
      <c r="A2513" s="2">
        <v>5460226</v>
      </c>
      <c r="B2513" s="12" t="s">
        <v>9574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ht="13" x14ac:dyDescent="0.15">
      <c r="A2514" s="2">
        <v>3323282</v>
      </c>
      <c r="B2514" s="12" t="s">
        <v>9575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ht="13" x14ac:dyDescent="0.15">
      <c r="A2515" s="2">
        <v>1002010</v>
      </c>
      <c r="B2515" s="12" t="s">
        <v>9576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ht="13" x14ac:dyDescent="0.15">
      <c r="A2516" s="2">
        <v>1841321</v>
      </c>
      <c r="B2516" s="12" t="s">
        <v>9577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ht="13" x14ac:dyDescent="0.15">
      <c r="A2517" s="2">
        <v>1397131</v>
      </c>
      <c r="B2517" s="12" t="s">
        <v>9578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ht="13" x14ac:dyDescent="0.15">
      <c r="A2518" s="2">
        <v>3328948</v>
      </c>
      <c r="B2518" s="12" t="s">
        <v>9579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ht="13" x14ac:dyDescent="0.15">
      <c r="A2519" s="2">
        <v>3103340</v>
      </c>
      <c r="B2519" s="12" t="s">
        <v>9580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ht="13" x14ac:dyDescent="0.15">
      <c r="A2520" s="2">
        <v>3516878</v>
      </c>
      <c r="B2520" s="12" t="s">
        <v>9581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ht="13" x14ac:dyDescent="0.15">
      <c r="A2521" s="2">
        <v>354333</v>
      </c>
      <c r="B2521" s="12" t="s">
        <v>9582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ht="13" x14ac:dyDescent="0.15">
      <c r="A2522" s="2">
        <v>7949218</v>
      </c>
      <c r="B2522" s="12" t="s">
        <v>9583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ht="13" x14ac:dyDescent="0.15">
      <c r="A2523" s="2">
        <v>2429840</v>
      </c>
      <c r="B2523" s="12" t="s">
        <v>9584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ht="13" x14ac:dyDescent="0.15">
      <c r="A2524" s="2">
        <v>7070676</v>
      </c>
      <c r="B2524" s="12" t="s">
        <v>9585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ht="13" x14ac:dyDescent="0.15">
      <c r="A2525" s="2">
        <v>98904</v>
      </c>
      <c r="B2525" s="12" t="s">
        <v>9586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ht="13" x14ac:dyDescent="0.15">
      <c r="A2526" s="2">
        <v>1694038</v>
      </c>
      <c r="B2526" s="12" t="s">
        <v>9587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ht="13" x14ac:dyDescent="0.15">
      <c r="A2527" s="2">
        <v>9817298</v>
      </c>
      <c r="B2527" s="12" t="s">
        <v>9588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ht="13" x14ac:dyDescent="0.15">
      <c r="A2528" s="2">
        <v>2431438</v>
      </c>
      <c r="B2528" s="12" t="s">
        <v>9589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ht="13" x14ac:dyDescent="0.15">
      <c r="A2529" s="2">
        <v>4739024</v>
      </c>
      <c r="B2529" s="12" t="s">
        <v>9590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ht="13" x14ac:dyDescent="0.15">
      <c r="A2530" s="2">
        <v>8068860</v>
      </c>
      <c r="B2530" s="12" t="s">
        <v>9591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ht="13" x14ac:dyDescent="0.15">
      <c r="A2531" s="2">
        <v>159206</v>
      </c>
      <c r="B2531" s="12" t="s">
        <v>9592</v>
      </c>
      <c r="C2531">
        <v>0</v>
      </c>
      <c r="D2531">
        <v>1</v>
      </c>
      <c r="E2531">
        <v>0</v>
      </c>
      <c r="F2531">
        <v>0</v>
      </c>
      <c r="G2531">
        <v>0</v>
      </c>
    </row>
    <row r="2532" spans="1:7" ht="13" x14ac:dyDescent="0.15">
      <c r="A2532" s="2">
        <v>7767422</v>
      </c>
      <c r="B2532" s="12" t="s">
        <v>9593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ht="13" x14ac:dyDescent="0.15">
      <c r="A2533" s="2">
        <v>8205928</v>
      </c>
      <c r="B2533" s="12" t="s">
        <v>9594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ht="13" x14ac:dyDescent="0.15">
      <c r="A2534" s="2">
        <v>179609</v>
      </c>
      <c r="B2534" s="12" t="s">
        <v>9595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ht="13" x14ac:dyDescent="0.15">
      <c r="A2535" s="2">
        <v>210450</v>
      </c>
      <c r="B2535" s="12" t="s">
        <v>9596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ht="13" x14ac:dyDescent="0.15">
      <c r="A2536" s="2">
        <v>1227046</v>
      </c>
      <c r="B2536" s="12" t="s">
        <v>9597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ht="13" x14ac:dyDescent="0.15">
      <c r="A2537" s="2">
        <v>4145054</v>
      </c>
      <c r="B2537" s="12" t="s">
        <v>9598</v>
      </c>
      <c r="C2537">
        <v>0</v>
      </c>
      <c r="D2537">
        <v>1</v>
      </c>
      <c r="E2537">
        <v>0</v>
      </c>
      <c r="F2537">
        <v>0</v>
      </c>
      <c r="G2537">
        <v>0</v>
      </c>
    </row>
    <row r="2538" spans="1:7" ht="13" x14ac:dyDescent="0.15">
      <c r="A2538" s="2">
        <v>1997999</v>
      </c>
      <c r="B2538" s="12" t="s">
        <v>9599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ht="13" x14ac:dyDescent="0.15">
      <c r="A2539" s="2">
        <v>1661326</v>
      </c>
      <c r="B2539" s="12" t="s">
        <v>9600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ht="13" x14ac:dyDescent="0.15">
      <c r="A2540" s="2">
        <v>7526498</v>
      </c>
      <c r="B2540" s="12" t="s">
        <v>9601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ht="13" x14ac:dyDescent="0.15">
      <c r="A2541" s="2">
        <v>1586680</v>
      </c>
      <c r="B2541" s="12" t="s">
        <v>9602</v>
      </c>
      <c r="C2541">
        <v>1</v>
      </c>
      <c r="D2541">
        <v>0</v>
      </c>
      <c r="E2541">
        <v>0</v>
      </c>
      <c r="F2541">
        <v>0</v>
      </c>
      <c r="G2541">
        <v>0</v>
      </c>
    </row>
    <row r="2542" spans="1:7" ht="13" x14ac:dyDescent="0.15">
      <c r="A2542" s="2">
        <v>1526836</v>
      </c>
      <c r="B2542" s="12" t="s">
        <v>9603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ht="13" x14ac:dyDescent="0.15">
      <c r="A2543" s="2">
        <v>805666</v>
      </c>
      <c r="B2543" s="12" t="s">
        <v>9604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ht="13" x14ac:dyDescent="0.15">
      <c r="A2544" s="2">
        <v>1442550</v>
      </c>
      <c r="B2544" s="12" t="s">
        <v>9605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ht="13" x14ac:dyDescent="0.15">
      <c r="A2545" s="2">
        <v>368542</v>
      </c>
      <c r="B2545" s="12" t="s">
        <v>9606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ht="13" x14ac:dyDescent="0.15">
      <c r="A2546" s="2">
        <v>7745956</v>
      </c>
      <c r="B2546" s="12" t="s">
        <v>9607</v>
      </c>
      <c r="C2546">
        <v>1</v>
      </c>
      <c r="D2546">
        <v>0</v>
      </c>
      <c r="E2546">
        <v>0</v>
      </c>
      <c r="F2546">
        <v>0</v>
      </c>
      <c r="G2546">
        <v>0</v>
      </c>
    </row>
    <row r="2547" spans="1:7" ht="13" x14ac:dyDescent="0.15">
      <c r="A2547" s="2">
        <v>126171</v>
      </c>
      <c r="B2547" s="12" t="s">
        <v>9608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ht="13" x14ac:dyDescent="0.15">
      <c r="A2548" s="2">
        <v>98909</v>
      </c>
      <c r="B2548" s="12" t="s">
        <v>9609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ht="13" x14ac:dyDescent="0.15">
      <c r="A2549" s="2">
        <v>373605</v>
      </c>
      <c r="B2549" s="12" t="s">
        <v>9610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ht="13" x14ac:dyDescent="0.15">
      <c r="A2550" s="2">
        <v>3974632</v>
      </c>
      <c r="B2550" s="12" t="s">
        <v>9611</v>
      </c>
      <c r="C2550">
        <v>1</v>
      </c>
      <c r="D2550">
        <v>0</v>
      </c>
      <c r="E2550">
        <v>0</v>
      </c>
      <c r="F2550">
        <v>0</v>
      </c>
      <c r="G2550">
        <v>0</v>
      </c>
    </row>
    <row r="2551" spans="1:7" ht="13" x14ac:dyDescent="0.15">
      <c r="A2551" s="2">
        <v>3974682</v>
      </c>
      <c r="B2551" s="12" t="s">
        <v>9612</v>
      </c>
      <c r="C2551">
        <v>1</v>
      </c>
      <c r="D2551">
        <v>0</v>
      </c>
      <c r="E2551">
        <v>0</v>
      </c>
      <c r="F2551">
        <v>0</v>
      </c>
      <c r="G2551">
        <v>0</v>
      </c>
    </row>
    <row r="2552" spans="1:7" ht="13" x14ac:dyDescent="0.15">
      <c r="A2552" s="2">
        <v>3964984</v>
      </c>
      <c r="B2552" s="12" t="s">
        <v>9613</v>
      </c>
      <c r="C2552">
        <v>1</v>
      </c>
      <c r="D2552">
        <v>0</v>
      </c>
      <c r="E2552">
        <v>0</v>
      </c>
      <c r="F2552">
        <v>0</v>
      </c>
      <c r="G2552">
        <v>0</v>
      </c>
    </row>
    <row r="2553" spans="1:7" ht="13" x14ac:dyDescent="0.15">
      <c r="A2553" s="2">
        <v>2769458</v>
      </c>
      <c r="B2553" s="12" t="s">
        <v>9614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ht="13" x14ac:dyDescent="0.15">
      <c r="A2554" s="2">
        <v>1475582</v>
      </c>
      <c r="B2554" s="12" t="s">
        <v>9615</v>
      </c>
      <c r="C2554">
        <v>0</v>
      </c>
      <c r="D2554">
        <v>1</v>
      </c>
      <c r="E2554">
        <v>0</v>
      </c>
      <c r="F2554">
        <v>0</v>
      </c>
      <c r="G2554">
        <v>0</v>
      </c>
    </row>
    <row r="2555" spans="1:7" ht="13" x14ac:dyDescent="0.15">
      <c r="A2555" s="2">
        <v>117629</v>
      </c>
      <c r="B2555" s="12" t="s">
        <v>9616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ht="13" x14ac:dyDescent="0.15">
      <c r="A2556" s="2">
        <v>2396135</v>
      </c>
      <c r="B2556" s="12" t="s">
        <v>9617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ht="13" x14ac:dyDescent="0.15">
      <c r="A2557" s="2">
        <v>1233119</v>
      </c>
      <c r="B2557" s="12" t="s">
        <v>9618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ht="13" x14ac:dyDescent="0.15">
      <c r="A2558" s="2">
        <v>2016670</v>
      </c>
      <c r="B2558" s="12" t="s">
        <v>9619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ht="13" x14ac:dyDescent="0.15">
      <c r="A2559" s="2">
        <v>406468</v>
      </c>
      <c r="B2559" s="12" t="s">
        <v>9620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ht="13" x14ac:dyDescent="0.15">
      <c r="A2560" s="2">
        <v>7065736</v>
      </c>
      <c r="B2560" s="12" t="s">
        <v>9621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ht="13" x14ac:dyDescent="0.15">
      <c r="A2561" s="2">
        <v>7644680</v>
      </c>
      <c r="B2561" s="12" t="s">
        <v>9622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ht="13" x14ac:dyDescent="0.15">
      <c r="A2562" s="2">
        <v>5093452</v>
      </c>
      <c r="B2562" s="12" t="s">
        <v>9623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ht="13" x14ac:dyDescent="0.15">
      <c r="A2563" s="2">
        <v>6791846</v>
      </c>
      <c r="B2563" s="12" t="s">
        <v>9624</v>
      </c>
      <c r="C2563">
        <v>0</v>
      </c>
      <c r="D2563">
        <v>1</v>
      </c>
      <c r="E2563">
        <v>0</v>
      </c>
      <c r="F2563">
        <v>0</v>
      </c>
      <c r="G2563">
        <v>1</v>
      </c>
    </row>
    <row r="2564" spans="1:7" ht="13" x14ac:dyDescent="0.15">
      <c r="A2564" s="2">
        <v>5520392</v>
      </c>
      <c r="B2564" s="12" t="s">
        <v>9625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ht="13" x14ac:dyDescent="0.15">
      <c r="A2565" s="2">
        <v>2942950</v>
      </c>
      <c r="B2565" s="12" t="s">
        <v>9626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ht="13" x14ac:dyDescent="0.15">
      <c r="A2566" s="2">
        <v>1746428</v>
      </c>
      <c r="B2566" s="12" t="s">
        <v>9627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ht="13" x14ac:dyDescent="0.15">
      <c r="A2567" s="2">
        <v>7725756</v>
      </c>
      <c r="B2567" s="12" t="s">
        <v>9628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ht="13" x14ac:dyDescent="0.15">
      <c r="A2568" s="2">
        <v>7183282</v>
      </c>
      <c r="B2568" s="12" t="s">
        <v>9629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ht="13" x14ac:dyDescent="0.15">
      <c r="A2569" s="2">
        <v>250921</v>
      </c>
      <c r="B2569" s="12" t="s">
        <v>9630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ht="13" x14ac:dyDescent="0.15">
      <c r="A2570" s="2">
        <v>362344</v>
      </c>
      <c r="B2570" s="12" t="s">
        <v>9631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ht="13" x14ac:dyDescent="0.15">
      <c r="A2571" s="2">
        <v>7214444</v>
      </c>
      <c r="B2571" s="12" t="s">
        <v>9632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ht="13" x14ac:dyDescent="0.15">
      <c r="A2572" s="2">
        <v>991062</v>
      </c>
      <c r="B2572" s="12" t="s">
        <v>9633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ht="13" x14ac:dyDescent="0.15">
      <c r="A2573" s="2">
        <v>5146182</v>
      </c>
      <c r="B2573" s="12" t="s">
        <v>9634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ht="13" x14ac:dyDescent="0.15">
      <c r="A2574" s="2">
        <v>3001622</v>
      </c>
      <c r="B2574" s="12" t="s">
        <v>9635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ht="13" x14ac:dyDescent="0.15">
      <c r="A2575" s="2">
        <v>367411</v>
      </c>
      <c r="B2575" s="12" t="s">
        <v>9636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ht="13" x14ac:dyDescent="0.15">
      <c r="A2576" s="2">
        <v>7845644</v>
      </c>
      <c r="B2576" s="12" t="s">
        <v>9637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ht="13" x14ac:dyDescent="0.15">
      <c r="A2577" s="2">
        <v>5615700</v>
      </c>
      <c r="B2577" s="12" t="s">
        <v>9638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ht="13" x14ac:dyDescent="0.15">
      <c r="A2578" s="2">
        <v>2484950</v>
      </c>
      <c r="B2578" s="12" t="s">
        <v>9639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ht="13" x14ac:dyDescent="0.15">
      <c r="A2579" s="2">
        <v>1721666</v>
      </c>
      <c r="B2579" s="12" t="s">
        <v>9640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ht="13" x14ac:dyDescent="0.15">
      <c r="A2580" s="2">
        <v>108927</v>
      </c>
      <c r="B2580" s="12" t="s">
        <v>9641</v>
      </c>
      <c r="C2580">
        <v>0</v>
      </c>
      <c r="D2580">
        <v>0</v>
      </c>
      <c r="E2580">
        <v>0</v>
      </c>
      <c r="F2580">
        <v>0</v>
      </c>
      <c r="G2580">
        <v>1</v>
      </c>
    </row>
    <row r="2581" spans="1:7" ht="13" x14ac:dyDescent="0.15">
      <c r="A2581" s="2">
        <v>3791526</v>
      </c>
      <c r="B2581" s="12" t="s">
        <v>9642</v>
      </c>
      <c r="C2581">
        <v>0</v>
      </c>
      <c r="D2581">
        <v>0</v>
      </c>
      <c r="E2581">
        <v>0</v>
      </c>
      <c r="F2581">
        <v>0</v>
      </c>
      <c r="G2581">
        <v>1</v>
      </c>
    </row>
    <row r="2582" spans="1:7" ht="13" x14ac:dyDescent="0.15">
      <c r="A2582" s="2">
        <v>5541338</v>
      </c>
      <c r="B2582" s="12" t="s">
        <v>9643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ht="13" x14ac:dyDescent="0.15">
      <c r="A2583" s="2">
        <v>248654</v>
      </c>
      <c r="B2583" s="12" t="s">
        <v>9644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ht="13" x14ac:dyDescent="0.15">
      <c r="A2584" s="2">
        <v>5079024</v>
      </c>
      <c r="B2584" s="12" t="s">
        <v>9645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ht="13" x14ac:dyDescent="0.15">
      <c r="A2585" s="2">
        <v>185112</v>
      </c>
      <c r="B2585" s="12" t="s">
        <v>9646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ht="13" x14ac:dyDescent="0.15">
      <c r="A2586" s="2">
        <v>5288312</v>
      </c>
      <c r="B2586" s="12" t="s">
        <v>9647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ht="13" x14ac:dyDescent="0.15">
      <c r="A2587" s="2">
        <v>108928</v>
      </c>
      <c r="B2587" s="12" t="s">
        <v>9648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ht="13" x14ac:dyDescent="0.15">
      <c r="A2588" s="2">
        <v>1728226</v>
      </c>
      <c r="B2588" s="12" t="s">
        <v>9649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ht="13" x14ac:dyDescent="0.15">
      <c r="A2589" s="2">
        <v>2936388</v>
      </c>
      <c r="B2589" s="12" t="s">
        <v>9650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ht="13" x14ac:dyDescent="0.15">
      <c r="A2590" s="2">
        <v>203269</v>
      </c>
      <c r="B2590" s="12" t="s">
        <v>9651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ht="13" x14ac:dyDescent="0.15">
      <c r="A2591" s="2">
        <v>1056456</v>
      </c>
      <c r="B2591" s="12" t="s">
        <v>9652</v>
      </c>
      <c r="C2591">
        <v>0</v>
      </c>
      <c r="D2591">
        <v>0</v>
      </c>
      <c r="E2591">
        <v>1</v>
      </c>
      <c r="F2591">
        <v>0</v>
      </c>
      <c r="G2591">
        <v>0</v>
      </c>
    </row>
    <row r="2592" spans="1:7" ht="13" x14ac:dyDescent="0.15">
      <c r="A2592" s="2">
        <v>465353</v>
      </c>
      <c r="B2592" s="12" t="s">
        <v>9653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ht="13" x14ac:dyDescent="0.15">
      <c r="A2593" s="2">
        <v>118464</v>
      </c>
      <c r="B2593" s="12" t="s">
        <v>9654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ht="13" x14ac:dyDescent="0.15">
      <c r="A2594" s="2">
        <v>2647544</v>
      </c>
      <c r="B2594" s="12" t="s">
        <v>9655</v>
      </c>
      <c r="C2594">
        <v>0</v>
      </c>
      <c r="D2594">
        <v>1</v>
      </c>
      <c r="E2594">
        <v>0</v>
      </c>
      <c r="F2594">
        <v>0</v>
      </c>
      <c r="G2594">
        <v>0</v>
      </c>
    </row>
    <row r="2595" spans="1:7" ht="13" x14ac:dyDescent="0.15">
      <c r="A2595" s="2">
        <v>387779</v>
      </c>
      <c r="B2595" s="12" t="s">
        <v>9656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ht="13" x14ac:dyDescent="0.15">
      <c r="A2596" s="2">
        <v>155449</v>
      </c>
      <c r="B2596" s="12" t="s">
        <v>9657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ht="13" x14ac:dyDescent="0.15">
      <c r="A2597" s="2">
        <v>191730</v>
      </c>
      <c r="B2597" s="12" t="s">
        <v>9658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ht="13" x14ac:dyDescent="0.15">
      <c r="A2598" s="2">
        <v>2235942</v>
      </c>
      <c r="B2598" s="12" t="s">
        <v>9659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ht="13" x14ac:dyDescent="0.15">
      <c r="A2599" s="2">
        <v>279600</v>
      </c>
      <c r="B2599" s="12" t="s">
        <v>9660</v>
      </c>
      <c r="C2599">
        <v>1</v>
      </c>
      <c r="D2599">
        <v>1</v>
      </c>
      <c r="E2599">
        <v>0</v>
      </c>
      <c r="F2599">
        <v>0</v>
      </c>
      <c r="G2599">
        <v>0</v>
      </c>
    </row>
    <row r="2600" spans="1:7" ht="13" x14ac:dyDescent="0.15">
      <c r="A2600" s="2">
        <v>5011816</v>
      </c>
      <c r="B2600" s="12" t="s">
        <v>9661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ht="13" x14ac:dyDescent="0.15">
      <c r="A2601" s="2">
        <v>386977</v>
      </c>
      <c r="B2601" s="12" t="s">
        <v>9662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ht="13" x14ac:dyDescent="0.15">
      <c r="A2602" s="2">
        <v>6439752</v>
      </c>
      <c r="B2602" s="12" t="s">
        <v>9663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ht="13" x14ac:dyDescent="0.15">
      <c r="A2603" s="2">
        <v>4615998</v>
      </c>
      <c r="B2603" s="12" t="s">
        <v>9664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ht="13" x14ac:dyDescent="0.15">
      <c r="A2604" s="2">
        <v>472023</v>
      </c>
      <c r="B2604" s="12" t="s">
        <v>9665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ht="13" x14ac:dyDescent="0.15">
      <c r="A2605" s="2">
        <v>1267314</v>
      </c>
      <c r="B2605" s="12" t="s">
        <v>9666</v>
      </c>
      <c r="C2605">
        <v>1</v>
      </c>
      <c r="D2605">
        <v>0</v>
      </c>
      <c r="E2605">
        <v>0</v>
      </c>
      <c r="F2605">
        <v>0</v>
      </c>
      <c r="G2605">
        <v>0</v>
      </c>
    </row>
    <row r="2606" spans="1:7" ht="13" x14ac:dyDescent="0.15">
      <c r="A2606" s="2">
        <v>2136138</v>
      </c>
      <c r="B2606" s="12" t="s">
        <v>9667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ht="13" x14ac:dyDescent="0.15">
      <c r="A2607" s="2">
        <v>8681064</v>
      </c>
      <c r="B2607" s="12" t="s">
        <v>9668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ht="13" x14ac:dyDescent="0.15">
      <c r="A2608" s="2">
        <v>2358629</v>
      </c>
      <c r="B2608" s="12" t="s">
        <v>9669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ht="13" x14ac:dyDescent="0.15">
      <c r="A2609" s="2">
        <v>7752034</v>
      </c>
      <c r="B2609" s="12" t="s">
        <v>9670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ht="13" x14ac:dyDescent="0.15">
      <c r="A2610" s="2">
        <v>6467294</v>
      </c>
      <c r="B2610" s="12" t="s">
        <v>9671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ht="13" x14ac:dyDescent="0.15">
      <c r="A2611" s="2">
        <v>235137</v>
      </c>
      <c r="B2611" s="12" t="s">
        <v>9672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ht="13" x14ac:dyDescent="0.15">
      <c r="A2612" s="2">
        <v>5328646</v>
      </c>
      <c r="B2612" s="12" t="s">
        <v>9673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ht="13" x14ac:dyDescent="0.15">
      <c r="A2613" s="2">
        <v>2933244</v>
      </c>
      <c r="B2613" s="12" t="s">
        <v>9674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ht="13" x14ac:dyDescent="0.15">
      <c r="A2614" s="2">
        <v>9165752</v>
      </c>
      <c r="B2614" s="12" t="s">
        <v>9675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ht="13" x14ac:dyDescent="0.15">
      <c r="A2615" s="2">
        <v>3232262</v>
      </c>
      <c r="B2615" s="12" t="s">
        <v>9676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ht="13" x14ac:dyDescent="0.15">
      <c r="A2616" s="2">
        <v>106140</v>
      </c>
      <c r="B2616" s="12" t="s">
        <v>9677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ht="13" x14ac:dyDescent="0.15">
      <c r="A2617" s="2">
        <v>230804</v>
      </c>
      <c r="B2617" s="12" t="s">
        <v>9678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ht="13" x14ac:dyDescent="0.15">
      <c r="A2618" s="2">
        <v>367413</v>
      </c>
      <c r="B2618" s="12" t="s">
        <v>9679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ht="13" x14ac:dyDescent="0.15">
      <c r="A2619" s="2">
        <v>318246</v>
      </c>
      <c r="B2619" s="12" t="s">
        <v>9680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ht="13" x14ac:dyDescent="0.15">
      <c r="A2620" s="2">
        <v>1124373</v>
      </c>
      <c r="B2620" s="12" t="s">
        <v>9681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ht="13" x14ac:dyDescent="0.15">
      <c r="A2621" s="2">
        <v>185114</v>
      </c>
      <c r="B2621" s="12" t="s">
        <v>9682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ht="13" x14ac:dyDescent="0.15">
      <c r="A2622" s="2">
        <v>7575222</v>
      </c>
      <c r="B2622" s="12" t="s">
        <v>9683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ht="13" x14ac:dyDescent="0.15">
      <c r="A2623" s="2">
        <v>1078273</v>
      </c>
      <c r="B2623" s="12" t="s">
        <v>9684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ht="13" x14ac:dyDescent="0.15">
      <c r="A2624" s="2">
        <v>2108273</v>
      </c>
      <c r="B2624" s="12" t="s">
        <v>9685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ht="13" x14ac:dyDescent="0.15">
      <c r="A2625" s="2">
        <v>8000638</v>
      </c>
      <c r="B2625" s="12" t="s">
        <v>9686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ht="13" x14ac:dyDescent="0.15">
      <c r="A2626" s="2">
        <v>476078</v>
      </c>
      <c r="B2626" s="12" t="s">
        <v>9687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ht="13" x14ac:dyDescent="0.15">
      <c r="A2627" s="2">
        <v>1502272</v>
      </c>
      <c r="B2627" s="12" t="s">
        <v>9688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ht="13" x14ac:dyDescent="0.15">
      <c r="A2628" s="2">
        <v>4384306</v>
      </c>
      <c r="B2628" s="12" t="s">
        <v>9689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ht="13" x14ac:dyDescent="0.15">
      <c r="A2629" s="2">
        <v>462139</v>
      </c>
      <c r="B2629" s="12" t="s">
        <v>9690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ht="13" x14ac:dyDescent="0.15">
      <c r="A2630" s="2">
        <v>121955</v>
      </c>
      <c r="B2630" s="12" t="s">
        <v>9691</v>
      </c>
      <c r="C2630">
        <v>0</v>
      </c>
      <c r="D2630">
        <v>0</v>
      </c>
      <c r="E2630">
        <v>1</v>
      </c>
      <c r="F2630">
        <v>0</v>
      </c>
      <c r="G2630">
        <v>0</v>
      </c>
    </row>
    <row r="2631" spans="1:7" ht="13" x14ac:dyDescent="0.15">
      <c r="A2631" s="2">
        <v>2815522</v>
      </c>
      <c r="B2631" s="12" t="s">
        <v>9692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ht="13" x14ac:dyDescent="0.15">
      <c r="A2632" s="2">
        <v>1299368</v>
      </c>
      <c r="B2632" s="12" t="s">
        <v>9693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ht="13" x14ac:dyDescent="0.15">
      <c r="A2633" s="2">
        <v>2861492</v>
      </c>
      <c r="B2633" s="12" t="s">
        <v>9694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ht="13" x14ac:dyDescent="0.15">
      <c r="A2634" s="2">
        <v>235138</v>
      </c>
      <c r="B2634" s="12" t="s">
        <v>9695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ht="13" x14ac:dyDescent="0.15">
      <c r="A2635" s="2">
        <v>108937</v>
      </c>
      <c r="B2635" s="12" t="s">
        <v>9696</v>
      </c>
      <c r="C2635">
        <v>1</v>
      </c>
      <c r="D2635">
        <v>0</v>
      </c>
      <c r="E2635">
        <v>1</v>
      </c>
      <c r="F2635">
        <v>0</v>
      </c>
      <c r="G2635">
        <v>0</v>
      </c>
    </row>
    <row r="2636" spans="1:7" ht="13" x14ac:dyDescent="0.15">
      <c r="A2636" s="2">
        <v>112173</v>
      </c>
      <c r="B2636" s="12" t="s">
        <v>9697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ht="13" x14ac:dyDescent="0.15">
      <c r="A2637" s="2">
        <v>187664</v>
      </c>
      <c r="B2637" s="12" t="s">
        <v>9698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ht="13" x14ac:dyDescent="0.15">
      <c r="A2638" s="2">
        <v>200376</v>
      </c>
      <c r="B2638" s="12" t="s">
        <v>9699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ht="13" x14ac:dyDescent="0.15">
      <c r="A2639" s="2">
        <v>1442449</v>
      </c>
      <c r="B2639" s="12" t="s">
        <v>9700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ht="13" x14ac:dyDescent="0.15">
      <c r="A2640" s="2">
        <v>1749539</v>
      </c>
      <c r="B2640" s="12" t="s">
        <v>9701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ht="13" x14ac:dyDescent="0.15">
      <c r="A2641" s="2">
        <v>268094</v>
      </c>
      <c r="B2641" s="12" t="s">
        <v>9702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ht="13" x14ac:dyDescent="0.15">
      <c r="A2642" s="2">
        <v>5592146</v>
      </c>
      <c r="B2642" s="12" t="s">
        <v>9703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ht="13" x14ac:dyDescent="0.15">
      <c r="A2643" s="2">
        <v>382485</v>
      </c>
      <c r="B2643" s="12" t="s">
        <v>9704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ht="13" x14ac:dyDescent="0.15">
      <c r="A2644" s="2">
        <v>1158671</v>
      </c>
      <c r="B2644" s="12" t="s">
        <v>9705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ht="13" x14ac:dyDescent="0.15">
      <c r="A2645" s="2">
        <v>149524</v>
      </c>
      <c r="B2645" s="12" t="s">
        <v>9706</v>
      </c>
      <c r="C2645">
        <v>0</v>
      </c>
      <c r="D2645">
        <v>0</v>
      </c>
      <c r="E2645">
        <v>1</v>
      </c>
      <c r="F2645">
        <v>0</v>
      </c>
      <c r="G2645">
        <v>0</v>
      </c>
    </row>
    <row r="2646" spans="1:7" ht="13" x14ac:dyDescent="0.15">
      <c r="A2646" s="2">
        <v>290983</v>
      </c>
      <c r="B2646" s="12" t="s">
        <v>9707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ht="13" x14ac:dyDescent="0.15">
      <c r="A2647" s="2">
        <v>83481</v>
      </c>
      <c r="B2647" s="12" t="s">
        <v>9708</v>
      </c>
      <c r="C2647">
        <v>0</v>
      </c>
      <c r="D2647">
        <v>1</v>
      </c>
      <c r="E2647">
        <v>0</v>
      </c>
      <c r="F2647">
        <v>0</v>
      </c>
      <c r="G2647">
        <v>0</v>
      </c>
    </row>
    <row r="2648" spans="1:7" ht="13" x14ac:dyDescent="0.15">
      <c r="A2648" s="2">
        <v>207120</v>
      </c>
      <c r="B2648" s="12" t="s">
        <v>9709</v>
      </c>
      <c r="C2648">
        <v>0</v>
      </c>
      <c r="D2648">
        <v>1</v>
      </c>
      <c r="E2648">
        <v>0</v>
      </c>
      <c r="F2648">
        <v>0</v>
      </c>
      <c r="G2648">
        <v>0</v>
      </c>
    </row>
    <row r="2649" spans="1:7" ht="13" x14ac:dyDescent="0.15">
      <c r="A2649" s="2">
        <v>112175</v>
      </c>
      <c r="B2649" s="12" t="s">
        <v>9710</v>
      </c>
      <c r="C2649">
        <v>0</v>
      </c>
      <c r="D2649">
        <v>1</v>
      </c>
      <c r="E2649">
        <v>0</v>
      </c>
      <c r="F2649">
        <v>0</v>
      </c>
      <c r="G2649">
        <v>0</v>
      </c>
    </row>
    <row r="2650" spans="1:7" ht="13" x14ac:dyDescent="0.15">
      <c r="A2650" s="2">
        <v>6710836</v>
      </c>
      <c r="B2650" s="12" t="s">
        <v>9711</v>
      </c>
      <c r="C2650">
        <v>1</v>
      </c>
      <c r="D2650">
        <v>0</v>
      </c>
      <c r="E2650">
        <v>0</v>
      </c>
      <c r="F2650">
        <v>1</v>
      </c>
      <c r="G2650">
        <v>0</v>
      </c>
    </row>
    <row r="2651" spans="1:7" ht="13" x14ac:dyDescent="0.15">
      <c r="A2651" s="2">
        <v>1524415</v>
      </c>
      <c r="B2651" s="12" t="s">
        <v>9712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ht="13" x14ac:dyDescent="0.15">
      <c r="A2652" s="2">
        <v>2647792</v>
      </c>
      <c r="B2652" s="12" t="s">
        <v>9713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ht="13" x14ac:dyDescent="0.15">
      <c r="A2653" s="2">
        <v>6492236</v>
      </c>
      <c r="B2653" s="12" t="s">
        <v>9714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ht="13" x14ac:dyDescent="0.15">
      <c r="A2654" s="2">
        <v>206512</v>
      </c>
      <c r="B2654" s="12" t="s">
        <v>9715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ht="13" x14ac:dyDescent="0.15">
      <c r="A2655" s="2">
        <v>160904</v>
      </c>
      <c r="B2655" s="12" t="s">
        <v>9716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ht="13" x14ac:dyDescent="0.15">
      <c r="A2656" s="2">
        <v>3834000</v>
      </c>
      <c r="B2656" s="12" t="s">
        <v>9717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ht="13" x14ac:dyDescent="0.15">
      <c r="A2657" s="2">
        <v>7510830</v>
      </c>
      <c r="B2657" s="12" t="s">
        <v>9718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ht="13" x14ac:dyDescent="0.15">
      <c r="A2658" s="2">
        <v>497310</v>
      </c>
      <c r="B2658" s="12" t="s">
        <v>9719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ht="13" x14ac:dyDescent="0.15">
      <c r="A2659" s="2">
        <v>5722214</v>
      </c>
      <c r="B2659" s="12" t="s">
        <v>9720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ht="13" x14ac:dyDescent="0.15">
      <c r="A2660" s="2">
        <v>4800878</v>
      </c>
      <c r="B2660" s="12" t="s">
        <v>9721</v>
      </c>
      <c r="C2660">
        <v>0</v>
      </c>
      <c r="D2660">
        <v>1</v>
      </c>
      <c r="E2660">
        <v>0</v>
      </c>
      <c r="F2660">
        <v>0</v>
      </c>
      <c r="G2660">
        <v>0</v>
      </c>
    </row>
    <row r="2661" spans="1:7" ht="13" x14ac:dyDescent="0.15">
      <c r="A2661" s="2">
        <v>1743275</v>
      </c>
      <c r="B2661" s="12" t="s">
        <v>9722</v>
      </c>
      <c r="C2661">
        <v>0</v>
      </c>
      <c r="D2661">
        <v>1</v>
      </c>
      <c r="E2661">
        <v>0</v>
      </c>
      <c r="F2661">
        <v>0</v>
      </c>
      <c r="G2661">
        <v>0</v>
      </c>
    </row>
    <row r="2662" spans="1:7" ht="13" x14ac:dyDescent="0.15">
      <c r="A2662" s="2">
        <v>756582</v>
      </c>
      <c r="B2662" s="12" t="s">
        <v>9723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ht="13" x14ac:dyDescent="0.15">
      <c r="A2663" s="2">
        <v>4941240</v>
      </c>
      <c r="B2663" s="12" t="s">
        <v>9724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ht="13" x14ac:dyDescent="0.15">
      <c r="A2664" s="2">
        <v>106145</v>
      </c>
      <c r="B2664" s="12" t="s">
        <v>9725</v>
      </c>
      <c r="C2664">
        <v>1</v>
      </c>
      <c r="D2664">
        <v>0</v>
      </c>
      <c r="E2664">
        <v>0</v>
      </c>
      <c r="F2664">
        <v>1</v>
      </c>
      <c r="G2664">
        <v>0</v>
      </c>
    </row>
    <row r="2665" spans="1:7" ht="13" x14ac:dyDescent="0.15">
      <c r="A2665" s="2">
        <v>244365</v>
      </c>
      <c r="B2665" s="12" t="s">
        <v>9726</v>
      </c>
      <c r="C2665">
        <v>1</v>
      </c>
      <c r="D2665">
        <v>0</v>
      </c>
      <c r="E2665">
        <v>0</v>
      </c>
      <c r="F2665">
        <v>1</v>
      </c>
      <c r="G2665">
        <v>0</v>
      </c>
    </row>
    <row r="2666" spans="1:7" ht="13" x14ac:dyDescent="0.15">
      <c r="A2666" s="2">
        <v>92455</v>
      </c>
      <c r="B2666" s="12" t="s">
        <v>9727</v>
      </c>
      <c r="C2666">
        <v>1</v>
      </c>
      <c r="D2666">
        <v>0</v>
      </c>
      <c r="E2666">
        <v>0</v>
      </c>
      <c r="F2666">
        <v>1</v>
      </c>
      <c r="G2666">
        <v>0</v>
      </c>
    </row>
    <row r="2667" spans="1:7" ht="13" x14ac:dyDescent="0.15">
      <c r="A2667" s="2">
        <v>112178</v>
      </c>
      <c r="B2667" s="12" t="s">
        <v>9728</v>
      </c>
      <c r="C2667">
        <v>1</v>
      </c>
      <c r="D2667">
        <v>0</v>
      </c>
      <c r="E2667">
        <v>0</v>
      </c>
      <c r="F2667">
        <v>1</v>
      </c>
      <c r="G2667">
        <v>0</v>
      </c>
    </row>
    <row r="2668" spans="1:7" ht="13" x14ac:dyDescent="0.15">
      <c r="A2668" s="2">
        <v>2758770</v>
      </c>
      <c r="B2668" s="12" t="s">
        <v>9729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ht="13" x14ac:dyDescent="0.15">
      <c r="A2669" s="2">
        <v>2930604</v>
      </c>
      <c r="B2669" s="12" t="s">
        <v>9730</v>
      </c>
      <c r="C2669">
        <v>1</v>
      </c>
      <c r="D2669">
        <v>0</v>
      </c>
      <c r="E2669">
        <v>0</v>
      </c>
      <c r="F2669">
        <v>1</v>
      </c>
      <c r="G2669">
        <v>0</v>
      </c>
    </row>
    <row r="2670" spans="1:7" ht="13" x14ac:dyDescent="0.15">
      <c r="A2670" s="2">
        <v>361243</v>
      </c>
      <c r="B2670" s="12" t="s">
        <v>9731</v>
      </c>
      <c r="C2670">
        <v>1</v>
      </c>
      <c r="D2670">
        <v>0</v>
      </c>
      <c r="E2670">
        <v>0</v>
      </c>
      <c r="F2670">
        <v>1</v>
      </c>
      <c r="G2670">
        <v>0</v>
      </c>
    </row>
    <row r="2671" spans="1:7" ht="13" x14ac:dyDescent="0.15">
      <c r="A2671" s="2">
        <v>88510</v>
      </c>
      <c r="B2671" s="12" t="s">
        <v>9732</v>
      </c>
      <c r="C2671">
        <v>1</v>
      </c>
      <c r="D2671">
        <v>0</v>
      </c>
      <c r="E2671">
        <v>0</v>
      </c>
      <c r="F2671">
        <v>1</v>
      </c>
      <c r="G2671">
        <v>0</v>
      </c>
    </row>
    <row r="2672" spans="1:7" ht="13" x14ac:dyDescent="0.15">
      <c r="A2672" s="2">
        <v>458290</v>
      </c>
      <c r="B2672" s="12" t="s">
        <v>9733</v>
      </c>
      <c r="C2672">
        <v>1</v>
      </c>
      <c r="D2672">
        <v>0</v>
      </c>
      <c r="E2672">
        <v>0</v>
      </c>
      <c r="F2672">
        <v>1</v>
      </c>
      <c r="G2672">
        <v>0</v>
      </c>
    </row>
    <row r="2673" spans="1:7" ht="13" x14ac:dyDescent="0.15">
      <c r="A2673" s="2">
        <v>7161862</v>
      </c>
      <c r="B2673" s="12" t="s">
        <v>9734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ht="13" x14ac:dyDescent="0.15">
      <c r="A2674" s="2">
        <v>118480</v>
      </c>
      <c r="B2674" s="12" t="s">
        <v>9735</v>
      </c>
      <c r="C2674">
        <v>0</v>
      </c>
      <c r="D2674">
        <v>0</v>
      </c>
      <c r="E2674">
        <v>0</v>
      </c>
      <c r="F2674">
        <v>1</v>
      </c>
      <c r="G2674">
        <v>0</v>
      </c>
    </row>
    <row r="2675" spans="1:7" ht="13" x14ac:dyDescent="0.15">
      <c r="A2675" s="2">
        <v>1286039</v>
      </c>
      <c r="B2675" s="12" t="s">
        <v>9736</v>
      </c>
      <c r="C2675">
        <v>0</v>
      </c>
      <c r="D2675">
        <v>0</v>
      </c>
      <c r="E2675">
        <v>0</v>
      </c>
      <c r="F2675">
        <v>1</v>
      </c>
      <c r="G2675">
        <v>0</v>
      </c>
    </row>
    <row r="2676" spans="1:7" ht="13" x14ac:dyDescent="0.15">
      <c r="A2676" s="2">
        <v>374455</v>
      </c>
      <c r="B2676" s="12" t="s">
        <v>9737</v>
      </c>
      <c r="C2676">
        <v>0</v>
      </c>
      <c r="D2676">
        <v>0</v>
      </c>
      <c r="E2676">
        <v>0</v>
      </c>
      <c r="F2676">
        <v>1</v>
      </c>
      <c r="G2676">
        <v>0</v>
      </c>
    </row>
    <row r="2677" spans="1:7" ht="13" x14ac:dyDescent="0.15">
      <c r="A2677" s="2">
        <v>250750</v>
      </c>
      <c r="B2677" s="12" t="s">
        <v>9738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ht="13" x14ac:dyDescent="0.15">
      <c r="A2678" s="2">
        <v>112131</v>
      </c>
      <c r="B2678" s="12" t="s">
        <v>9739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ht="13" x14ac:dyDescent="0.15">
      <c r="A2679" s="2">
        <v>7577568</v>
      </c>
      <c r="B2679" s="12" t="s">
        <v>9740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ht="13" x14ac:dyDescent="0.15">
      <c r="A2680" s="2">
        <v>2223794</v>
      </c>
      <c r="B2680" s="12" t="s">
        <v>9741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ht="13" x14ac:dyDescent="0.15">
      <c r="A2681" s="2">
        <v>5028002</v>
      </c>
      <c r="B2681" s="12" t="s">
        <v>9742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ht="13" x14ac:dyDescent="0.15">
      <c r="A2682" s="2">
        <v>8708280</v>
      </c>
      <c r="B2682" s="12" t="s">
        <v>9743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ht="13" x14ac:dyDescent="0.15">
      <c r="A2683" s="2">
        <v>247729</v>
      </c>
      <c r="B2683" s="12" t="s">
        <v>9744</v>
      </c>
      <c r="C2683">
        <v>1</v>
      </c>
      <c r="D2683">
        <v>1</v>
      </c>
      <c r="E2683">
        <v>0</v>
      </c>
      <c r="F2683">
        <v>0</v>
      </c>
      <c r="G2683">
        <v>0</v>
      </c>
    </row>
    <row r="2684" spans="1:7" ht="13" x14ac:dyDescent="0.15">
      <c r="A2684" s="2">
        <v>3482566</v>
      </c>
      <c r="B2684" s="12" t="s">
        <v>9745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ht="13" x14ac:dyDescent="0.15">
      <c r="A2685" s="2">
        <v>4204010</v>
      </c>
      <c r="B2685" s="12" t="s">
        <v>9746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ht="13" x14ac:dyDescent="0.15">
      <c r="A2686" s="2">
        <v>1910272</v>
      </c>
      <c r="B2686" s="12" t="s">
        <v>9747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ht="13" x14ac:dyDescent="0.15">
      <c r="A2687" s="2">
        <v>7132816</v>
      </c>
      <c r="B2687" s="12" t="s">
        <v>9748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ht="13" x14ac:dyDescent="0.15">
      <c r="A2688" s="2">
        <v>443409</v>
      </c>
      <c r="B2688" s="12" t="s">
        <v>9749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ht="13" x14ac:dyDescent="0.15">
      <c r="A2689" s="2">
        <v>1685313</v>
      </c>
      <c r="B2689" s="12" t="s">
        <v>9750</v>
      </c>
      <c r="C2689">
        <v>0</v>
      </c>
      <c r="D2689">
        <v>1</v>
      </c>
      <c r="E2689">
        <v>0</v>
      </c>
      <c r="F2689">
        <v>0</v>
      </c>
      <c r="G2689">
        <v>0</v>
      </c>
    </row>
    <row r="2690" spans="1:7" ht="13" x14ac:dyDescent="0.15">
      <c r="A2690" s="2">
        <v>6770148</v>
      </c>
      <c r="B2690" s="12" t="s">
        <v>9751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ht="13" x14ac:dyDescent="0.15">
      <c r="A2691" s="2">
        <v>12431694</v>
      </c>
      <c r="B2691" s="12" t="s">
        <v>9752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ht="13" x14ac:dyDescent="0.15">
      <c r="A2692" s="2">
        <v>945248</v>
      </c>
      <c r="B2692" s="12" t="s">
        <v>9753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ht="13" x14ac:dyDescent="0.15">
      <c r="A2693" s="2">
        <v>101205</v>
      </c>
      <c r="B2693" s="12" t="s">
        <v>9754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ht="13" x14ac:dyDescent="0.15">
      <c r="A2694" s="2">
        <v>7005048</v>
      </c>
      <c r="B2694" s="12" t="s">
        <v>9755</v>
      </c>
      <c r="C2694">
        <v>0</v>
      </c>
      <c r="D2694">
        <v>0</v>
      </c>
      <c r="E2694">
        <v>0</v>
      </c>
      <c r="F2694">
        <v>0</v>
      </c>
      <c r="G2694">
        <v>1</v>
      </c>
    </row>
    <row r="2695" spans="1:7" ht="13" x14ac:dyDescent="0.15">
      <c r="A2695" s="2">
        <v>1329291</v>
      </c>
      <c r="B2695" s="12" t="s">
        <v>9756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ht="13" x14ac:dyDescent="0.15">
      <c r="A2696" s="2">
        <v>3061046</v>
      </c>
      <c r="B2696" s="12" t="s">
        <v>9757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ht="13" x14ac:dyDescent="0.15">
      <c r="A2697" s="2">
        <v>4925494</v>
      </c>
      <c r="B2697" s="12" t="s">
        <v>9758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ht="13" x14ac:dyDescent="0.15">
      <c r="A2698" s="2">
        <v>3425318</v>
      </c>
      <c r="B2698" s="12" t="s">
        <v>9759</v>
      </c>
      <c r="C2698">
        <v>1</v>
      </c>
      <c r="D2698">
        <v>0</v>
      </c>
      <c r="E2698">
        <v>0</v>
      </c>
      <c r="F2698">
        <v>0</v>
      </c>
      <c r="G2698">
        <v>0</v>
      </c>
    </row>
    <row r="2699" spans="1:7" ht="13" x14ac:dyDescent="0.15">
      <c r="A2699" s="2">
        <v>320970</v>
      </c>
      <c r="B2699" s="12" t="s">
        <v>9760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ht="13" x14ac:dyDescent="0.15">
      <c r="A2700" s="2">
        <v>10140430</v>
      </c>
      <c r="B2700" s="12" t="s">
        <v>9761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ht="13" x14ac:dyDescent="0.15">
      <c r="A2701" s="2">
        <v>1883671</v>
      </c>
      <c r="B2701" s="12" t="s">
        <v>9762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ht="13" x14ac:dyDescent="0.15">
      <c r="A2702" s="2">
        <v>4180738</v>
      </c>
      <c r="B2702" s="12" t="s">
        <v>9763</v>
      </c>
      <c r="C2702">
        <v>1</v>
      </c>
      <c r="D2702">
        <v>0</v>
      </c>
      <c r="E2702">
        <v>0</v>
      </c>
      <c r="F2702">
        <v>0</v>
      </c>
      <c r="G2702">
        <v>0</v>
      </c>
    </row>
    <row r="2703" spans="1:7" ht="13" x14ac:dyDescent="0.15">
      <c r="A2703" s="2">
        <v>1785123</v>
      </c>
      <c r="B2703" s="12" t="s">
        <v>9764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ht="13" x14ac:dyDescent="0.15">
      <c r="A2704" s="2">
        <v>907833</v>
      </c>
      <c r="B2704" s="12" t="s">
        <v>9765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ht="13" x14ac:dyDescent="0.15">
      <c r="A2705" s="2">
        <v>7210448</v>
      </c>
      <c r="B2705" s="12" t="s">
        <v>9766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ht="13" x14ac:dyDescent="0.15">
      <c r="A2706" s="2">
        <v>429438</v>
      </c>
      <c r="B2706" s="12" t="s">
        <v>9767</v>
      </c>
      <c r="C2706">
        <v>1</v>
      </c>
      <c r="D2706">
        <v>0</v>
      </c>
      <c r="E2706">
        <v>0</v>
      </c>
      <c r="F2706">
        <v>0</v>
      </c>
      <c r="G2706">
        <v>0</v>
      </c>
    </row>
    <row r="2707" spans="1:7" ht="13" x14ac:dyDescent="0.15">
      <c r="A2707" s="2">
        <v>166936</v>
      </c>
      <c r="B2707" s="12" t="s">
        <v>9768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ht="13" x14ac:dyDescent="0.15">
      <c r="A2708" s="2">
        <v>4574334</v>
      </c>
      <c r="B2708" s="12" t="s">
        <v>9769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ht="13" x14ac:dyDescent="0.15">
      <c r="A2709" s="2">
        <v>216507</v>
      </c>
      <c r="B2709" s="12" t="s">
        <v>9770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ht="13" x14ac:dyDescent="0.15">
      <c r="A2710" s="2">
        <v>7551216</v>
      </c>
      <c r="B2710" s="12" t="s">
        <v>9770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ht="13" x14ac:dyDescent="0.15">
      <c r="A2711" s="2">
        <v>194624</v>
      </c>
      <c r="B2711" s="12" t="s">
        <v>9771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ht="13" x14ac:dyDescent="0.15">
      <c r="A2712" s="2">
        <v>9763626</v>
      </c>
      <c r="B2712" s="12" t="s">
        <v>9772</v>
      </c>
      <c r="C2712">
        <v>0</v>
      </c>
      <c r="D2712">
        <v>1</v>
      </c>
      <c r="E2712">
        <v>0</v>
      </c>
      <c r="F2712">
        <v>0</v>
      </c>
      <c r="G2712">
        <v>0</v>
      </c>
    </row>
    <row r="2713" spans="1:7" ht="13" x14ac:dyDescent="0.15">
      <c r="A2713" s="2">
        <v>88618</v>
      </c>
      <c r="B2713" s="12" t="s">
        <v>9773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ht="13" x14ac:dyDescent="0.15">
      <c r="A2714" s="2">
        <v>1379164</v>
      </c>
      <c r="B2714" s="12" t="s">
        <v>9774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ht="13" x14ac:dyDescent="0.15">
      <c r="A2715" s="2">
        <v>907293</v>
      </c>
      <c r="B2715" s="12" t="s">
        <v>9775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ht="13" x14ac:dyDescent="0.15">
      <c r="A2716" s="2">
        <v>1492179</v>
      </c>
      <c r="B2716" s="12" t="s">
        <v>9776</v>
      </c>
      <c r="C2716">
        <v>0</v>
      </c>
      <c r="D2716">
        <v>1</v>
      </c>
      <c r="E2716">
        <v>0</v>
      </c>
      <c r="F2716">
        <v>0</v>
      </c>
      <c r="G2716">
        <v>0</v>
      </c>
    </row>
    <row r="2717" spans="1:7" ht="13" x14ac:dyDescent="0.15">
      <c r="A2717" s="2">
        <v>369171</v>
      </c>
      <c r="B2717" s="12" t="s">
        <v>9777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ht="13" x14ac:dyDescent="0.15">
      <c r="A2718" s="2">
        <v>420939</v>
      </c>
      <c r="B2718" s="12" t="s">
        <v>9778</v>
      </c>
      <c r="C2718">
        <v>0</v>
      </c>
      <c r="D2718">
        <v>0</v>
      </c>
      <c r="E2718">
        <v>1</v>
      </c>
      <c r="F2718">
        <v>0</v>
      </c>
      <c r="G2718">
        <v>0</v>
      </c>
    </row>
    <row r="2719" spans="1:7" ht="13" x14ac:dyDescent="0.15">
      <c r="A2719" s="2">
        <v>992989</v>
      </c>
      <c r="B2719" s="12" t="s">
        <v>9779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ht="13" x14ac:dyDescent="0.15">
      <c r="A2720" s="2">
        <v>1068992</v>
      </c>
      <c r="B2720" s="12" t="s">
        <v>9780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ht="13" x14ac:dyDescent="0.15">
      <c r="A2721" s="2">
        <v>5625066</v>
      </c>
      <c r="B2721" s="12" t="s">
        <v>9781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ht="13" x14ac:dyDescent="0.15">
      <c r="A2722" s="2">
        <v>7660850</v>
      </c>
      <c r="B2722" s="12" t="s">
        <v>9782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ht="13" x14ac:dyDescent="0.15">
      <c r="A2723" s="2">
        <v>452568</v>
      </c>
      <c r="B2723" s="12" t="s">
        <v>9783</v>
      </c>
      <c r="C2723">
        <v>0</v>
      </c>
      <c r="D2723">
        <v>1</v>
      </c>
      <c r="E2723">
        <v>0</v>
      </c>
      <c r="F2723">
        <v>0</v>
      </c>
      <c r="G2723">
        <v>0</v>
      </c>
    </row>
    <row r="2724" spans="1:7" ht="13" x14ac:dyDescent="0.15">
      <c r="A2724" s="2">
        <v>1632701</v>
      </c>
      <c r="B2724" s="12" t="s">
        <v>9784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ht="13" x14ac:dyDescent="0.15">
      <c r="A2725" s="2">
        <v>8146760</v>
      </c>
      <c r="B2725" s="12" t="s">
        <v>9785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ht="13" x14ac:dyDescent="0.15">
      <c r="A2726" s="2">
        <v>6645582</v>
      </c>
      <c r="B2726" s="12" t="s">
        <v>9786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ht="13" x14ac:dyDescent="0.15">
      <c r="A2727" s="2">
        <v>2745682</v>
      </c>
      <c r="B2727" s="12" t="s">
        <v>9787</v>
      </c>
      <c r="C2727">
        <v>0</v>
      </c>
      <c r="D2727">
        <v>1</v>
      </c>
      <c r="E2727">
        <v>0</v>
      </c>
      <c r="F2727">
        <v>0</v>
      </c>
      <c r="G2727">
        <v>0</v>
      </c>
    </row>
    <row r="2728" spans="1:7" ht="13" x14ac:dyDescent="0.15">
      <c r="A2728" s="2">
        <v>118484</v>
      </c>
      <c r="B2728" s="12" t="s">
        <v>9788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ht="13" x14ac:dyDescent="0.15">
      <c r="A2729" s="2">
        <v>92456</v>
      </c>
      <c r="B2729" s="12" t="s">
        <v>9789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ht="13" x14ac:dyDescent="0.15">
      <c r="A2730" s="2">
        <v>142183</v>
      </c>
      <c r="B2730" s="12" t="s">
        <v>9790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ht="13" x14ac:dyDescent="0.15">
      <c r="A2731" s="2">
        <v>2176947</v>
      </c>
      <c r="B2731" s="12" t="s">
        <v>9791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ht="13" x14ac:dyDescent="0.15">
      <c r="A2732" s="2">
        <v>167552</v>
      </c>
      <c r="B2732" s="12" t="s">
        <v>9792</v>
      </c>
      <c r="C2732">
        <v>1</v>
      </c>
      <c r="D2732">
        <v>0</v>
      </c>
      <c r="E2732">
        <v>0</v>
      </c>
      <c r="F2732">
        <v>0</v>
      </c>
      <c r="G2732">
        <v>0</v>
      </c>
    </row>
    <row r="2733" spans="1:7" ht="13" x14ac:dyDescent="0.15">
      <c r="A2733" s="2">
        <v>4016454</v>
      </c>
      <c r="B2733" s="12" t="s">
        <v>9793</v>
      </c>
      <c r="C2733">
        <v>0</v>
      </c>
      <c r="D2733">
        <v>1</v>
      </c>
      <c r="E2733">
        <v>0</v>
      </c>
      <c r="F2733">
        <v>0</v>
      </c>
      <c r="G2733">
        <v>0</v>
      </c>
    </row>
    <row r="2734" spans="1:7" ht="13" x14ac:dyDescent="0.15">
      <c r="A2734" s="2">
        <v>5462364</v>
      </c>
      <c r="B2734" s="12" t="s">
        <v>9794</v>
      </c>
      <c r="C2734">
        <v>0</v>
      </c>
      <c r="D2734">
        <v>0</v>
      </c>
      <c r="E2734">
        <v>0</v>
      </c>
      <c r="F2734">
        <v>0</v>
      </c>
      <c r="G2734">
        <v>1</v>
      </c>
    </row>
    <row r="2735" spans="1:7" ht="13" x14ac:dyDescent="0.15">
      <c r="A2735" s="2">
        <v>1031283</v>
      </c>
      <c r="B2735" s="12" t="s">
        <v>9795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ht="13" x14ac:dyDescent="0.15">
      <c r="A2736" s="2">
        <v>3215888</v>
      </c>
      <c r="B2736" s="12" t="s">
        <v>9796</v>
      </c>
      <c r="C2736">
        <v>0</v>
      </c>
      <c r="D2736">
        <v>1</v>
      </c>
      <c r="E2736">
        <v>0</v>
      </c>
      <c r="F2736">
        <v>0</v>
      </c>
      <c r="G2736">
        <v>0</v>
      </c>
    </row>
    <row r="2737" spans="1:7" ht="13" x14ac:dyDescent="0.15">
      <c r="A2737" s="2">
        <v>115378</v>
      </c>
      <c r="B2737" s="12" t="s">
        <v>9797</v>
      </c>
      <c r="C2737">
        <v>0</v>
      </c>
      <c r="D2737">
        <v>1</v>
      </c>
      <c r="E2737">
        <v>0</v>
      </c>
      <c r="F2737">
        <v>0</v>
      </c>
      <c r="G2737">
        <v>0</v>
      </c>
    </row>
    <row r="2738" spans="1:7" ht="13" x14ac:dyDescent="0.15">
      <c r="A2738" s="2">
        <v>10614130</v>
      </c>
      <c r="B2738" s="12" t="s">
        <v>9798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ht="13" x14ac:dyDescent="0.15">
      <c r="A2739" s="2">
        <v>1515089</v>
      </c>
      <c r="B2739" s="12" t="s">
        <v>9799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ht="13" x14ac:dyDescent="0.15">
      <c r="A2740" s="2">
        <v>429442</v>
      </c>
      <c r="B2740" s="12" t="s">
        <v>9800</v>
      </c>
      <c r="C2740">
        <v>0</v>
      </c>
      <c r="D2740">
        <v>0</v>
      </c>
      <c r="E2740">
        <v>0</v>
      </c>
      <c r="F2740">
        <v>0</v>
      </c>
      <c r="G2740">
        <v>0</v>
      </c>
    </row>
    <row r="2741" spans="1:7" ht="13" x14ac:dyDescent="0.15">
      <c r="A2741" s="2">
        <v>460681</v>
      </c>
      <c r="B2741" s="12" t="s">
        <v>9801</v>
      </c>
      <c r="C2741">
        <v>0</v>
      </c>
      <c r="D2741">
        <v>0</v>
      </c>
      <c r="E2741">
        <v>0</v>
      </c>
      <c r="F2741">
        <v>0</v>
      </c>
      <c r="G2741">
        <v>0</v>
      </c>
    </row>
    <row r="2742" spans="1:7" ht="13" x14ac:dyDescent="0.15">
      <c r="A2742" s="2">
        <v>4477976</v>
      </c>
      <c r="B2742" s="12" t="s">
        <v>9802</v>
      </c>
      <c r="C2742">
        <v>0</v>
      </c>
      <c r="D2742">
        <v>0</v>
      </c>
      <c r="E2742">
        <v>0</v>
      </c>
      <c r="F2742">
        <v>0</v>
      </c>
      <c r="G2742">
        <v>1</v>
      </c>
    </row>
    <row r="2743" spans="1:7" ht="13" x14ac:dyDescent="0.15">
      <c r="A2743" s="2">
        <v>85096</v>
      </c>
      <c r="B2743" s="12" t="s">
        <v>9803</v>
      </c>
      <c r="C2743">
        <v>0</v>
      </c>
      <c r="D2743">
        <v>0</v>
      </c>
      <c r="E2743">
        <v>0</v>
      </c>
      <c r="F2743">
        <v>0</v>
      </c>
      <c r="G2743">
        <v>0</v>
      </c>
    </row>
    <row r="2744" spans="1:7" ht="13" x14ac:dyDescent="0.15">
      <c r="A2744" s="2">
        <v>1295815</v>
      </c>
      <c r="B2744" s="12" t="s">
        <v>9804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ht="13" x14ac:dyDescent="0.15">
      <c r="A2745" s="2">
        <v>8004848</v>
      </c>
      <c r="B2745" s="12" t="s">
        <v>9805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ht="13" x14ac:dyDescent="0.15">
      <c r="A2746" s="2">
        <v>239195</v>
      </c>
      <c r="B2746" s="12" t="s">
        <v>9806</v>
      </c>
      <c r="C2746">
        <v>1</v>
      </c>
      <c r="D2746">
        <v>0</v>
      </c>
      <c r="E2746">
        <v>0</v>
      </c>
      <c r="F2746">
        <v>0</v>
      </c>
      <c r="G2746">
        <v>0</v>
      </c>
    </row>
    <row r="2747" spans="1:7" ht="13" x14ac:dyDescent="0.15">
      <c r="A2747" s="2">
        <v>3231022</v>
      </c>
      <c r="B2747" s="12" t="s">
        <v>9807</v>
      </c>
      <c r="C2747">
        <v>0</v>
      </c>
      <c r="D2747">
        <v>0</v>
      </c>
      <c r="E2747">
        <v>0</v>
      </c>
      <c r="F2747">
        <v>0</v>
      </c>
      <c r="G2747">
        <v>0</v>
      </c>
    </row>
    <row r="2748" spans="1:7" ht="13" x14ac:dyDescent="0.15">
      <c r="A2748" s="2">
        <v>770659</v>
      </c>
      <c r="B2748" s="12" t="s">
        <v>9808</v>
      </c>
      <c r="C2748">
        <v>0</v>
      </c>
      <c r="D2748">
        <v>0</v>
      </c>
      <c r="E2748">
        <v>0</v>
      </c>
      <c r="F2748">
        <v>0</v>
      </c>
      <c r="G2748">
        <v>0</v>
      </c>
    </row>
    <row r="2749" spans="1:7" ht="13" x14ac:dyDescent="0.15">
      <c r="A2749" s="2">
        <v>8269162</v>
      </c>
      <c r="B2749" s="12" t="s">
        <v>9809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ht="13" x14ac:dyDescent="0.15">
      <c r="A2750" s="2">
        <v>5456452</v>
      </c>
      <c r="B2750" s="12" t="s">
        <v>9810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ht="13" x14ac:dyDescent="0.15">
      <c r="A2751" s="2">
        <v>414777</v>
      </c>
      <c r="B2751" s="12" t="s">
        <v>9811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ht="13" x14ac:dyDescent="0.15">
      <c r="A2752" s="2">
        <v>5994826</v>
      </c>
      <c r="B2752" s="12" t="s">
        <v>9812</v>
      </c>
      <c r="C2752">
        <v>1</v>
      </c>
      <c r="D2752">
        <v>0</v>
      </c>
      <c r="E2752">
        <v>0</v>
      </c>
      <c r="F2752">
        <v>0</v>
      </c>
      <c r="G2752">
        <v>0</v>
      </c>
    </row>
    <row r="2753" spans="1:7" ht="13" x14ac:dyDescent="0.15">
      <c r="A2753" s="2">
        <v>7168094</v>
      </c>
      <c r="B2753" s="12" t="s">
        <v>9813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ht="13" x14ac:dyDescent="0.15">
      <c r="A2754" s="2">
        <v>2978518</v>
      </c>
      <c r="B2754" s="12" t="s">
        <v>9814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ht="13" x14ac:dyDescent="0.15">
      <c r="A2755" s="2">
        <v>1747551</v>
      </c>
      <c r="B2755" s="12" t="s">
        <v>9815</v>
      </c>
      <c r="C2755">
        <v>0</v>
      </c>
      <c r="D2755">
        <v>0</v>
      </c>
      <c r="E2755">
        <v>0</v>
      </c>
      <c r="F2755">
        <v>0</v>
      </c>
      <c r="G2755">
        <v>0</v>
      </c>
    </row>
    <row r="2756" spans="1:7" ht="13" x14ac:dyDescent="0.15">
      <c r="A2756" s="2">
        <v>5324116</v>
      </c>
      <c r="B2756" s="12" t="s">
        <v>9816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ht="13" x14ac:dyDescent="0.15">
      <c r="A2757" s="2">
        <v>1490066</v>
      </c>
      <c r="B2757" s="12" t="s">
        <v>9817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ht="13" x14ac:dyDescent="0.15">
      <c r="A2758" s="2">
        <v>7563270</v>
      </c>
      <c r="B2758" s="12" t="s">
        <v>9818</v>
      </c>
      <c r="C2758">
        <v>0</v>
      </c>
      <c r="D2758">
        <v>0</v>
      </c>
      <c r="E2758">
        <v>0</v>
      </c>
      <c r="F2758">
        <v>0</v>
      </c>
      <c r="G2758">
        <v>0</v>
      </c>
    </row>
    <row r="2759" spans="1:7" ht="13" x14ac:dyDescent="0.15">
      <c r="A2759" s="2">
        <v>307832</v>
      </c>
      <c r="B2759" s="12" t="s">
        <v>9819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ht="13" x14ac:dyDescent="0.15">
      <c r="A2760" s="2">
        <v>7386688</v>
      </c>
      <c r="B2760" s="12" t="s">
        <v>9820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ht="13" x14ac:dyDescent="0.15">
      <c r="A2761" s="2">
        <v>928173</v>
      </c>
      <c r="B2761" s="12" t="s">
        <v>9821</v>
      </c>
      <c r="C2761">
        <v>0</v>
      </c>
      <c r="D2761">
        <v>0</v>
      </c>
      <c r="E2761">
        <v>0</v>
      </c>
      <c r="F2761">
        <v>0</v>
      </c>
      <c r="G2761">
        <v>0</v>
      </c>
    </row>
    <row r="2762" spans="1:7" ht="13" x14ac:dyDescent="0.15">
      <c r="A2762" s="2">
        <v>1758772</v>
      </c>
      <c r="B2762" s="12" t="s">
        <v>9822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ht="13" x14ac:dyDescent="0.15">
      <c r="A2763" s="2">
        <v>2250192</v>
      </c>
      <c r="B2763" s="12" t="s">
        <v>9823</v>
      </c>
      <c r="C2763">
        <v>0</v>
      </c>
      <c r="D2763">
        <v>0</v>
      </c>
      <c r="E2763">
        <v>0</v>
      </c>
      <c r="F2763">
        <v>0</v>
      </c>
      <c r="G2763">
        <v>0</v>
      </c>
    </row>
    <row r="2764" spans="1:7" ht="13" x14ac:dyDescent="0.15">
      <c r="A2764" s="2">
        <v>1709198</v>
      </c>
      <c r="B2764" s="12" t="s">
        <v>9824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ht="13" x14ac:dyDescent="0.15">
      <c r="A2765" s="2">
        <v>1710310</v>
      </c>
      <c r="B2765" s="12" t="s">
        <v>9825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ht="13" x14ac:dyDescent="0.15">
      <c r="A2766" s="2">
        <v>3647998</v>
      </c>
      <c r="B2766" s="12" t="s">
        <v>9826</v>
      </c>
      <c r="C2766">
        <v>0</v>
      </c>
      <c r="D2766">
        <v>0</v>
      </c>
      <c r="E2766">
        <v>0</v>
      </c>
      <c r="F2766">
        <v>0</v>
      </c>
      <c r="G2766">
        <v>0</v>
      </c>
    </row>
    <row r="2767" spans="1:7" ht="13" x14ac:dyDescent="0.15">
      <c r="A2767" s="2">
        <v>5052460</v>
      </c>
      <c r="B2767" s="12" t="s">
        <v>9827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ht="13" x14ac:dyDescent="0.15">
      <c r="A2768" s="2">
        <v>11646340</v>
      </c>
      <c r="B2768" s="12" t="s">
        <v>9828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ht="13" x14ac:dyDescent="0.15">
      <c r="A2769" s="2">
        <v>5350276</v>
      </c>
      <c r="B2769" s="12" t="s">
        <v>9829</v>
      </c>
      <c r="C2769">
        <v>0</v>
      </c>
      <c r="D2769">
        <v>0</v>
      </c>
      <c r="E2769">
        <v>0</v>
      </c>
      <c r="F2769">
        <v>0</v>
      </c>
      <c r="G2769">
        <v>0</v>
      </c>
    </row>
    <row r="2770" spans="1:7" ht="13" x14ac:dyDescent="0.15">
      <c r="A2770" s="2">
        <v>96708</v>
      </c>
      <c r="B2770" s="12" t="s">
        <v>9830</v>
      </c>
      <c r="C2770">
        <v>0</v>
      </c>
      <c r="D2770">
        <v>1</v>
      </c>
      <c r="E2770">
        <v>0</v>
      </c>
      <c r="F2770">
        <v>1</v>
      </c>
      <c r="G2770">
        <v>0</v>
      </c>
    </row>
    <row r="2771" spans="1:7" ht="13" x14ac:dyDescent="0.15">
      <c r="A2771" s="2">
        <v>122837</v>
      </c>
      <c r="B2771" s="12" t="s">
        <v>9831</v>
      </c>
      <c r="C2771">
        <v>1</v>
      </c>
      <c r="D2771">
        <v>0</v>
      </c>
      <c r="E2771">
        <v>0</v>
      </c>
      <c r="F2771">
        <v>0</v>
      </c>
      <c r="G2771">
        <v>0</v>
      </c>
    </row>
    <row r="2772" spans="1:7" ht="13" x14ac:dyDescent="0.15">
      <c r="A2772" s="2">
        <v>271308</v>
      </c>
      <c r="B2772" s="12" t="s">
        <v>9832</v>
      </c>
      <c r="C2772">
        <v>0</v>
      </c>
      <c r="D2772">
        <v>1</v>
      </c>
      <c r="E2772">
        <v>0</v>
      </c>
      <c r="F2772">
        <v>0</v>
      </c>
      <c r="G2772">
        <v>0</v>
      </c>
    </row>
    <row r="2773" spans="1:7" ht="13" x14ac:dyDescent="0.15">
      <c r="A2773" s="2">
        <v>83488</v>
      </c>
      <c r="B2773" s="12" t="s">
        <v>9833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ht="13" x14ac:dyDescent="0.15">
      <c r="A2774" s="2">
        <v>98924</v>
      </c>
      <c r="B2774" s="12" t="s">
        <v>9834</v>
      </c>
      <c r="C2774">
        <v>0</v>
      </c>
      <c r="D2774">
        <v>0</v>
      </c>
      <c r="E2774">
        <v>0</v>
      </c>
      <c r="F2774">
        <v>0</v>
      </c>
      <c r="G2774">
        <v>0</v>
      </c>
    </row>
    <row r="2775" spans="1:7" ht="13" x14ac:dyDescent="0.15">
      <c r="A2775" s="2">
        <v>941650</v>
      </c>
      <c r="B2775" s="12" t="s">
        <v>9835</v>
      </c>
      <c r="C2775">
        <v>0</v>
      </c>
      <c r="D2775">
        <v>0</v>
      </c>
      <c r="E2775">
        <v>0</v>
      </c>
      <c r="F2775">
        <v>0</v>
      </c>
      <c r="G2775">
        <v>0</v>
      </c>
    </row>
    <row r="2776" spans="1:7" ht="13" x14ac:dyDescent="0.15">
      <c r="A2776" s="2">
        <v>4648640</v>
      </c>
      <c r="B2776" s="12" t="s">
        <v>9836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ht="13" x14ac:dyDescent="0.15">
      <c r="A2777" s="2">
        <v>115385</v>
      </c>
      <c r="B2777" s="12" t="s">
        <v>9837</v>
      </c>
      <c r="C2777">
        <v>0</v>
      </c>
      <c r="D2777">
        <v>1</v>
      </c>
      <c r="E2777">
        <v>0</v>
      </c>
      <c r="F2777">
        <v>0</v>
      </c>
      <c r="G2777">
        <v>0</v>
      </c>
    </row>
    <row r="2778" spans="1:7" ht="13" x14ac:dyDescent="0.15">
      <c r="A2778" s="2">
        <v>7575766</v>
      </c>
      <c r="B2778" s="12" t="s">
        <v>9838</v>
      </c>
      <c r="C2778">
        <v>0</v>
      </c>
      <c r="D2778">
        <v>0</v>
      </c>
      <c r="E2778">
        <v>0</v>
      </c>
      <c r="F2778">
        <v>0</v>
      </c>
      <c r="G2778">
        <v>0</v>
      </c>
    </row>
    <row r="2779" spans="1:7" ht="13" x14ac:dyDescent="0.15">
      <c r="A2779" s="2">
        <v>280330</v>
      </c>
      <c r="B2779" s="12" t="s">
        <v>9839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ht="13" x14ac:dyDescent="0.15">
      <c r="A2780" s="2">
        <v>1594381</v>
      </c>
      <c r="B2780" s="12" t="s">
        <v>9840</v>
      </c>
      <c r="C2780">
        <v>0</v>
      </c>
      <c r="D2780">
        <v>0</v>
      </c>
      <c r="E2780">
        <v>0</v>
      </c>
      <c r="F2780">
        <v>0</v>
      </c>
      <c r="G2780">
        <v>0</v>
      </c>
    </row>
    <row r="2781" spans="1:7" ht="13" x14ac:dyDescent="0.15">
      <c r="A2781" s="2">
        <v>7213854</v>
      </c>
      <c r="B2781" s="12" t="s">
        <v>9841</v>
      </c>
      <c r="C2781">
        <v>0</v>
      </c>
      <c r="D2781">
        <v>0</v>
      </c>
      <c r="E2781">
        <v>0</v>
      </c>
      <c r="F2781">
        <v>0</v>
      </c>
      <c r="G2781">
        <v>0</v>
      </c>
    </row>
    <row r="2782" spans="1:7" ht="13" x14ac:dyDescent="0.15">
      <c r="A2782" s="2">
        <v>1566154</v>
      </c>
      <c r="B2782" s="12" t="s">
        <v>9842</v>
      </c>
      <c r="C2782">
        <v>0</v>
      </c>
      <c r="D2782">
        <v>0</v>
      </c>
      <c r="E2782">
        <v>0</v>
      </c>
      <c r="F2782">
        <v>0</v>
      </c>
      <c r="G2782">
        <v>0</v>
      </c>
    </row>
    <row r="2783" spans="1:7" ht="13" x14ac:dyDescent="0.15">
      <c r="A2783" s="2">
        <v>1821220</v>
      </c>
      <c r="B2783" s="12" t="s">
        <v>9843</v>
      </c>
      <c r="C2783">
        <v>0</v>
      </c>
      <c r="D2783">
        <v>0</v>
      </c>
      <c r="E2783">
        <v>0</v>
      </c>
      <c r="F2783">
        <v>0</v>
      </c>
      <c r="G2783">
        <v>0</v>
      </c>
    </row>
    <row r="2784" spans="1:7" ht="13" x14ac:dyDescent="0.15">
      <c r="A2784" s="2">
        <v>343314</v>
      </c>
      <c r="B2784" s="12" t="s">
        <v>9844</v>
      </c>
      <c r="C2784">
        <v>0</v>
      </c>
      <c r="D2784">
        <v>1</v>
      </c>
      <c r="E2784">
        <v>0</v>
      </c>
      <c r="F2784">
        <v>0</v>
      </c>
      <c r="G2784">
        <v>0</v>
      </c>
    </row>
    <row r="2785" spans="1:7" ht="13" x14ac:dyDescent="0.15">
      <c r="A2785" s="2">
        <v>2771780</v>
      </c>
      <c r="B2785" s="12" t="s">
        <v>9845</v>
      </c>
      <c r="C2785">
        <v>0</v>
      </c>
      <c r="D2785">
        <v>1</v>
      </c>
      <c r="E2785">
        <v>0</v>
      </c>
      <c r="F2785">
        <v>0</v>
      </c>
      <c r="G2785">
        <v>0</v>
      </c>
    </row>
    <row r="2786" spans="1:7" ht="13" x14ac:dyDescent="0.15">
      <c r="A2786" s="2">
        <v>1567432</v>
      </c>
      <c r="B2786" s="12" t="s">
        <v>9846</v>
      </c>
      <c r="C2786">
        <v>0</v>
      </c>
      <c r="D2786">
        <v>0</v>
      </c>
      <c r="E2786">
        <v>0</v>
      </c>
      <c r="F2786">
        <v>1</v>
      </c>
      <c r="G2786">
        <v>0</v>
      </c>
    </row>
    <row r="2787" spans="1:7" ht="13" x14ac:dyDescent="0.15">
      <c r="A2787" s="2">
        <v>131613</v>
      </c>
      <c r="B2787" s="12" t="s">
        <v>9847</v>
      </c>
      <c r="C2787">
        <v>1</v>
      </c>
      <c r="D2787">
        <v>1</v>
      </c>
      <c r="E2787">
        <v>0</v>
      </c>
      <c r="F2787">
        <v>0</v>
      </c>
      <c r="G2787">
        <v>0</v>
      </c>
    </row>
    <row r="2788" spans="1:7" ht="13" x14ac:dyDescent="0.15">
      <c r="A2788" s="2">
        <v>318913</v>
      </c>
      <c r="B2788" s="12" t="s">
        <v>9847</v>
      </c>
      <c r="C2788">
        <v>1</v>
      </c>
      <c r="D2788">
        <v>1</v>
      </c>
      <c r="E2788">
        <v>0</v>
      </c>
      <c r="F2788">
        <v>0</v>
      </c>
      <c r="G2788">
        <v>0</v>
      </c>
    </row>
    <row r="2789" spans="1:7" ht="13" x14ac:dyDescent="0.15">
      <c r="A2789" s="2">
        <v>1877889</v>
      </c>
      <c r="B2789" s="12" t="s">
        <v>9847</v>
      </c>
      <c r="C2789">
        <v>1</v>
      </c>
      <c r="D2789">
        <v>1</v>
      </c>
      <c r="E2789">
        <v>0</v>
      </c>
      <c r="F2789">
        <v>0</v>
      </c>
      <c r="G2789">
        <v>0</v>
      </c>
    </row>
    <row r="2790" spans="1:7" ht="13" x14ac:dyDescent="0.15">
      <c r="A2790" s="2">
        <v>7695916</v>
      </c>
      <c r="B2790" s="12" t="s">
        <v>9848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ht="13" x14ac:dyDescent="0.15">
      <c r="A2791" s="2">
        <v>809497</v>
      </c>
      <c r="B2791" s="12" t="s">
        <v>9849</v>
      </c>
      <c r="C2791">
        <v>0</v>
      </c>
      <c r="D2791">
        <v>0</v>
      </c>
      <c r="E2791">
        <v>0</v>
      </c>
      <c r="F2791">
        <v>0</v>
      </c>
      <c r="G2791">
        <v>0</v>
      </c>
    </row>
    <row r="2792" spans="1:7" ht="13" x14ac:dyDescent="0.15">
      <c r="A2792" s="2">
        <v>6422666</v>
      </c>
      <c r="B2792" s="12" t="s">
        <v>9850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ht="13" x14ac:dyDescent="0.15">
      <c r="A2793" s="2">
        <v>273025</v>
      </c>
      <c r="B2793" s="12" t="s">
        <v>9851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ht="13" x14ac:dyDescent="0.15">
      <c r="A2794" s="2">
        <v>105559</v>
      </c>
      <c r="B2794" s="12" t="s">
        <v>9852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ht="13" x14ac:dyDescent="0.15">
      <c r="A2795" s="2">
        <v>948103</v>
      </c>
      <c r="B2795" s="12" t="s">
        <v>9853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ht="13" x14ac:dyDescent="0.15">
      <c r="A2796" s="2">
        <v>81944</v>
      </c>
      <c r="B2796" s="12" t="s">
        <v>9854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ht="13" x14ac:dyDescent="0.15">
      <c r="A2797" s="2">
        <v>103564</v>
      </c>
      <c r="B2797" s="12" t="s">
        <v>9855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ht="13" x14ac:dyDescent="0.15">
      <c r="A2798" s="2">
        <v>7456752</v>
      </c>
      <c r="B2798" s="12" t="s">
        <v>9856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ht="13" x14ac:dyDescent="0.15">
      <c r="A2799" s="2">
        <v>7132852</v>
      </c>
      <c r="B2799" s="12" t="s">
        <v>9857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ht="13" x14ac:dyDescent="0.15">
      <c r="A2800" s="2">
        <v>1446633</v>
      </c>
      <c r="B2800" s="12" t="s">
        <v>9858</v>
      </c>
      <c r="C2800">
        <v>0</v>
      </c>
      <c r="D2800">
        <v>0</v>
      </c>
      <c r="E2800">
        <v>0</v>
      </c>
      <c r="F2800">
        <v>1</v>
      </c>
      <c r="G2800">
        <v>0</v>
      </c>
    </row>
    <row r="2801" spans="1:7" ht="13" x14ac:dyDescent="0.15">
      <c r="A2801" s="2">
        <v>851851</v>
      </c>
      <c r="B2801" s="12" t="s">
        <v>9859</v>
      </c>
      <c r="C2801">
        <v>0</v>
      </c>
      <c r="D2801">
        <v>0</v>
      </c>
      <c r="E2801">
        <v>0</v>
      </c>
      <c r="F2801">
        <v>1</v>
      </c>
      <c r="G2801">
        <v>0</v>
      </c>
    </row>
    <row r="2802" spans="1:7" ht="13" x14ac:dyDescent="0.15">
      <c r="A2802" s="2">
        <v>1641349</v>
      </c>
      <c r="B2802" s="12" t="s">
        <v>9860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ht="13" x14ac:dyDescent="0.15">
      <c r="A2803" s="2">
        <v>1493239</v>
      </c>
      <c r="B2803" s="12" t="s">
        <v>9861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ht="13" x14ac:dyDescent="0.15">
      <c r="A2804" s="2">
        <v>6159486</v>
      </c>
      <c r="B2804" s="12" t="s">
        <v>9862</v>
      </c>
      <c r="C2804">
        <v>0</v>
      </c>
      <c r="D2804">
        <v>0</v>
      </c>
      <c r="E2804">
        <v>0</v>
      </c>
      <c r="F2804">
        <v>0</v>
      </c>
      <c r="G2804">
        <v>0</v>
      </c>
    </row>
    <row r="2805" spans="1:7" ht="13" x14ac:dyDescent="0.15">
      <c r="A2805" s="2">
        <v>409630</v>
      </c>
      <c r="B2805" s="12" t="s">
        <v>9863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ht="13" x14ac:dyDescent="0.15">
      <c r="A2806" s="2">
        <v>165598</v>
      </c>
      <c r="B2806" s="12" t="s">
        <v>9864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ht="13" x14ac:dyDescent="0.15">
      <c r="A2807" s="2">
        <v>268077</v>
      </c>
      <c r="B2807" s="12" t="s">
        <v>9865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ht="13" x14ac:dyDescent="0.15">
      <c r="A2808" s="2">
        <v>300865</v>
      </c>
      <c r="B2808" s="12" t="s">
        <v>9866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ht="13" x14ac:dyDescent="0.15">
      <c r="A2809" s="2">
        <v>112192</v>
      </c>
      <c r="B2809" s="12" t="s">
        <v>9867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ht="13" x14ac:dyDescent="0.15">
      <c r="A2810" s="2">
        <v>5330088</v>
      </c>
      <c r="B2810" s="12" t="s">
        <v>9868</v>
      </c>
      <c r="C2810">
        <v>1</v>
      </c>
      <c r="D2810">
        <v>0</v>
      </c>
      <c r="E2810">
        <v>0</v>
      </c>
      <c r="F2810">
        <v>0</v>
      </c>
      <c r="G2810">
        <v>0</v>
      </c>
    </row>
    <row r="2811" spans="1:7" ht="13" x14ac:dyDescent="0.15">
      <c r="A2811" s="2">
        <v>5871246</v>
      </c>
      <c r="B2811" s="12" t="s">
        <v>9869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ht="13" x14ac:dyDescent="0.15">
      <c r="A2812" s="2">
        <v>1772685</v>
      </c>
      <c r="B2812" s="12" t="s">
        <v>9870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ht="13" x14ac:dyDescent="0.15">
      <c r="A2813" s="2">
        <v>425945</v>
      </c>
      <c r="B2813" s="12" t="s">
        <v>9871</v>
      </c>
      <c r="C2813">
        <v>0</v>
      </c>
      <c r="D2813">
        <v>1</v>
      </c>
      <c r="E2813">
        <v>0</v>
      </c>
      <c r="F2813">
        <v>0</v>
      </c>
      <c r="G2813">
        <v>0</v>
      </c>
    </row>
    <row r="2814" spans="1:7" ht="13" x14ac:dyDescent="0.15">
      <c r="A2814" s="2">
        <v>389564</v>
      </c>
      <c r="B2814" s="12" t="s">
        <v>9872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ht="13" x14ac:dyDescent="0.15">
      <c r="A2815" s="2">
        <v>307710</v>
      </c>
      <c r="B2815" s="12" t="s">
        <v>9873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ht="13" x14ac:dyDescent="0.15">
      <c r="A2816" s="2">
        <v>2219622</v>
      </c>
      <c r="B2816" s="12" t="s">
        <v>9874</v>
      </c>
      <c r="C2816">
        <v>1</v>
      </c>
      <c r="D2816">
        <v>0</v>
      </c>
      <c r="E2816">
        <v>0</v>
      </c>
      <c r="F2816">
        <v>1</v>
      </c>
      <c r="G2816">
        <v>0</v>
      </c>
    </row>
    <row r="2817" spans="1:7" ht="13" x14ac:dyDescent="0.15">
      <c r="A2817" s="2">
        <v>5311790</v>
      </c>
      <c r="B2817" s="12" t="s">
        <v>9875</v>
      </c>
      <c r="C2817">
        <v>1</v>
      </c>
      <c r="D2817">
        <v>0</v>
      </c>
      <c r="E2817">
        <v>0</v>
      </c>
      <c r="F2817">
        <v>0</v>
      </c>
      <c r="G2817">
        <v>0</v>
      </c>
    </row>
    <row r="2818" spans="1:7" ht="13" x14ac:dyDescent="0.15">
      <c r="A2818" s="2">
        <v>2084665</v>
      </c>
      <c r="B2818" s="12" t="s">
        <v>9876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ht="13" x14ac:dyDescent="0.15">
      <c r="A2819" s="2">
        <v>1729127</v>
      </c>
      <c r="B2819" s="12" t="s">
        <v>9877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ht="13" x14ac:dyDescent="0.15">
      <c r="A2820" s="2">
        <v>84967</v>
      </c>
      <c r="B2820" s="12" t="s">
        <v>9878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ht="13" x14ac:dyDescent="0.15">
      <c r="A2821" s="2">
        <v>8682948</v>
      </c>
      <c r="B2821" s="12" t="s">
        <v>9879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ht="13" x14ac:dyDescent="0.15">
      <c r="A2822" s="2">
        <v>105932</v>
      </c>
      <c r="B2822" s="12" t="s">
        <v>9880</v>
      </c>
      <c r="C2822">
        <v>0</v>
      </c>
      <c r="D2822">
        <v>0</v>
      </c>
      <c r="E2822">
        <v>0</v>
      </c>
      <c r="F2822">
        <v>0</v>
      </c>
      <c r="G2822">
        <v>0</v>
      </c>
    </row>
    <row r="2823" spans="1:7" ht="13" x14ac:dyDescent="0.15">
      <c r="A2823" s="2">
        <v>320808</v>
      </c>
      <c r="B2823" s="12" t="s">
        <v>9881</v>
      </c>
      <c r="C2823">
        <v>0</v>
      </c>
      <c r="D2823">
        <v>0</v>
      </c>
      <c r="E2823">
        <v>0</v>
      </c>
      <c r="F2823">
        <v>1</v>
      </c>
      <c r="G2823">
        <v>0</v>
      </c>
    </row>
    <row r="2824" spans="1:7" ht="13" x14ac:dyDescent="0.15">
      <c r="A2824" s="2">
        <v>105933</v>
      </c>
      <c r="B2824" s="12" t="s">
        <v>9882</v>
      </c>
      <c r="C2824">
        <v>0</v>
      </c>
      <c r="D2824">
        <v>0</v>
      </c>
      <c r="E2824">
        <v>0</v>
      </c>
      <c r="F2824">
        <v>0</v>
      </c>
      <c r="G2824">
        <v>0</v>
      </c>
    </row>
    <row r="2825" spans="1:7" ht="13" x14ac:dyDescent="0.15">
      <c r="A2825" s="2">
        <v>115086</v>
      </c>
      <c r="B2825" s="12" t="s">
        <v>9883</v>
      </c>
      <c r="C2825">
        <v>0</v>
      </c>
      <c r="D2825">
        <v>0</v>
      </c>
      <c r="E2825">
        <v>0</v>
      </c>
      <c r="F2825">
        <v>0</v>
      </c>
      <c r="G2825">
        <v>1</v>
      </c>
    </row>
    <row r="2826" spans="1:7" ht="13" x14ac:dyDescent="0.15">
      <c r="A2826" s="2">
        <v>98762</v>
      </c>
      <c r="B2826" s="12" t="s">
        <v>9884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ht="13" x14ac:dyDescent="0.15">
      <c r="A2827" s="2">
        <v>222519</v>
      </c>
      <c r="B2827" s="12" t="s">
        <v>9885</v>
      </c>
      <c r="C2827">
        <v>0</v>
      </c>
      <c r="D2827">
        <v>1</v>
      </c>
      <c r="E2827">
        <v>0</v>
      </c>
      <c r="F2827">
        <v>0</v>
      </c>
      <c r="G2827">
        <v>0</v>
      </c>
    </row>
    <row r="2828" spans="1:7" ht="13" x14ac:dyDescent="0.15">
      <c r="A2828" s="2">
        <v>5863670</v>
      </c>
      <c r="B2828" s="12" t="s">
        <v>9886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ht="13" x14ac:dyDescent="0.15">
      <c r="A2829" s="2">
        <v>184186</v>
      </c>
      <c r="B2829" s="12" t="s">
        <v>9887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ht="13" x14ac:dyDescent="0.15">
      <c r="A2830" s="2">
        <v>2699110</v>
      </c>
      <c r="B2830" s="12" t="s">
        <v>9888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ht="13" x14ac:dyDescent="0.15">
      <c r="A2831" s="2">
        <v>4604612</v>
      </c>
      <c r="B2831" s="12" t="s">
        <v>9889</v>
      </c>
      <c r="C2831">
        <v>0</v>
      </c>
      <c r="D2831">
        <v>1</v>
      </c>
      <c r="E2831">
        <v>0</v>
      </c>
      <c r="F2831">
        <v>0</v>
      </c>
      <c r="G2831">
        <v>0</v>
      </c>
    </row>
    <row r="2832" spans="1:7" ht="13" x14ac:dyDescent="0.15">
      <c r="A2832" s="2">
        <v>1680494</v>
      </c>
      <c r="B2832" s="12" t="s">
        <v>9890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ht="13" x14ac:dyDescent="0.15">
      <c r="A2833" s="2">
        <v>285335</v>
      </c>
      <c r="B2833" s="12" t="s">
        <v>9891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ht="13" x14ac:dyDescent="0.15">
      <c r="A2834" s="2">
        <v>1942683</v>
      </c>
      <c r="B2834" s="12" t="s">
        <v>9892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ht="13" x14ac:dyDescent="0.15">
      <c r="A2835" s="2">
        <v>2815112</v>
      </c>
      <c r="B2835" s="12" t="s">
        <v>9893</v>
      </c>
      <c r="C2835">
        <v>1</v>
      </c>
      <c r="D2835">
        <v>0</v>
      </c>
      <c r="E2835">
        <v>0</v>
      </c>
      <c r="F2835">
        <v>0</v>
      </c>
      <c r="G2835">
        <v>0</v>
      </c>
    </row>
    <row r="2836" spans="1:7" ht="13" x14ac:dyDescent="0.15">
      <c r="A2836" s="2">
        <v>2149175</v>
      </c>
      <c r="B2836" s="12" t="s">
        <v>9894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ht="13" x14ac:dyDescent="0.15">
      <c r="A2837" s="2">
        <v>5365100</v>
      </c>
      <c r="B2837" s="12" t="s">
        <v>9895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ht="13" x14ac:dyDescent="0.15">
      <c r="A2838" s="2">
        <v>1230180</v>
      </c>
      <c r="B2838" s="12" t="s">
        <v>9896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ht="13" x14ac:dyDescent="0.15">
      <c r="A2839" s="2">
        <v>286336</v>
      </c>
      <c r="B2839" s="12" t="s">
        <v>9897</v>
      </c>
      <c r="C2839">
        <v>0</v>
      </c>
      <c r="D2839">
        <v>1</v>
      </c>
      <c r="E2839">
        <v>0</v>
      </c>
      <c r="F2839">
        <v>0</v>
      </c>
      <c r="G2839">
        <v>0</v>
      </c>
    </row>
    <row r="2840" spans="1:7" ht="13" x14ac:dyDescent="0.15">
      <c r="A2840" s="2">
        <v>328732</v>
      </c>
      <c r="B2840" s="12" t="s">
        <v>9898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ht="13" x14ac:dyDescent="0.15">
      <c r="A2841" s="2">
        <v>364782</v>
      </c>
      <c r="B2841" s="12" t="s">
        <v>9899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ht="13" x14ac:dyDescent="0.15">
      <c r="A2842" s="2">
        <v>4941288</v>
      </c>
      <c r="B2842" s="12" t="s">
        <v>9900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ht="13" x14ac:dyDescent="0.15">
      <c r="A2843" s="2">
        <v>1651019</v>
      </c>
      <c r="B2843" s="12" t="s">
        <v>9901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ht="13" x14ac:dyDescent="0.15">
      <c r="A2844" s="2">
        <v>1626038</v>
      </c>
      <c r="B2844" s="12" t="s">
        <v>9902</v>
      </c>
      <c r="C2844">
        <v>0</v>
      </c>
      <c r="D2844">
        <v>1</v>
      </c>
      <c r="E2844">
        <v>0</v>
      </c>
      <c r="F2844">
        <v>0</v>
      </c>
      <c r="G2844">
        <v>0</v>
      </c>
    </row>
    <row r="2845" spans="1:7" ht="13" x14ac:dyDescent="0.15">
      <c r="A2845" s="2">
        <v>2818496</v>
      </c>
      <c r="B2845" s="12" t="s">
        <v>9903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ht="13" x14ac:dyDescent="0.15">
      <c r="A2846" s="2">
        <v>313038</v>
      </c>
      <c r="B2846" s="12" t="s">
        <v>9904</v>
      </c>
      <c r="C2846">
        <v>0</v>
      </c>
      <c r="D2846">
        <v>0</v>
      </c>
      <c r="E2846">
        <v>0</v>
      </c>
      <c r="F2846">
        <v>0</v>
      </c>
      <c r="G2846">
        <v>0</v>
      </c>
    </row>
    <row r="2847" spans="1:7" ht="13" x14ac:dyDescent="0.15">
      <c r="A2847" s="2">
        <v>348894</v>
      </c>
      <c r="B2847" s="12" t="s">
        <v>9905</v>
      </c>
      <c r="C2847">
        <v>0</v>
      </c>
      <c r="D2847">
        <v>0</v>
      </c>
      <c r="E2847">
        <v>0</v>
      </c>
      <c r="F2847">
        <v>1</v>
      </c>
      <c r="G2847">
        <v>0</v>
      </c>
    </row>
    <row r="2848" spans="1:7" ht="13" x14ac:dyDescent="0.15">
      <c r="A2848" s="2">
        <v>398417</v>
      </c>
      <c r="B2848" s="12" t="s">
        <v>9906</v>
      </c>
      <c r="C2848">
        <v>0</v>
      </c>
      <c r="D2848">
        <v>1</v>
      </c>
      <c r="E2848">
        <v>0</v>
      </c>
      <c r="F2848">
        <v>0</v>
      </c>
      <c r="G2848">
        <v>0</v>
      </c>
    </row>
    <row r="2849" spans="1:7" ht="13" x14ac:dyDescent="0.15">
      <c r="A2849" s="2">
        <v>103360</v>
      </c>
      <c r="B2849" s="12" t="s">
        <v>9907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ht="13" x14ac:dyDescent="0.15">
      <c r="A2850" s="2">
        <v>285341</v>
      </c>
      <c r="B2850" s="12" t="s">
        <v>9908</v>
      </c>
      <c r="C2850">
        <v>0</v>
      </c>
      <c r="D2850">
        <v>0</v>
      </c>
      <c r="E2850">
        <v>0</v>
      </c>
      <c r="F2850">
        <v>0</v>
      </c>
      <c r="G2850">
        <v>1</v>
      </c>
    </row>
    <row r="2851" spans="1:7" ht="13" x14ac:dyDescent="0.15">
      <c r="A2851" s="2">
        <v>7809348</v>
      </c>
      <c r="B2851" s="12" t="s">
        <v>9909</v>
      </c>
      <c r="C2851">
        <v>0</v>
      </c>
      <c r="D2851">
        <v>0</v>
      </c>
      <c r="E2851">
        <v>0</v>
      </c>
      <c r="F2851">
        <v>0</v>
      </c>
      <c r="G2851">
        <v>0</v>
      </c>
    </row>
    <row r="2852" spans="1:7" ht="13" x14ac:dyDescent="0.15">
      <c r="A2852" s="2">
        <v>898266</v>
      </c>
      <c r="B2852" s="12" t="s">
        <v>9910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ht="13" x14ac:dyDescent="0.15">
      <c r="A2853" s="2">
        <v>280240</v>
      </c>
      <c r="B2853" s="12" t="s">
        <v>9911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ht="13" x14ac:dyDescent="0.15">
      <c r="A2854" s="2">
        <v>429318</v>
      </c>
      <c r="B2854" s="12" t="s">
        <v>9912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ht="13" x14ac:dyDescent="0.15">
      <c r="A2855" s="2">
        <v>84987</v>
      </c>
      <c r="B2855" s="12" t="s">
        <v>9913</v>
      </c>
      <c r="C2855">
        <v>0</v>
      </c>
      <c r="D2855">
        <v>0</v>
      </c>
      <c r="E2855">
        <v>0</v>
      </c>
      <c r="F2855">
        <v>0</v>
      </c>
      <c r="G2855">
        <v>0</v>
      </c>
    </row>
    <row r="2856" spans="1:7" ht="13" x14ac:dyDescent="0.15">
      <c r="A2856" s="2">
        <v>1701106</v>
      </c>
      <c r="B2856" s="12" t="s">
        <v>9914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ht="13" x14ac:dyDescent="0.15">
      <c r="A2857" s="2">
        <v>2764636</v>
      </c>
      <c r="B2857" s="12" t="s">
        <v>9915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ht="13" x14ac:dyDescent="0.15">
      <c r="A2858" s="2">
        <v>8050586</v>
      </c>
      <c r="B2858" s="12" t="s">
        <v>9916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ht="13" x14ac:dyDescent="0.15">
      <c r="A2859" s="2">
        <v>284705</v>
      </c>
      <c r="B2859" s="12" t="s">
        <v>9917</v>
      </c>
      <c r="C2859">
        <v>0</v>
      </c>
      <c r="D2859">
        <v>0</v>
      </c>
      <c r="E2859">
        <v>0</v>
      </c>
      <c r="F2859">
        <v>0</v>
      </c>
      <c r="G2859">
        <v>0</v>
      </c>
    </row>
    <row r="2860" spans="1:7" ht="13" x14ac:dyDescent="0.15">
      <c r="A2860" s="2">
        <v>84988</v>
      </c>
      <c r="B2860" s="12" t="s">
        <v>9918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ht="13" x14ac:dyDescent="0.15">
      <c r="A2861" s="2">
        <v>805661</v>
      </c>
      <c r="B2861" s="12" t="s">
        <v>9919</v>
      </c>
      <c r="C2861">
        <v>0</v>
      </c>
      <c r="D2861">
        <v>0</v>
      </c>
      <c r="E2861">
        <v>0</v>
      </c>
      <c r="F2861">
        <v>0</v>
      </c>
      <c r="G2861">
        <v>0</v>
      </c>
    </row>
    <row r="2862" spans="1:7" ht="13" x14ac:dyDescent="0.15">
      <c r="A2862" s="2">
        <v>88601</v>
      </c>
      <c r="B2862" s="12" t="s">
        <v>9920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ht="13" x14ac:dyDescent="0.15">
      <c r="A2863" s="2">
        <v>2741602</v>
      </c>
      <c r="B2863" s="12" t="s">
        <v>9921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ht="13" x14ac:dyDescent="0.15">
      <c r="A2864" s="2">
        <v>5592230</v>
      </c>
      <c r="B2864" s="12" t="s">
        <v>9922</v>
      </c>
      <c r="C2864">
        <v>1</v>
      </c>
      <c r="D2864">
        <v>0</v>
      </c>
      <c r="E2864">
        <v>0</v>
      </c>
      <c r="F2864">
        <v>0</v>
      </c>
      <c r="G2864">
        <v>0</v>
      </c>
    </row>
    <row r="2865" spans="1:7" ht="13" x14ac:dyDescent="0.15">
      <c r="A2865" s="2">
        <v>2275990</v>
      </c>
      <c r="B2865" s="12" t="s">
        <v>9923</v>
      </c>
      <c r="C2865">
        <v>0</v>
      </c>
      <c r="D2865">
        <v>0</v>
      </c>
      <c r="E2865">
        <v>0</v>
      </c>
      <c r="F2865">
        <v>0</v>
      </c>
      <c r="G2865">
        <v>0</v>
      </c>
    </row>
    <row r="2866" spans="1:7" ht="13" x14ac:dyDescent="0.15">
      <c r="A2866" s="2">
        <v>7978912</v>
      </c>
      <c r="B2866" s="12" t="s">
        <v>9924</v>
      </c>
      <c r="C2866">
        <v>1</v>
      </c>
      <c r="D2866">
        <v>0</v>
      </c>
      <c r="E2866">
        <v>0</v>
      </c>
      <c r="F2866">
        <v>0</v>
      </c>
      <c r="G2866">
        <v>0</v>
      </c>
    </row>
    <row r="2867" spans="1:7" ht="13" x14ac:dyDescent="0.15">
      <c r="A2867" s="2">
        <v>7880412</v>
      </c>
      <c r="B2867" s="12" t="s">
        <v>9925</v>
      </c>
      <c r="C2867">
        <v>0</v>
      </c>
      <c r="D2867">
        <v>0</v>
      </c>
      <c r="E2867">
        <v>0</v>
      </c>
      <c r="F2867">
        <v>0</v>
      </c>
      <c r="G2867">
        <v>0</v>
      </c>
    </row>
    <row r="2868" spans="1:7" ht="13" x14ac:dyDescent="0.15">
      <c r="A2868" s="2">
        <v>1788634</v>
      </c>
      <c r="B2868" s="12" t="s">
        <v>9926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ht="13" x14ac:dyDescent="0.15">
      <c r="A2869" s="2">
        <v>8101768</v>
      </c>
      <c r="B2869" s="12" t="s">
        <v>9927</v>
      </c>
      <c r="C2869">
        <v>0</v>
      </c>
      <c r="D2869">
        <v>0</v>
      </c>
      <c r="E2869">
        <v>0</v>
      </c>
      <c r="F2869">
        <v>0</v>
      </c>
      <c r="G2869">
        <v>1</v>
      </c>
    </row>
    <row r="2870" spans="1:7" ht="13" x14ac:dyDescent="0.15">
      <c r="A2870" s="2">
        <v>1588824</v>
      </c>
      <c r="B2870" s="12" t="s">
        <v>9928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ht="13" x14ac:dyDescent="0.15">
      <c r="A2871" s="2">
        <v>92325</v>
      </c>
      <c r="B2871" s="12" t="s">
        <v>9929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ht="13" x14ac:dyDescent="0.15">
      <c r="A2872" s="2">
        <v>6116060</v>
      </c>
      <c r="B2872" s="12" t="s">
        <v>9930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ht="13" x14ac:dyDescent="0.15">
      <c r="A2873" s="2">
        <v>3848754</v>
      </c>
      <c r="B2873" s="12" t="s">
        <v>9931</v>
      </c>
      <c r="C2873">
        <v>0</v>
      </c>
      <c r="D2873">
        <v>0</v>
      </c>
      <c r="E2873">
        <v>0</v>
      </c>
      <c r="F2873">
        <v>0</v>
      </c>
      <c r="G2873">
        <v>0</v>
      </c>
    </row>
    <row r="2874" spans="1:7" ht="13" x14ac:dyDescent="0.15">
      <c r="A2874" s="2">
        <v>978061</v>
      </c>
      <c r="B2874" s="12" t="s">
        <v>9932</v>
      </c>
      <c r="C2874">
        <v>0</v>
      </c>
      <c r="D2874">
        <v>0</v>
      </c>
      <c r="E2874">
        <v>0</v>
      </c>
      <c r="F2874">
        <v>0</v>
      </c>
      <c r="G2874">
        <v>0</v>
      </c>
    </row>
    <row r="2875" spans="1:7" ht="13" x14ac:dyDescent="0.15">
      <c r="A2875" s="2">
        <v>373732</v>
      </c>
      <c r="B2875" s="12" t="s">
        <v>9933</v>
      </c>
      <c r="C2875">
        <v>0</v>
      </c>
      <c r="D2875">
        <v>0</v>
      </c>
      <c r="E2875">
        <v>1</v>
      </c>
      <c r="F2875">
        <v>0</v>
      </c>
      <c r="G2875">
        <v>0</v>
      </c>
    </row>
    <row r="2876" spans="1:7" ht="13" x14ac:dyDescent="0.15">
      <c r="A2876" s="2">
        <v>4048942</v>
      </c>
      <c r="B2876" s="12" t="s">
        <v>9934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ht="13" x14ac:dyDescent="0.15">
      <c r="A2877" s="2">
        <v>1582457</v>
      </c>
      <c r="B2877" s="12" t="s">
        <v>9935</v>
      </c>
      <c r="C2877">
        <v>0</v>
      </c>
      <c r="D2877">
        <v>0</v>
      </c>
      <c r="E2877">
        <v>0</v>
      </c>
      <c r="F2877">
        <v>0</v>
      </c>
      <c r="G2877">
        <v>0</v>
      </c>
    </row>
    <row r="2878" spans="1:7" ht="13" x14ac:dyDescent="0.15">
      <c r="A2878" s="2">
        <v>1190634</v>
      </c>
      <c r="B2878" s="12" t="s">
        <v>9936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ht="13" x14ac:dyDescent="0.15">
      <c r="A2879" s="2">
        <v>297512</v>
      </c>
      <c r="B2879" s="12" t="s">
        <v>9937</v>
      </c>
      <c r="C2879">
        <v>1</v>
      </c>
      <c r="D2879">
        <v>0</v>
      </c>
      <c r="E2879">
        <v>1</v>
      </c>
      <c r="F2879">
        <v>0</v>
      </c>
      <c r="G2879">
        <v>0</v>
      </c>
    </row>
    <row r="2880" spans="1:7" ht="13" x14ac:dyDescent="0.15">
      <c r="A2880" s="2">
        <v>1278016</v>
      </c>
      <c r="B2880" s="12" t="s">
        <v>9938</v>
      </c>
      <c r="C2880">
        <v>1</v>
      </c>
      <c r="D2880">
        <v>0</v>
      </c>
      <c r="E2880">
        <v>0</v>
      </c>
      <c r="F2880">
        <v>0</v>
      </c>
      <c r="G2880">
        <v>0</v>
      </c>
    </row>
    <row r="2881" spans="1:7" ht="13" x14ac:dyDescent="0.15">
      <c r="A2881" s="2">
        <v>2406376</v>
      </c>
      <c r="B2881" s="12" t="s">
        <v>9938</v>
      </c>
      <c r="C2881">
        <v>1</v>
      </c>
      <c r="D2881">
        <v>0</v>
      </c>
      <c r="E2881">
        <v>0</v>
      </c>
      <c r="F2881">
        <v>0</v>
      </c>
      <c r="G2881">
        <v>0</v>
      </c>
    </row>
    <row r="2882" spans="1:7" ht="13" x14ac:dyDescent="0.15">
      <c r="A2882" s="2">
        <v>4658248</v>
      </c>
      <c r="B2882" s="12" t="s">
        <v>9939</v>
      </c>
      <c r="C2882">
        <v>0</v>
      </c>
      <c r="D2882">
        <v>0</v>
      </c>
      <c r="E2882">
        <v>0</v>
      </c>
      <c r="F2882">
        <v>0</v>
      </c>
      <c r="G2882">
        <v>0</v>
      </c>
    </row>
    <row r="2883" spans="1:7" ht="13" x14ac:dyDescent="0.15">
      <c r="A2883" s="2">
        <v>3640276</v>
      </c>
      <c r="B2883" s="12" t="s">
        <v>9940</v>
      </c>
      <c r="C2883">
        <v>0</v>
      </c>
      <c r="D2883">
        <v>0</v>
      </c>
      <c r="E2883">
        <v>0</v>
      </c>
      <c r="F2883">
        <v>0</v>
      </c>
      <c r="G2883">
        <v>0</v>
      </c>
    </row>
    <row r="2884" spans="1:7" ht="13" x14ac:dyDescent="0.15">
      <c r="A2884" s="2">
        <v>92326</v>
      </c>
      <c r="B2884" s="12" t="s">
        <v>9941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ht="13" x14ac:dyDescent="0.15">
      <c r="A2885" s="2">
        <v>2650940</v>
      </c>
      <c r="B2885" s="12" t="s">
        <v>9942</v>
      </c>
      <c r="C2885">
        <v>0</v>
      </c>
      <c r="D2885">
        <v>0</v>
      </c>
      <c r="E2885">
        <v>0</v>
      </c>
      <c r="F2885">
        <v>0</v>
      </c>
      <c r="G2885">
        <v>0</v>
      </c>
    </row>
    <row r="2886" spans="1:7" ht="13" x14ac:dyDescent="0.15">
      <c r="A2886" s="2">
        <v>7535388</v>
      </c>
      <c r="B2886" s="12" t="s">
        <v>9943</v>
      </c>
      <c r="C2886">
        <v>0</v>
      </c>
      <c r="D2886">
        <v>0</v>
      </c>
      <c r="E2886">
        <v>0</v>
      </c>
      <c r="F2886">
        <v>0</v>
      </c>
      <c r="G2886">
        <v>0</v>
      </c>
    </row>
    <row r="2887" spans="1:7" ht="13" x14ac:dyDescent="0.15">
      <c r="A2887" s="2">
        <v>94429</v>
      </c>
      <c r="B2887" s="12" t="s">
        <v>9944</v>
      </c>
      <c r="C2887">
        <v>0</v>
      </c>
      <c r="D2887">
        <v>0</v>
      </c>
      <c r="E2887">
        <v>0</v>
      </c>
      <c r="F2887">
        <v>0</v>
      </c>
      <c r="G2887">
        <v>0</v>
      </c>
    </row>
    <row r="2888" spans="1:7" ht="13" x14ac:dyDescent="0.15">
      <c r="A2888" s="2">
        <v>2056366</v>
      </c>
      <c r="B2888" s="12" t="s">
        <v>9945</v>
      </c>
      <c r="C2888">
        <v>1</v>
      </c>
      <c r="D2888">
        <v>1</v>
      </c>
      <c r="E2888">
        <v>0</v>
      </c>
      <c r="F2888">
        <v>0</v>
      </c>
      <c r="G2888">
        <v>0</v>
      </c>
    </row>
    <row r="2889" spans="1:7" ht="13" x14ac:dyDescent="0.15">
      <c r="A2889" s="2">
        <v>2292187</v>
      </c>
      <c r="B2889" s="12" t="s">
        <v>9946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ht="13" x14ac:dyDescent="0.15">
      <c r="A2890" s="2">
        <v>4396862</v>
      </c>
      <c r="B2890" s="12" t="s">
        <v>9947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ht="13" x14ac:dyDescent="0.15">
      <c r="A2891" s="2">
        <v>176362</v>
      </c>
      <c r="B2891" s="12" t="s">
        <v>9948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ht="13" x14ac:dyDescent="0.15">
      <c r="A2892" s="2">
        <v>8168678</v>
      </c>
      <c r="B2892" s="12" t="s">
        <v>9949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ht="13" x14ac:dyDescent="0.15">
      <c r="A2893" s="2">
        <v>176095</v>
      </c>
      <c r="B2893" s="12" t="s">
        <v>9950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ht="13" x14ac:dyDescent="0.15">
      <c r="A2894" s="2">
        <v>10359446</v>
      </c>
      <c r="B2894" s="12" t="s">
        <v>9951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ht="13" x14ac:dyDescent="0.15">
      <c r="A2895" s="2">
        <v>6294706</v>
      </c>
      <c r="B2895" s="12" t="s">
        <v>9952</v>
      </c>
      <c r="C2895">
        <v>0</v>
      </c>
      <c r="D2895">
        <v>0</v>
      </c>
      <c r="E2895">
        <v>0</v>
      </c>
      <c r="F2895">
        <v>0</v>
      </c>
      <c r="G2895">
        <v>1</v>
      </c>
    </row>
    <row r="2896" spans="1:7" ht="13" x14ac:dyDescent="0.15">
      <c r="A2896" s="2">
        <v>2191952</v>
      </c>
      <c r="B2896" s="12" t="s">
        <v>9953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ht="13" x14ac:dyDescent="0.15">
      <c r="A2897" s="2">
        <v>1871111</v>
      </c>
      <c r="B2897" s="12" t="s">
        <v>9954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ht="13" x14ac:dyDescent="0.15">
      <c r="A2898" s="2">
        <v>484082</v>
      </c>
      <c r="B2898" s="12" t="s">
        <v>9955</v>
      </c>
      <c r="C2898">
        <v>0</v>
      </c>
      <c r="D2898">
        <v>0</v>
      </c>
      <c r="E2898">
        <v>0</v>
      </c>
      <c r="F2898">
        <v>0</v>
      </c>
      <c r="G2898">
        <v>0</v>
      </c>
    </row>
    <row r="2899" spans="1:7" ht="13" x14ac:dyDescent="0.15">
      <c r="A2899" s="2">
        <v>1195935</v>
      </c>
      <c r="B2899" s="12" t="s">
        <v>9956</v>
      </c>
      <c r="C2899">
        <v>0</v>
      </c>
      <c r="D2899">
        <v>0</v>
      </c>
      <c r="E2899">
        <v>1</v>
      </c>
      <c r="F2899">
        <v>0</v>
      </c>
      <c r="G2899">
        <v>1</v>
      </c>
    </row>
    <row r="2900" spans="1:7" ht="13" x14ac:dyDescent="0.15">
      <c r="A2900" s="2">
        <v>289800</v>
      </c>
      <c r="B2900" s="12" t="s">
        <v>9957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ht="13" x14ac:dyDescent="0.15">
      <c r="A2901" s="2">
        <v>458253</v>
      </c>
      <c r="B2901" s="12" t="s">
        <v>9958</v>
      </c>
      <c r="C2901">
        <v>0</v>
      </c>
      <c r="D2901">
        <v>0</v>
      </c>
      <c r="E2901">
        <v>0</v>
      </c>
      <c r="F2901">
        <v>0</v>
      </c>
      <c r="G2901">
        <v>0</v>
      </c>
    </row>
    <row r="2902" spans="1:7" ht="13" x14ac:dyDescent="0.15">
      <c r="A2902" s="2">
        <v>8888168</v>
      </c>
      <c r="B2902" s="12" t="s">
        <v>9959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ht="13" x14ac:dyDescent="0.15">
      <c r="A2903" s="2">
        <v>88496</v>
      </c>
      <c r="B2903" s="12" t="s">
        <v>9960</v>
      </c>
      <c r="C2903">
        <v>1</v>
      </c>
      <c r="D2903">
        <v>0</v>
      </c>
      <c r="E2903">
        <v>0</v>
      </c>
      <c r="F2903">
        <v>0</v>
      </c>
      <c r="G2903">
        <v>0</v>
      </c>
    </row>
    <row r="2904" spans="1:7" ht="13" x14ac:dyDescent="0.15">
      <c r="A2904" s="2">
        <v>5239494</v>
      </c>
      <c r="B2904" s="12" t="s">
        <v>9961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ht="13" x14ac:dyDescent="0.15">
      <c r="A2905" s="2">
        <v>434672</v>
      </c>
      <c r="B2905" s="12" t="s">
        <v>9962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ht="13" x14ac:dyDescent="0.15">
      <c r="A2906" s="2">
        <v>2637554</v>
      </c>
      <c r="B2906" s="12" t="s">
        <v>9963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ht="13" x14ac:dyDescent="0.15">
      <c r="A2907" s="2">
        <v>7349602</v>
      </c>
      <c r="B2907" s="12" t="s">
        <v>9964</v>
      </c>
      <c r="C2907">
        <v>0</v>
      </c>
      <c r="D2907">
        <v>0</v>
      </c>
      <c r="E2907">
        <v>0</v>
      </c>
      <c r="F2907">
        <v>0</v>
      </c>
      <c r="G2907">
        <v>0</v>
      </c>
    </row>
    <row r="2908" spans="1:7" ht="13" x14ac:dyDescent="0.15">
      <c r="A2908" s="2">
        <v>8595140</v>
      </c>
      <c r="B2908" s="12" t="s">
        <v>9965</v>
      </c>
      <c r="C2908">
        <v>1</v>
      </c>
      <c r="D2908">
        <v>0</v>
      </c>
      <c r="E2908">
        <v>0</v>
      </c>
      <c r="F2908">
        <v>0</v>
      </c>
      <c r="G2908">
        <v>0</v>
      </c>
    </row>
    <row r="2909" spans="1:7" ht="13" x14ac:dyDescent="0.15">
      <c r="A2909" s="2">
        <v>7725538</v>
      </c>
      <c r="B2909" s="12" t="s">
        <v>9966</v>
      </c>
      <c r="C2909">
        <v>0</v>
      </c>
      <c r="D2909">
        <v>0</v>
      </c>
      <c r="E2909">
        <v>0</v>
      </c>
      <c r="F2909">
        <v>0</v>
      </c>
      <c r="G2909">
        <v>1</v>
      </c>
    </row>
    <row r="2910" spans="1:7" ht="13" x14ac:dyDescent="0.15">
      <c r="A2910" s="2">
        <v>86687</v>
      </c>
      <c r="B2910" s="12" t="s">
        <v>9967</v>
      </c>
      <c r="C2910">
        <v>0</v>
      </c>
      <c r="D2910">
        <v>0</v>
      </c>
      <c r="E2910">
        <v>0</v>
      </c>
      <c r="F2910">
        <v>0</v>
      </c>
      <c r="G2910">
        <v>0</v>
      </c>
    </row>
    <row r="2911" spans="1:7" ht="13" x14ac:dyDescent="0.15">
      <c r="A2911" s="2">
        <v>86688</v>
      </c>
      <c r="B2911" s="12" t="s">
        <v>9968</v>
      </c>
      <c r="C2911">
        <v>0</v>
      </c>
      <c r="D2911">
        <v>1</v>
      </c>
      <c r="E2911">
        <v>0</v>
      </c>
      <c r="F2911">
        <v>0</v>
      </c>
      <c r="G2911">
        <v>0</v>
      </c>
    </row>
    <row r="2912" spans="1:7" ht="13" x14ac:dyDescent="0.15">
      <c r="A2912" s="2">
        <v>3494220</v>
      </c>
      <c r="B2912" s="12" t="s">
        <v>9969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ht="13" x14ac:dyDescent="0.15">
      <c r="A2913" s="2">
        <v>108734</v>
      </c>
      <c r="B2913" s="12" t="s">
        <v>9970</v>
      </c>
      <c r="C2913">
        <v>0</v>
      </c>
      <c r="D2913">
        <v>0</v>
      </c>
      <c r="E2913">
        <v>1</v>
      </c>
      <c r="F2913">
        <v>0</v>
      </c>
      <c r="G2913">
        <v>0</v>
      </c>
    </row>
    <row r="2914" spans="1:7" ht="13" x14ac:dyDescent="0.15">
      <c r="A2914" s="2">
        <v>6461824</v>
      </c>
      <c r="B2914" s="12" t="s">
        <v>9971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ht="13" x14ac:dyDescent="0.15">
      <c r="A2915" s="2">
        <v>166425</v>
      </c>
      <c r="B2915" s="12" t="s">
        <v>9972</v>
      </c>
      <c r="C2915">
        <v>0</v>
      </c>
      <c r="D2915">
        <v>1</v>
      </c>
      <c r="E2915">
        <v>0</v>
      </c>
      <c r="F2915">
        <v>0</v>
      </c>
      <c r="G2915">
        <v>0</v>
      </c>
    </row>
    <row r="2916" spans="1:7" ht="13" x14ac:dyDescent="0.15">
      <c r="A2916" s="2">
        <v>7817856</v>
      </c>
      <c r="B2916" s="12" t="s">
        <v>9973</v>
      </c>
      <c r="C2916">
        <v>0</v>
      </c>
      <c r="D2916">
        <v>0</v>
      </c>
      <c r="E2916">
        <v>0</v>
      </c>
      <c r="F2916">
        <v>0</v>
      </c>
      <c r="G2916">
        <v>0</v>
      </c>
    </row>
    <row r="2917" spans="1:7" ht="13" x14ac:dyDescent="0.15">
      <c r="A2917" s="2">
        <v>98774</v>
      </c>
      <c r="B2917" s="12" t="s">
        <v>9974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ht="13" x14ac:dyDescent="0.15">
      <c r="A2918" s="2">
        <v>3455408</v>
      </c>
      <c r="B2918" s="12" t="s">
        <v>9975</v>
      </c>
      <c r="C2918">
        <v>0</v>
      </c>
      <c r="D2918">
        <v>0</v>
      </c>
      <c r="E2918">
        <v>0</v>
      </c>
      <c r="F2918">
        <v>0</v>
      </c>
      <c r="G2918">
        <v>0</v>
      </c>
    </row>
    <row r="2919" spans="1:7" ht="13" x14ac:dyDescent="0.15">
      <c r="A2919" s="2">
        <v>6905542</v>
      </c>
      <c r="B2919" s="12" t="s">
        <v>9976</v>
      </c>
      <c r="C2919">
        <v>0</v>
      </c>
      <c r="D2919">
        <v>0</v>
      </c>
      <c r="E2919">
        <v>0</v>
      </c>
      <c r="F2919">
        <v>1</v>
      </c>
      <c r="G2919">
        <v>0</v>
      </c>
    </row>
    <row r="2920" spans="1:7" ht="13" x14ac:dyDescent="0.15">
      <c r="A2920" s="2">
        <v>4363582</v>
      </c>
      <c r="B2920" s="12" t="s">
        <v>9977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ht="13" x14ac:dyDescent="0.15">
      <c r="A2921" s="2">
        <v>413559</v>
      </c>
      <c r="B2921" s="12" t="s">
        <v>9978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ht="13" x14ac:dyDescent="0.15">
      <c r="A2922" s="2">
        <v>4998350</v>
      </c>
      <c r="B2922" s="12" t="s">
        <v>9979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ht="13" x14ac:dyDescent="0.15">
      <c r="A2923" s="2">
        <v>9879074</v>
      </c>
      <c r="B2923" s="12" t="s">
        <v>9980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ht="13" x14ac:dyDescent="0.15">
      <c r="A2924" s="2">
        <v>5154296</v>
      </c>
      <c r="B2924" s="12" t="s">
        <v>9981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ht="13" x14ac:dyDescent="0.15">
      <c r="A2925" s="2">
        <v>211148</v>
      </c>
      <c r="B2925" s="12" t="s">
        <v>9982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ht="13" x14ac:dyDescent="0.15">
      <c r="A2926" s="2">
        <v>299286</v>
      </c>
      <c r="B2926" s="12" t="s">
        <v>9983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ht="13" x14ac:dyDescent="0.15">
      <c r="A2927" s="2">
        <v>111945</v>
      </c>
      <c r="B2927" s="12" t="s">
        <v>9984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ht="13" x14ac:dyDescent="0.15">
      <c r="A2928" s="2">
        <v>995011</v>
      </c>
      <c r="B2928" s="12" t="s">
        <v>9985</v>
      </c>
      <c r="C2928">
        <v>0</v>
      </c>
      <c r="D2928">
        <v>0</v>
      </c>
      <c r="E2928">
        <v>0</v>
      </c>
      <c r="F2928">
        <v>0</v>
      </c>
      <c r="G2928">
        <v>0</v>
      </c>
    </row>
    <row r="2929" spans="1:7" ht="13" x14ac:dyDescent="0.15">
      <c r="A2929" s="2">
        <v>1010360</v>
      </c>
      <c r="B2929" s="12" t="s">
        <v>9986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ht="13" x14ac:dyDescent="0.15">
      <c r="A2930" s="2">
        <v>6257970</v>
      </c>
      <c r="B2930" s="12" t="s">
        <v>9987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ht="13" x14ac:dyDescent="0.15">
      <c r="A2931" s="2">
        <v>8390342</v>
      </c>
      <c r="B2931" s="12" t="s">
        <v>9988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ht="13" x14ac:dyDescent="0.15">
      <c r="A2932" s="2">
        <v>88513</v>
      </c>
      <c r="B2932" s="12" t="s">
        <v>9989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ht="13" x14ac:dyDescent="0.15">
      <c r="A2933" s="2">
        <v>1582459</v>
      </c>
      <c r="B2933" s="12" t="s">
        <v>9990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ht="13" x14ac:dyDescent="0.15">
      <c r="A2934" s="2">
        <v>1196947</v>
      </c>
      <c r="B2934" s="12" t="s">
        <v>9991</v>
      </c>
      <c r="C2934">
        <v>0</v>
      </c>
      <c r="D2934">
        <v>0</v>
      </c>
      <c r="E2934">
        <v>0</v>
      </c>
      <c r="F2934">
        <v>0</v>
      </c>
      <c r="G2934">
        <v>0</v>
      </c>
    </row>
    <row r="2935" spans="1:7" ht="13" x14ac:dyDescent="0.15">
      <c r="A2935" s="2">
        <v>5368542</v>
      </c>
      <c r="B2935" s="12" t="s">
        <v>9992</v>
      </c>
      <c r="C2935">
        <v>0</v>
      </c>
      <c r="D2935">
        <v>1</v>
      </c>
      <c r="E2935">
        <v>0</v>
      </c>
      <c r="F2935">
        <v>1</v>
      </c>
      <c r="G2935">
        <v>0</v>
      </c>
    </row>
    <row r="2936" spans="1:7" ht="13" x14ac:dyDescent="0.15">
      <c r="A2936" s="2">
        <v>3230854</v>
      </c>
      <c r="B2936" s="12" t="s">
        <v>9993</v>
      </c>
      <c r="C2936">
        <v>0</v>
      </c>
      <c r="D2936">
        <v>1</v>
      </c>
      <c r="E2936">
        <v>0</v>
      </c>
      <c r="F2936">
        <v>0</v>
      </c>
      <c r="G2936">
        <v>0</v>
      </c>
    </row>
    <row r="2937" spans="1:7" ht="13" x14ac:dyDescent="0.15">
      <c r="A2937" s="2">
        <v>235918</v>
      </c>
      <c r="B2937" s="12" t="s">
        <v>9994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ht="13" x14ac:dyDescent="0.15">
      <c r="A2938" s="2">
        <v>2294189</v>
      </c>
      <c r="B2938" s="12" t="s">
        <v>9995</v>
      </c>
      <c r="C2938">
        <v>0</v>
      </c>
      <c r="D2938">
        <v>1</v>
      </c>
      <c r="E2938">
        <v>0</v>
      </c>
      <c r="F2938">
        <v>0</v>
      </c>
      <c r="G2938">
        <v>0</v>
      </c>
    </row>
    <row r="2939" spans="1:7" ht="13" x14ac:dyDescent="0.15">
      <c r="A2939" s="2">
        <v>10715148</v>
      </c>
      <c r="B2939" s="12" t="s">
        <v>9996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ht="13" x14ac:dyDescent="0.15">
      <c r="A2940" s="2">
        <v>1256139</v>
      </c>
      <c r="B2940" s="12" t="s">
        <v>9997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ht="13" x14ac:dyDescent="0.15">
      <c r="A2941" s="2">
        <v>1943524</v>
      </c>
      <c r="B2941" s="12" t="s">
        <v>9998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ht="13" x14ac:dyDescent="0.15">
      <c r="A2942" s="2">
        <v>1949012</v>
      </c>
      <c r="B2942" s="12" t="s">
        <v>9999</v>
      </c>
      <c r="C2942">
        <v>0</v>
      </c>
      <c r="D2942">
        <v>1</v>
      </c>
      <c r="E2942">
        <v>0</v>
      </c>
      <c r="F2942">
        <v>0</v>
      </c>
      <c r="G2942">
        <v>0</v>
      </c>
    </row>
    <row r="2943" spans="1:7" ht="13" x14ac:dyDescent="0.15">
      <c r="A2943" s="2">
        <v>423652</v>
      </c>
      <c r="B2943" s="12" t="s">
        <v>10000</v>
      </c>
      <c r="C2943">
        <v>0</v>
      </c>
      <c r="D2943">
        <v>0</v>
      </c>
      <c r="E2943">
        <v>0</v>
      </c>
      <c r="F2943">
        <v>0</v>
      </c>
      <c r="G2943">
        <v>0</v>
      </c>
    </row>
    <row r="2944" spans="1:7" ht="13" x14ac:dyDescent="0.15">
      <c r="A2944" s="2">
        <v>7942774</v>
      </c>
      <c r="B2944" s="12" t="s">
        <v>10001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ht="13" x14ac:dyDescent="0.15">
      <c r="A2945" s="2">
        <v>1204507</v>
      </c>
      <c r="B2945" s="12" t="s">
        <v>10002</v>
      </c>
      <c r="C2945">
        <v>0</v>
      </c>
      <c r="D2945">
        <v>1</v>
      </c>
      <c r="E2945">
        <v>0</v>
      </c>
      <c r="F2945">
        <v>0</v>
      </c>
      <c r="G2945">
        <v>0</v>
      </c>
    </row>
    <row r="2946" spans="1:7" ht="13" x14ac:dyDescent="0.15">
      <c r="A2946" s="2">
        <v>3107288</v>
      </c>
      <c r="B2946" s="12" t="s">
        <v>10003</v>
      </c>
      <c r="C2946">
        <v>1</v>
      </c>
      <c r="D2946">
        <v>1</v>
      </c>
      <c r="E2946">
        <v>0</v>
      </c>
      <c r="F2946">
        <v>0</v>
      </c>
      <c r="G2946">
        <v>0</v>
      </c>
    </row>
    <row r="2947" spans="1:7" ht="13" x14ac:dyDescent="0.15">
      <c r="A2947" s="2">
        <v>78669</v>
      </c>
      <c r="B2947" s="12" t="s">
        <v>10004</v>
      </c>
      <c r="C2947">
        <v>1</v>
      </c>
      <c r="D2947">
        <v>0</v>
      </c>
      <c r="E2947">
        <v>0</v>
      </c>
      <c r="F2947">
        <v>0</v>
      </c>
      <c r="G2947">
        <v>0</v>
      </c>
    </row>
    <row r="2948" spans="1:7" ht="13" x14ac:dyDescent="0.15">
      <c r="A2948" s="2">
        <v>88519</v>
      </c>
      <c r="B2948" s="12" t="s">
        <v>10005</v>
      </c>
      <c r="C2948">
        <v>0</v>
      </c>
      <c r="D2948">
        <v>0</v>
      </c>
      <c r="E2948">
        <v>0</v>
      </c>
      <c r="F2948">
        <v>0</v>
      </c>
      <c r="G2948">
        <v>0</v>
      </c>
    </row>
    <row r="2949" spans="1:7" ht="13" x14ac:dyDescent="0.15">
      <c r="A2949" s="2">
        <v>2071645</v>
      </c>
      <c r="B2949" s="12" t="s">
        <v>10006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ht="13" x14ac:dyDescent="0.15">
      <c r="A2950" s="2">
        <v>173547</v>
      </c>
      <c r="B2950" s="12" t="s">
        <v>10007</v>
      </c>
      <c r="C2950">
        <v>0</v>
      </c>
      <c r="D2950">
        <v>0</v>
      </c>
      <c r="E2950">
        <v>0</v>
      </c>
      <c r="F2950">
        <v>1</v>
      </c>
      <c r="G2950">
        <v>0</v>
      </c>
    </row>
    <row r="2951" spans="1:7" ht="13" x14ac:dyDescent="0.15">
      <c r="A2951" s="2">
        <v>1420425</v>
      </c>
      <c r="B2951" s="12" t="s">
        <v>10008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ht="13" x14ac:dyDescent="0.15">
      <c r="A2952" s="2">
        <v>260615</v>
      </c>
      <c r="B2952" s="12" t="s">
        <v>10009</v>
      </c>
      <c r="C2952">
        <v>1</v>
      </c>
      <c r="D2952">
        <v>1</v>
      </c>
      <c r="E2952">
        <v>0</v>
      </c>
      <c r="F2952">
        <v>0</v>
      </c>
      <c r="G2952">
        <v>0</v>
      </c>
    </row>
    <row r="2953" spans="1:7" ht="13" x14ac:dyDescent="0.15">
      <c r="A2953" s="2">
        <v>2262532</v>
      </c>
      <c r="B2953" s="12" t="s">
        <v>10010</v>
      </c>
      <c r="C2953">
        <v>1</v>
      </c>
      <c r="D2953">
        <v>0</v>
      </c>
      <c r="E2953">
        <v>0</v>
      </c>
      <c r="F2953">
        <v>0</v>
      </c>
      <c r="G2953">
        <v>1</v>
      </c>
    </row>
    <row r="2954" spans="1:7" ht="13" x14ac:dyDescent="0.15">
      <c r="A2954" s="2">
        <v>7235406</v>
      </c>
      <c r="B2954" s="12" t="s">
        <v>10011</v>
      </c>
      <c r="C2954">
        <v>0</v>
      </c>
      <c r="D2954">
        <v>0</v>
      </c>
      <c r="E2954">
        <v>0</v>
      </c>
      <c r="F2954">
        <v>0</v>
      </c>
      <c r="G2954">
        <v>1</v>
      </c>
    </row>
    <row r="2955" spans="1:7" ht="13" x14ac:dyDescent="0.15">
      <c r="A2955" s="2">
        <v>4206804</v>
      </c>
      <c r="B2955" s="12" t="s">
        <v>10012</v>
      </c>
      <c r="C2955">
        <v>0</v>
      </c>
      <c r="D2955">
        <v>0</v>
      </c>
      <c r="E2955">
        <v>0</v>
      </c>
      <c r="F2955">
        <v>0</v>
      </c>
      <c r="G2955">
        <v>0</v>
      </c>
    </row>
    <row r="2956" spans="1:7" ht="13" x14ac:dyDescent="0.15">
      <c r="A2956" s="2">
        <v>98800</v>
      </c>
      <c r="B2956" s="12" t="s">
        <v>10013</v>
      </c>
      <c r="C2956">
        <v>0</v>
      </c>
      <c r="D2956">
        <v>0</v>
      </c>
      <c r="E2956">
        <v>0</v>
      </c>
      <c r="F2956">
        <v>0</v>
      </c>
      <c r="G2956">
        <v>0</v>
      </c>
    </row>
    <row r="2957" spans="1:7" ht="13" x14ac:dyDescent="0.15">
      <c r="A2957" s="2">
        <v>772137</v>
      </c>
      <c r="B2957" s="12" t="s">
        <v>10014</v>
      </c>
      <c r="C2957">
        <v>1</v>
      </c>
      <c r="D2957">
        <v>0</v>
      </c>
      <c r="E2957">
        <v>0</v>
      </c>
      <c r="F2957">
        <v>0</v>
      </c>
      <c r="G2957">
        <v>0</v>
      </c>
    </row>
    <row r="2958" spans="1:7" ht="13" x14ac:dyDescent="0.15">
      <c r="A2958" s="2">
        <v>1470837</v>
      </c>
      <c r="B2958" s="12" t="s">
        <v>10015</v>
      </c>
      <c r="C2958">
        <v>0</v>
      </c>
      <c r="D2958">
        <v>1</v>
      </c>
      <c r="E2958">
        <v>0</v>
      </c>
      <c r="F2958">
        <v>0</v>
      </c>
      <c r="G2958">
        <v>0</v>
      </c>
    </row>
    <row r="2959" spans="1:7" ht="13" x14ac:dyDescent="0.15">
      <c r="A2959" s="2">
        <v>1599357</v>
      </c>
      <c r="B2959" s="12" t="s">
        <v>10016</v>
      </c>
      <c r="C2959">
        <v>0</v>
      </c>
      <c r="D2959">
        <v>0</v>
      </c>
      <c r="E2959">
        <v>0</v>
      </c>
      <c r="F2959">
        <v>0</v>
      </c>
      <c r="G2959">
        <v>0</v>
      </c>
    </row>
    <row r="2960" spans="1:7" ht="13" x14ac:dyDescent="0.15">
      <c r="A2960" s="2">
        <v>290354</v>
      </c>
      <c r="B2960" s="12" t="s">
        <v>10017</v>
      </c>
      <c r="C2960">
        <v>0</v>
      </c>
      <c r="D2960">
        <v>0</v>
      </c>
      <c r="E2960">
        <v>0</v>
      </c>
      <c r="F2960">
        <v>0</v>
      </c>
      <c r="G2960">
        <v>0</v>
      </c>
    </row>
    <row r="2961" spans="1:7" ht="13" x14ac:dyDescent="0.15">
      <c r="A2961" s="2">
        <v>272398</v>
      </c>
      <c r="B2961" s="12" t="s">
        <v>10018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ht="13" x14ac:dyDescent="0.15">
      <c r="A2962" s="2">
        <v>83420</v>
      </c>
      <c r="B2962" s="12" t="s">
        <v>10019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ht="13" x14ac:dyDescent="0.15">
      <c r="A2963" s="2">
        <v>174392</v>
      </c>
      <c r="B2963" s="12" t="s">
        <v>10020</v>
      </c>
      <c r="C2963">
        <v>0</v>
      </c>
      <c r="D2963">
        <v>0</v>
      </c>
      <c r="E2963">
        <v>0</v>
      </c>
      <c r="F2963">
        <v>0</v>
      </c>
      <c r="G2963">
        <v>0</v>
      </c>
    </row>
    <row r="2964" spans="1:7" ht="13" x14ac:dyDescent="0.15">
      <c r="A2964" s="2">
        <v>4592410</v>
      </c>
      <c r="B2964" s="12" t="s">
        <v>10021</v>
      </c>
      <c r="C2964">
        <v>0</v>
      </c>
      <c r="D2964">
        <v>0</v>
      </c>
      <c r="E2964">
        <v>0</v>
      </c>
      <c r="F2964">
        <v>0</v>
      </c>
      <c r="G2964">
        <v>1</v>
      </c>
    </row>
    <row r="2965" spans="1:7" ht="13" x14ac:dyDescent="0.15">
      <c r="A2965" s="2">
        <v>3107588</v>
      </c>
      <c r="B2965" s="12" t="s">
        <v>10022</v>
      </c>
      <c r="C2965">
        <v>0</v>
      </c>
      <c r="D2965">
        <v>0</v>
      </c>
      <c r="E2965">
        <v>0</v>
      </c>
      <c r="F2965">
        <v>0</v>
      </c>
      <c r="G2965">
        <v>0</v>
      </c>
    </row>
    <row r="2966" spans="1:7" ht="13" x14ac:dyDescent="0.15">
      <c r="A2966" s="2">
        <v>3846642</v>
      </c>
      <c r="B2966" s="12" t="s">
        <v>10023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ht="13" x14ac:dyDescent="0.15">
      <c r="A2967" s="2">
        <v>468424</v>
      </c>
      <c r="B2967" s="12" t="s">
        <v>10024</v>
      </c>
      <c r="C2967">
        <v>0</v>
      </c>
      <c r="D2967">
        <v>0</v>
      </c>
      <c r="E2967">
        <v>0</v>
      </c>
      <c r="F2967">
        <v>0</v>
      </c>
      <c r="G2967">
        <v>0</v>
      </c>
    </row>
    <row r="2968" spans="1:7" ht="13" x14ac:dyDescent="0.15">
      <c r="A2968" s="2">
        <v>1552112</v>
      </c>
      <c r="B2968" s="12" t="s">
        <v>10025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ht="13" x14ac:dyDescent="0.15">
      <c r="A2969" s="2">
        <v>8080122</v>
      </c>
      <c r="B2969" s="12" t="s">
        <v>10026</v>
      </c>
      <c r="C2969">
        <v>0</v>
      </c>
      <c r="D2969">
        <v>0</v>
      </c>
      <c r="E2969">
        <v>0</v>
      </c>
      <c r="F2969">
        <v>0</v>
      </c>
      <c r="G2969">
        <v>0</v>
      </c>
    </row>
    <row r="2970" spans="1:7" ht="13" x14ac:dyDescent="0.15">
      <c r="A2970" s="2">
        <v>2712740</v>
      </c>
      <c r="B2970" s="12" t="s">
        <v>10027</v>
      </c>
      <c r="C2970">
        <v>0</v>
      </c>
      <c r="D2970">
        <v>0</v>
      </c>
      <c r="E2970">
        <v>0</v>
      </c>
      <c r="F2970">
        <v>0</v>
      </c>
      <c r="G2970">
        <v>0</v>
      </c>
    </row>
    <row r="2971" spans="1:7" ht="13" x14ac:dyDescent="0.15">
      <c r="A2971" s="2">
        <v>88526</v>
      </c>
      <c r="B2971" s="12" t="s">
        <v>10028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ht="13" x14ac:dyDescent="0.15">
      <c r="A2972" s="2">
        <v>103426</v>
      </c>
      <c r="B2972" s="12" t="s">
        <v>10029</v>
      </c>
      <c r="C2972">
        <v>0</v>
      </c>
      <c r="D2972">
        <v>0</v>
      </c>
      <c r="E2972">
        <v>0</v>
      </c>
      <c r="F2972">
        <v>0</v>
      </c>
      <c r="G2972">
        <v>0</v>
      </c>
    </row>
    <row r="2973" spans="1:7" ht="13" x14ac:dyDescent="0.15">
      <c r="A2973" s="2">
        <v>2151280</v>
      </c>
      <c r="B2973" s="12" t="s">
        <v>10030</v>
      </c>
      <c r="C2973">
        <v>0</v>
      </c>
      <c r="D2973">
        <v>0</v>
      </c>
      <c r="E2973">
        <v>0</v>
      </c>
      <c r="F2973">
        <v>0</v>
      </c>
      <c r="G2973">
        <v>0</v>
      </c>
    </row>
    <row r="2974" spans="1:7" ht="13" x14ac:dyDescent="0.15">
      <c r="A2974" s="2">
        <v>6470478</v>
      </c>
      <c r="B2974" s="12" t="s">
        <v>10031</v>
      </c>
      <c r="C2974">
        <v>0</v>
      </c>
      <c r="D2974">
        <v>0</v>
      </c>
      <c r="E2974">
        <v>0</v>
      </c>
      <c r="F2974">
        <v>0</v>
      </c>
      <c r="G2974">
        <v>0</v>
      </c>
    </row>
    <row r="2975" spans="1:7" ht="13" x14ac:dyDescent="0.15">
      <c r="A2975" s="2">
        <v>5853176</v>
      </c>
      <c r="B2975" s="12" t="s">
        <v>10032</v>
      </c>
      <c r="C2975">
        <v>1</v>
      </c>
      <c r="D2975">
        <v>0</v>
      </c>
      <c r="E2975">
        <v>0</v>
      </c>
      <c r="F2975">
        <v>0</v>
      </c>
      <c r="G2975">
        <v>0</v>
      </c>
    </row>
    <row r="2976" spans="1:7" ht="13" x14ac:dyDescent="0.15">
      <c r="A2976" s="2">
        <v>6441720</v>
      </c>
      <c r="B2976" s="12" t="s">
        <v>10033</v>
      </c>
      <c r="C2976">
        <v>0</v>
      </c>
      <c r="D2976">
        <v>0</v>
      </c>
      <c r="E2976">
        <v>0</v>
      </c>
      <c r="F2976">
        <v>0</v>
      </c>
      <c r="G2976">
        <v>0</v>
      </c>
    </row>
    <row r="2977" spans="1:7" ht="13" x14ac:dyDescent="0.15">
      <c r="A2977" s="2">
        <v>4955642</v>
      </c>
      <c r="B2977" s="12" t="s">
        <v>10034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 ht="13" x14ac:dyDescent="0.15">
      <c r="A2978" s="2">
        <v>1442462</v>
      </c>
      <c r="B2978" s="12" t="s">
        <v>10035</v>
      </c>
      <c r="C2978">
        <v>0</v>
      </c>
      <c r="D2978">
        <v>0</v>
      </c>
      <c r="E2978">
        <v>0</v>
      </c>
      <c r="F2978">
        <v>0</v>
      </c>
      <c r="G2978">
        <v>0</v>
      </c>
    </row>
    <row r="2979" spans="1:7" ht="13" x14ac:dyDescent="0.15">
      <c r="A2979" s="2">
        <v>118327</v>
      </c>
      <c r="B2979" s="12" t="s">
        <v>10036</v>
      </c>
      <c r="C2979">
        <v>0</v>
      </c>
      <c r="D2979">
        <v>0</v>
      </c>
      <c r="E2979">
        <v>0</v>
      </c>
      <c r="F2979">
        <v>0</v>
      </c>
      <c r="G2979">
        <v>0</v>
      </c>
    </row>
    <row r="2980" spans="1:7" ht="13" x14ac:dyDescent="0.15">
      <c r="A2980" s="2">
        <v>1877368</v>
      </c>
      <c r="B2980" s="12" t="s">
        <v>10037</v>
      </c>
      <c r="C2980">
        <v>0</v>
      </c>
      <c r="D2980">
        <v>0</v>
      </c>
      <c r="E2980">
        <v>0</v>
      </c>
      <c r="F2980">
        <v>0</v>
      </c>
      <c r="G2980">
        <v>0</v>
      </c>
    </row>
    <row r="2981" spans="1:7" ht="13" x14ac:dyDescent="0.15">
      <c r="A2981" s="2">
        <v>3233452</v>
      </c>
      <c r="B2981" s="12" t="s">
        <v>10038</v>
      </c>
      <c r="C2981">
        <v>0</v>
      </c>
      <c r="D2981">
        <v>0</v>
      </c>
      <c r="E2981">
        <v>0</v>
      </c>
      <c r="F2981">
        <v>0</v>
      </c>
      <c r="G2981">
        <v>0</v>
      </c>
    </row>
    <row r="2982" spans="1:7" ht="13" x14ac:dyDescent="0.15">
      <c r="A2982" s="2">
        <v>247103</v>
      </c>
      <c r="B2982" s="12" t="s">
        <v>10039</v>
      </c>
      <c r="C2982">
        <v>0</v>
      </c>
      <c r="D2982">
        <v>0</v>
      </c>
      <c r="E2982">
        <v>0</v>
      </c>
      <c r="F2982">
        <v>0</v>
      </c>
      <c r="G2982">
        <v>0</v>
      </c>
    </row>
    <row r="2983" spans="1:7" ht="13" x14ac:dyDescent="0.15">
      <c r="A2983" s="2">
        <v>5233284</v>
      </c>
      <c r="B2983" s="12" t="s">
        <v>10040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ht="13" x14ac:dyDescent="0.15">
      <c r="A2984" s="2">
        <v>409546</v>
      </c>
      <c r="B2984" s="12" t="s">
        <v>10041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ht="13" x14ac:dyDescent="0.15">
      <c r="A2985" s="2">
        <v>2896416</v>
      </c>
      <c r="B2985" s="12" t="s">
        <v>10042</v>
      </c>
      <c r="C2985">
        <v>0</v>
      </c>
      <c r="D2985">
        <v>0</v>
      </c>
      <c r="E2985">
        <v>0</v>
      </c>
      <c r="F2985">
        <v>0</v>
      </c>
      <c r="G2985">
        <v>0</v>
      </c>
    </row>
    <row r="2986" spans="1:7" ht="13" x14ac:dyDescent="0.15">
      <c r="A2986" s="2">
        <v>292800</v>
      </c>
      <c r="B2986" s="12" t="s">
        <v>10043</v>
      </c>
      <c r="C2986">
        <v>0</v>
      </c>
      <c r="D2986">
        <v>0</v>
      </c>
      <c r="E2986">
        <v>0</v>
      </c>
      <c r="F2986">
        <v>0</v>
      </c>
      <c r="G2986">
        <v>0</v>
      </c>
    </row>
    <row r="2987" spans="1:7" ht="13" x14ac:dyDescent="0.15">
      <c r="A2987" s="2">
        <v>285370</v>
      </c>
      <c r="B2987" s="12" t="s">
        <v>10044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ht="13" x14ac:dyDescent="0.15">
      <c r="A2988" s="2">
        <v>1538402</v>
      </c>
      <c r="B2988" s="12" t="s">
        <v>10045</v>
      </c>
      <c r="C2988">
        <v>0</v>
      </c>
      <c r="D2988">
        <v>0</v>
      </c>
      <c r="E2988">
        <v>0</v>
      </c>
      <c r="F2988">
        <v>0</v>
      </c>
      <c r="G2988">
        <v>0</v>
      </c>
    </row>
    <row r="2989" spans="1:7" ht="13" x14ac:dyDescent="0.15">
      <c r="A2989" s="2">
        <v>5990096</v>
      </c>
      <c r="B2989" s="12" t="s">
        <v>10046</v>
      </c>
      <c r="C2989">
        <v>0</v>
      </c>
      <c r="D2989">
        <v>0</v>
      </c>
      <c r="E2989">
        <v>0</v>
      </c>
      <c r="F2989">
        <v>0</v>
      </c>
      <c r="G2989">
        <v>0</v>
      </c>
    </row>
    <row r="2990" spans="1:7" ht="13" x14ac:dyDescent="0.15">
      <c r="A2990" s="2">
        <v>799875</v>
      </c>
      <c r="B2990" s="12" t="s">
        <v>10047</v>
      </c>
      <c r="C2990">
        <v>0</v>
      </c>
      <c r="D2990">
        <v>0</v>
      </c>
      <c r="E2990">
        <v>0</v>
      </c>
      <c r="F2990">
        <v>0</v>
      </c>
      <c r="G2990">
        <v>0</v>
      </c>
    </row>
    <row r="2991" spans="1:7" ht="13" x14ac:dyDescent="0.15">
      <c r="A2991" s="2">
        <v>6479562</v>
      </c>
      <c r="B2991" s="12" t="s">
        <v>10048</v>
      </c>
      <c r="C2991">
        <v>0</v>
      </c>
      <c r="D2991">
        <v>0</v>
      </c>
      <c r="E2991">
        <v>0</v>
      </c>
      <c r="F2991">
        <v>0</v>
      </c>
      <c r="G2991">
        <v>0</v>
      </c>
    </row>
    <row r="2992" spans="1:7" ht="13" x14ac:dyDescent="0.15">
      <c r="A2992" s="2">
        <v>5808318</v>
      </c>
      <c r="B2992" s="12" t="s">
        <v>10049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ht="13" x14ac:dyDescent="0.15">
      <c r="A2993" s="2">
        <v>5834204</v>
      </c>
      <c r="B2993" s="12" t="s">
        <v>10050</v>
      </c>
      <c r="C2993">
        <v>0</v>
      </c>
      <c r="D2993">
        <v>1</v>
      </c>
      <c r="E2993">
        <v>0</v>
      </c>
      <c r="F2993">
        <v>1</v>
      </c>
      <c r="G2993">
        <v>0</v>
      </c>
    </row>
    <row r="2994" spans="1:7" ht="13" x14ac:dyDescent="0.15">
      <c r="A2994" s="2">
        <v>108799</v>
      </c>
      <c r="B2994" s="12" t="s">
        <v>10051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ht="13" x14ac:dyDescent="0.15">
      <c r="A2995" s="2">
        <v>489598</v>
      </c>
      <c r="B2995" s="12" t="s">
        <v>10052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ht="13" x14ac:dyDescent="0.15">
      <c r="A2996" s="2">
        <v>8878996</v>
      </c>
      <c r="B2996" s="12" t="s">
        <v>10053</v>
      </c>
      <c r="C2996">
        <v>1</v>
      </c>
      <c r="D2996">
        <v>0</v>
      </c>
      <c r="E2996">
        <v>0</v>
      </c>
      <c r="F2996">
        <v>0</v>
      </c>
      <c r="G2996">
        <v>0</v>
      </c>
    </row>
    <row r="2997" spans="1:7" ht="13" x14ac:dyDescent="0.15">
      <c r="A2997" s="2">
        <v>5737466</v>
      </c>
      <c r="B2997" s="12" t="s">
        <v>10054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ht="13" x14ac:dyDescent="0.15">
      <c r="A2998" s="2">
        <v>81874</v>
      </c>
      <c r="B2998" s="12" t="s">
        <v>10055</v>
      </c>
      <c r="C2998">
        <v>0</v>
      </c>
      <c r="D2998">
        <v>1</v>
      </c>
      <c r="E2998">
        <v>0</v>
      </c>
      <c r="F2998">
        <v>0</v>
      </c>
      <c r="G2998">
        <v>0</v>
      </c>
    </row>
    <row r="2999" spans="1:7" ht="13" x14ac:dyDescent="0.15">
      <c r="A2999" s="2">
        <v>11506344</v>
      </c>
      <c r="B2999" s="12" t="s">
        <v>10056</v>
      </c>
      <c r="C2999">
        <v>0</v>
      </c>
      <c r="D2999">
        <v>0</v>
      </c>
      <c r="E2999">
        <v>0</v>
      </c>
      <c r="F2999">
        <v>0</v>
      </c>
      <c r="G2999">
        <v>0</v>
      </c>
    </row>
    <row r="3000" spans="1:7" ht="13" x14ac:dyDescent="0.15">
      <c r="A3000" s="2">
        <v>6741388</v>
      </c>
      <c r="B3000" s="12" t="s">
        <v>10057</v>
      </c>
      <c r="C3000">
        <v>0</v>
      </c>
      <c r="D3000">
        <v>0</v>
      </c>
      <c r="E3000">
        <v>0</v>
      </c>
      <c r="F3000">
        <v>0</v>
      </c>
      <c r="G3000">
        <v>0</v>
      </c>
    </row>
    <row r="3001" spans="1:7" ht="13" x14ac:dyDescent="0.15">
      <c r="A3001" s="2">
        <v>4131818</v>
      </c>
      <c r="B3001" s="12" t="s">
        <v>10058</v>
      </c>
      <c r="C3001">
        <v>0</v>
      </c>
      <c r="D3001">
        <v>1</v>
      </c>
      <c r="E3001">
        <v>0</v>
      </c>
      <c r="F3001">
        <v>0</v>
      </c>
      <c r="G3001">
        <v>1</v>
      </c>
    </row>
    <row r="3002" spans="1:7" ht="13" x14ac:dyDescent="0.15">
      <c r="A3002" s="2">
        <v>1778108</v>
      </c>
      <c r="B3002" s="12" t="s">
        <v>10059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ht="13" x14ac:dyDescent="0.15">
      <c r="A3003" s="2">
        <v>2690534</v>
      </c>
      <c r="B3003" s="12" t="s">
        <v>10060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 ht="13" x14ac:dyDescent="0.15">
      <c r="A3004" s="2">
        <v>118346</v>
      </c>
      <c r="B3004" s="12" t="s">
        <v>10061</v>
      </c>
      <c r="C3004">
        <v>0</v>
      </c>
      <c r="D3004">
        <v>0</v>
      </c>
      <c r="E3004">
        <v>0</v>
      </c>
      <c r="F3004">
        <v>1</v>
      </c>
      <c r="G3004">
        <v>0</v>
      </c>
    </row>
    <row r="3005" spans="1:7" ht="13" x14ac:dyDescent="0.15">
      <c r="A3005" s="2">
        <v>7861612</v>
      </c>
      <c r="B3005" s="12" t="s">
        <v>10062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ht="13" x14ac:dyDescent="0.15">
      <c r="A3006" s="2">
        <v>1220617</v>
      </c>
      <c r="B3006" s="12" t="s">
        <v>10063</v>
      </c>
      <c r="C3006">
        <v>1</v>
      </c>
      <c r="D3006">
        <v>0</v>
      </c>
      <c r="E3006">
        <v>0</v>
      </c>
      <c r="F3006">
        <v>0</v>
      </c>
      <c r="G3006">
        <v>0</v>
      </c>
    </row>
    <row r="3007" spans="1:7" ht="13" x14ac:dyDescent="0.15">
      <c r="A3007" s="2">
        <v>1695989</v>
      </c>
      <c r="B3007" s="12" t="s">
        <v>10064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ht="13" x14ac:dyDescent="0.15">
      <c r="A3008" s="2">
        <v>2136396</v>
      </c>
      <c r="B3008" s="12" t="s">
        <v>10065</v>
      </c>
      <c r="C3008">
        <v>0</v>
      </c>
      <c r="D3008">
        <v>0</v>
      </c>
      <c r="E3008">
        <v>0</v>
      </c>
      <c r="F3008">
        <v>0</v>
      </c>
      <c r="G3008">
        <v>0</v>
      </c>
    </row>
    <row r="3009" spans="1:7" ht="13" x14ac:dyDescent="0.15">
      <c r="A3009" s="2">
        <v>115215</v>
      </c>
      <c r="B3009" s="12" t="s">
        <v>10066</v>
      </c>
      <c r="C3009">
        <v>0</v>
      </c>
      <c r="D3009">
        <v>1</v>
      </c>
      <c r="E3009">
        <v>0</v>
      </c>
      <c r="F3009">
        <v>0</v>
      </c>
      <c r="G3009">
        <v>0</v>
      </c>
    </row>
    <row r="3010" spans="1:7" ht="13" x14ac:dyDescent="0.15">
      <c r="A3010" s="2">
        <v>4711356</v>
      </c>
      <c r="B3010" s="12" t="s">
        <v>10067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ht="13" x14ac:dyDescent="0.15">
      <c r="A3011" s="2">
        <v>2356591</v>
      </c>
      <c r="B3011" s="12" t="s">
        <v>10068</v>
      </c>
      <c r="C3011">
        <v>0</v>
      </c>
      <c r="D3011">
        <v>1</v>
      </c>
      <c r="E3011">
        <v>0</v>
      </c>
      <c r="F3011">
        <v>0</v>
      </c>
      <c r="G3011">
        <v>0</v>
      </c>
    </row>
    <row r="3012" spans="1:7" ht="13" x14ac:dyDescent="0.15">
      <c r="A3012" s="2">
        <v>5900164</v>
      </c>
      <c r="B3012" s="12" t="s">
        <v>10069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ht="13" x14ac:dyDescent="0.15">
      <c r="A3013" s="2">
        <v>487831</v>
      </c>
      <c r="B3013" s="12" t="s">
        <v>10070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ht="13" x14ac:dyDescent="0.15">
      <c r="A3014" s="2">
        <v>492866</v>
      </c>
      <c r="B3014" s="12" t="s">
        <v>10071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ht="13" x14ac:dyDescent="0.15">
      <c r="A3015" s="2">
        <v>3484406</v>
      </c>
      <c r="B3015" s="12" t="s">
        <v>10072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ht="13" x14ac:dyDescent="0.15">
      <c r="A3016" s="2">
        <v>1105712</v>
      </c>
      <c r="B3016" s="12" t="s">
        <v>10073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ht="13" x14ac:dyDescent="0.15">
      <c r="A3017" s="2">
        <v>383795</v>
      </c>
      <c r="B3017" s="12" t="s">
        <v>10074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ht="13" x14ac:dyDescent="0.15">
      <c r="A3018" s="2">
        <v>108825</v>
      </c>
      <c r="B3018" s="12" t="s">
        <v>10075</v>
      </c>
      <c r="C3018">
        <v>1</v>
      </c>
      <c r="D3018">
        <v>0</v>
      </c>
      <c r="E3018">
        <v>0</v>
      </c>
      <c r="F3018">
        <v>0</v>
      </c>
      <c r="G3018">
        <v>0</v>
      </c>
    </row>
    <row r="3019" spans="1:7" ht="13" x14ac:dyDescent="0.15">
      <c r="A3019" s="2">
        <v>166047</v>
      </c>
      <c r="B3019" s="12" t="s">
        <v>10076</v>
      </c>
      <c r="C3019">
        <v>0</v>
      </c>
      <c r="D3019">
        <v>1</v>
      </c>
      <c r="E3019">
        <v>0</v>
      </c>
      <c r="F3019">
        <v>0</v>
      </c>
      <c r="G3019">
        <v>0</v>
      </c>
    </row>
    <row r="3020" spans="1:7" ht="13" x14ac:dyDescent="0.15">
      <c r="A3020" s="2">
        <v>4823632</v>
      </c>
      <c r="B3020" s="12" t="s">
        <v>10076</v>
      </c>
      <c r="C3020">
        <v>0</v>
      </c>
      <c r="D3020">
        <v>1</v>
      </c>
      <c r="E3020">
        <v>0</v>
      </c>
      <c r="F3020">
        <v>0</v>
      </c>
      <c r="G3020">
        <v>0</v>
      </c>
    </row>
    <row r="3021" spans="1:7" ht="13" x14ac:dyDescent="0.15">
      <c r="A3021" s="2">
        <v>1794595</v>
      </c>
      <c r="B3021" s="12" t="s">
        <v>10077</v>
      </c>
      <c r="C3021">
        <v>0</v>
      </c>
      <c r="D3021">
        <v>1</v>
      </c>
      <c r="E3021">
        <v>0</v>
      </c>
      <c r="F3021">
        <v>0</v>
      </c>
      <c r="G3021">
        <v>0</v>
      </c>
    </row>
    <row r="3022" spans="1:7" ht="13" x14ac:dyDescent="0.15">
      <c r="A3022" s="2">
        <v>6714616</v>
      </c>
      <c r="B3022" s="12" t="s">
        <v>10078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ht="13" x14ac:dyDescent="0.15">
      <c r="A3023" s="2">
        <v>137311</v>
      </c>
      <c r="B3023" s="12" t="s">
        <v>10079</v>
      </c>
      <c r="C3023">
        <v>1</v>
      </c>
      <c r="D3023">
        <v>0</v>
      </c>
      <c r="E3023">
        <v>0</v>
      </c>
      <c r="F3023">
        <v>1</v>
      </c>
      <c r="G3023">
        <v>0</v>
      </c>
    </row>
    <row r="3024" spans="1:7" ht="13" x14ac:dyDescent="0.15">
      <c r="A3024" s="2">
        <v>6896118</v>
      </c>
      <c r="B3024" s="12" t="s">
        <v>10080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ht="13" x14ac:dyDescent="0.15">
      <c r="A3025" s="2">
        <v>7440732</v>
      </c>
      <c r="B3025" s="12" t="s">
        <v>10081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ht="13" x14ac:dyDescent="0.15">
      <c r="A3026" s="2">
        <v>96626</v>
      </c>
      <c r="B3026" s="12" t="s">
        <v>10082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ht="13" x14ac:dyDescent="0.15">
      <c r="A3027" s="2">
        <v>826760</v>
      </c>
      <c r="B3027" s="12" t="s">
        <v>10083</v>
      </c>
      <c r="C3027">
        <v>1</v>
      </c>
      <c r="D3027">
        <v>0</v>
      </c>
      <c r="E3027">
        <v>0</v>
      </c>
      <c r="F3027">
        <v>0</v>
      </c>
      <c r="G3027">
        <v>0</v>
      </c>
    </row>
    <row r="3028" spans="1:7" ht="13" x14ac:dyDescent="0.15">
      <c r="A3028" s="2">
        <v>1637727</v>
      </c>
      <c r="B3028" s="12" t="s">
        <v>10083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ht="13" x14ac:dyDescent="0.15">
      <c r="A3029" s="2">
        <v>6059738</v>
      </c>
      <c r="B3029" s="14" t="s">
        <v>10084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ht="13" x14ac:dyDescent="0.15">
      <c r="A3030" s="2">
        <v>6064676</v>
      </c>
      <c r="B3030" s="12" t="s">
        <v>10085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ht="13" x14ac:dyDescent="0.15">
      <c r="A3031" s="2">
        <v>2346947</v>
      </c>
      <c r="B3031" s="12" t="s">
        <v>10086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ht="13" x14ac:dyDescent="0.15">
      <c r="A3032" s="2">
        <v>165581</v>
      </c>
      <c r="B3032" s="12" t="s">
        <v>10087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ht="13" x14ac:dyDescent="0.15">
      <c r="A3033" s="2">
        <v>2819226</v>
      </c>
      <c r="B3033" s="12" t="s">
        <v>10088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ht="13" x14ac:dyDescent="0.15">
      <c r="A3034" s="2">
        <v>7255502</v>
      </c>
      <c r="B3034" s="12" t="s">
        <v>10089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ht="13" x14ac:dyDescent="0.15">
      <c r="A3035" s="2">
        <v>330251</v>
      </c>
      <c r="B3035" s="12" t="s">
        <v>10090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ht="13" x14ac:dyDescent="0.15">
      <c r="A3036" s="2">
        <v>958611</v>
      </c>
      <c r="B3036" s="12" t="s">
        <v>10091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ht="13" x14ac:dyDescent="0.15">
      <c r="A3037" s="2">
        <v>103466</v>
      </c>
      <c r="B3037" s="12" t="s">
        <v>10092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ht="13" x14ac:dyDescent="0.15">
      <c r="A3038" s="2">
        <v>4179452</v>
      </c>
      <c r="B3038" s="12" t="s">
        <v>10093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ht="13" x14ac:dyDescent="0.15">
      <c r="A3039" s="2">
        <v>3230454</v>
      </c>
      <c r="B3039" s="12" t="s">
        <v>10094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ht="13" x14ac:dyDescent="0.15">
      <c r="A3040" s="2">
        <v>2402207</v>
      </c>
      <c r="B3040" s="12" t="s">
        <v>10095</v>
      </c>
      <c r="C3040">
        <v>0</v>
      </c>
      <c r="D3040">
        <v>1</v>
      </c>
      <c r="E3040">
        <v>0</v>
      </c>
      <c r="F3040">
        <v>0</v>
      </c>
      <c r="G3040">
        <v>0</v>
      </c>
    </row>
    <row r="3041" spans="1:7" ht="13" x14ac:dyDescent="0.15">
      <c r="A3041" s="2">
        <v>2131368</v>
      </c>
      <c r="B3041" s="12" t="s">
        <v>10096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ht="13" x14ac:dyDescent="0.15">
      <c r="A3042" s="2">
        <v>115241</v>
      </c>
      <c r="B3042" s="12" t="s">
        <v>10097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ht="13" x14ac:dyDescent="0.15">
      <c r="A3043" s="2">
        <v>184135</v>
      </c>
      <c r="B3043" s="12" t="s">
        <v>10098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ht="13" x14ac:dyDescent="0.15">
      <c r="A3044" s="2">
        <v>1814519</v>
      </c>
      <c r="B3044" s="12" t="s">
        <v>10099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ht="13" x14ac:dyDescent="0.15">
      <c r="A3045" s="2">
        <v>2699128</v>
      </c>
      <c r="B3045" s="12" t="s">
        <v>10100</v>
      </c>
      <c r="C3045">
        <v>0</v>
      </c>
      <c r="D3045">
        <v>1</v>
      </c>
      <c r="E3045">
        <v>0</v>
      </c>
      <c r="F3045">
        <v>0</v>
      </c>
      <c r="G3045">
        <v>0</v>
      </c>
    </row>
    <row r="3046" spans="1:7" ht="13" x14ac:dyDescent="0.15">
      <c r="A3046" s="2">
        <v>1059455</v>
      </c>
      <c r="B3046" s="12" t="s">
        <v>10101</v>
      </c>
      <c r="C3046">
        <v>0</v>
      </c>
      <c r="D3046">
        <v>0</v>
      </c>
      <c r="E3046">
        <v>0</v>
      </c>
      <c r="F3046">
        <v>0</v>
      </c>
      <c r="G3046">
        <v>1</v>
      </c>
    </row>
    <row r="3047" spans="1:7" ht="13" x14ac:dyDescent="0.15">
      <c r="A3047" s="2">
        <v>1695360</v>
      </c>
      <c r="B3047" s="12" t="s">
        <v>10102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ht="13" x14ac:dyDescent="0.15">
      <c r="A3048" s="2">
        <v>283754</v>
      </c>
      <c r="B3048" s="12" t="s">
        <v>10103</v>
      </c>
      <c r="C3048">
        <v>0</v>
      </c>
      <c r="D3048">
        <v>1</v>
      </c>
      <c r="E3048">
        <v>0</v>
      </c>
      <c r="F3048">
        <v>1</v>
      </c>
      <c r="G3048">
        <v>0</v>
      </c>
    </row>
    <row r="3049" spans="1:7" ht="13" x14ac:dyDescent="0.15">
      <c r="A3049" s="2">
        <v>832330</v>
      </c>
      <c r="B3049" s="12" t="s">
        <v>10104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ht="13" x14ac:dyDescent="0.15">
      <c r="A3050" s="2">
        <v>341973</v>
      </c>
      <c r="B3050" s="12" t="s">
        <v>10105</v>
      </c>
      <c r="C3050">
        <v>0</v>
      </c>
      <c r="D3050">
        <v>1</v>
      </c>
      <c r="E3050">
        <v>0</v>
      </c>
      <c r="F3050">
        <v>0</v>
      </c>
      <c r="G3050">
        <v>0</v>
      </c>
    </row>
    <row r="3051" spans="1:7" ht="13" x14ac:dyDescent="0.15">
      <c r="A3051" s="2">
        <v>3636914</v>
      </c>
      <c r="B3051" s="12" t="s">
        <v>10106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ht="13" x14ac:dyDescent="0.15">
      <c r="A3052" s="2">
        <v>5810626</v>
      </c>
      <c r="B3052" s="12" t="s">
        <v>10107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ht="13" x14ac:dyDescent="0.15">
      <c r="A3053" s="2">
        <v>934744</v>
      </c>
      <c r="B3053" s="12" t="s">
        <v>10108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ht="13" x14ac:dyDescent="0.15">
      <c r="A3054" s="2">
        <v>950701</v>
      </c>
      <c r="B3054" s="12" t="s">
        <v>10109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ht="13" x14ac:dyDescent="0.15">
      <c r="A3055" s="2">
        <v>3418252</v>
      </c>
      <c r="B3055" s="12" t="s">
        <v>10110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ht="13" x14ac:dyDescent="0.15">
      <c r="A3056" s="2">
        <v>1105715</v>
      </c>
      <c r="B3056" s="12" t="s">
        <v>10111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ht="13" x14ac:dyDescent="0.15">
      <c r="A3057" s="2">
        <v>1476894</v>
      </c>
      <c r="B3057" s="12" t="s">
        <v>10112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ht="13" x14ac:dyDescent="0.15">
      <c r="A3058" s="2">
        <v>300797</v>
      </c>
      <c r="B3058" s="12" t="s">
        <v>10113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ht="13" x14ac:dyDescent="0.15">
      <c r="A3059" s="2">
        <v>1743899</v>
      </c>
      <c r="B3059" s="12" t="s">
        <v>10114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ht="13" x14ac:dyDescent="0.15">
      <c r="A3060" s="2">
        <v>103477</v>
      </c>
      <c r="B3060" s="12" t="s">
        <v>10115</v>
      </c>
      <c r="C3060">
        <v>0</v>
      </c>
      <c r="D3060">
        <v>0</v>
      </c>
      <c r="E3060">
        <v>0</v>
      </c>
      <c r="F3060">
        <v>1</v>
      </c>
      <c r="G3060">
        <v>0</v>
      </c>
    </row>
    <row r="3061" spans="1:7" ht="13" x14ac:dyDescent="0.15">
      <c r="A3061" s="2">
        <v>1726839</v>
      </c>
      <c r="B3061" s="12" t="s">
        <v>10116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ht="13" x14ac:dyDescent="0.15">
      <c r="A3062" s="2">
        <v>5614348</v>
      </c>
      <c r="B3062" s="12" t="s">
        <v>10117</v>
      </c>
      <c r="C3062">
        <v>0</v>
      </c>
      <c r="D3062">
        <v>0</v>
      </c>
      <c r="E3062">
        <v>0</v>
      </c>
      <c r="F3062">
        <v>0</v>
      </c>
      <c r="G3062">
        <v>0</v>
      </c>
    </row>
    <row r="3063" spans="1:7" ht="13" x14ac:dyDescent="0.15">
      <c r="A3063" s="2">
        <v>4859164</v>
      </c>
      <c r="B3063" s="12" t="s">
        <v>10118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ht="13" x14ac:dyDescent="0.15">
      <c r="A3064" s="2">
        <v>1743034</v>
      </c>
      <c r="B3064" s="12" t="s">
        <v>10119</v>
      </c>
      <c r="C3064">
        <v>0</v>
      </c>
      <c r="D3064">
        <v>1</v>
      </c>
      <c r="E3064">
        <v>0</v>
      </c>
      <c r="F3064">
        <v>1</v>
      </c>
      <c r="G3064">
        <v>0</v>
      </c>
    </row>
    <row r="3065" spans="1:7" ht="13" x14ac:dyDescent="0.15">
      <c r="A3065" s="2">
        <v>108847</v>
      </c>
      <c r="B3065" s="12" t="s">
        <v>10120</v>
      </c>
      <c r="C3065">
        <v>0</v>
      </c>
      <c r="D3065">
        <v>0</v>
      </c>
      <c r="E3065">
        <v>0</v>
      </c>
      <c r="F3065">
        <v>0</v>
      </c>
      <c r="G3065">
        <v>0</v>
      </c>
    </row>
    <row r="3066" spans="1:7" ht="13" x14ac:dyDescent="0.15">
      <c r="A3066" s="2">
        <v>4254242</v>
      </c>
      <c r="B3066" s="12" t="s">
        <v>10121</v>
      </c>
      <c r="C3066">
        <v>0</v>
      </c>
      <c r="D3066">
        <v>1</v>
      </c>
      <c r="E3066">
        <v>0</v>
      </c>
      <c r="F3066">
        <v>0</v>
      </c>
      <c r="G3066">
        <v>0</v>
      </c>
    </row>
    <row r="3067" spans="1:7" ht="13" x14ac:dyDescent="0.15">
      <c r="A3067" s="2">
        <v>12429024</v>
      </c>
      <c r="B3067" s="12" t="s">
        <v>10122</v>
      </c>
      <c r="C3067">
        <v>0</v>
      </c>
      <c r="D3067">
        <v>0</v>
      </c>
      <c r="E3067">
        <v>0</v>
      </c>
      <c r="F3067">
        <v>0</v>
      </c>
      <c r="G3067">
        <v>0</v>
      </c>
    </row>
    <row r="3068" spans="1:7" ht="13" x14ac:dyDescent="0.15">
      <c r="A3068" s="2">
        <v>4484722</v>
      </c>
      <c r="B3068" s="12" t="s">
        <v>10123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ht="13" x14ac:dyDescent="0.15">
      <c r="A3069" s="2">
        <v>1740299</v>
      </c>
      <c r="B3069" s="12" t="s">
        <v>10124</v>
      </c>
      <c r="C3069">
        <v>0</v>
      </c>
      <c r="D3069">
        <v>1</v>
      </c>
      <c r="E3069">
        <v>0</v>
      </c>
      <c r="F3069">
        <v>0</v>
      </c>
      <c r="G3069">
        <v>0</v>
      </c>
    </row>
    <row r="3070" spans="1:7" ht="13" x14ac:dyDescent="0.15">
      <c r="A3070" s="2">
        <v>8111088</v>
      </c>
      <c r="B3070" s="12" t="s">
        <v>10125</v>
      </c>
      <c r="C3070">
        <v>0</v>
      </c>
      <c r="D3070">
        <v>0</v>
      </c>
      <c r="E3070">
        <v>0</v>
      </c>
      <c r="F3070">
        <v>1</v>
      </c>
      <c r="G3070">
        <v>0</v>
      </c>
    </row>
    <row r="3071" spans="1:7" ht="13" x14ac:dyDescent="0.15">
      <c r="A3071" s="2">
        <v>5788792</v>
      </c>
      <c r="B3071" s="12" t="s">
        <v>10126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ht="13" x14ac:dyDescent="0.15">
      <c r="A3072" s="2">
        <v>112064</v>
      </c>
      <c r="B3072" s="12" t="s">
        <v>10127</v>
      </c>
      <c r="C3072">
        <v>0</v>
      </c>
      <c r="D3072">
        <v>1</v>
      </c>
      <c r="E3072">
        <v>0</v>
      </c>
      <c r="F3072">
        <v>1</v>
      </c>
      <c r="G3072">
        <v>0</v>
      </c>
    </row>
    <row r="3073" spans="1:7" ht="13" x14ac:dyDescent="0.15">
      <c r="A3073" s="2">
        <v>397508</v>
      </c>
      <c r="B3073" s="12" t="s">
        <v>10128</v>
      </c>
      <c r="C3073">
        <v>0</v>
      </c>
      <c r="D3073">
        <v>0</v>
      </c>
      <c r="E3073">
        <v>0</v>
      </c>
      <c r="F3073">
        <v>0</v>
      </c>
      <c r="G3073">
        <v>0</v>
      </c>
    </row>
    <row r="3074" spans="1:7" ht="13" x14ac:dyDescent="0.15">
      <c r="A3074" s="2">
        <v>7670568</v>
      </c>
      <c r="B3074" s="12" t="s">
        <v>10129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ht="13" x14ac:dyDescent="0.15">
      <c r="A3075" s="2">
        <v>86756</v>
      </c>
      <c r="B3075" s="12" t="s">
        <v>10130</v>
      </c>
      <c r="C3075">
        <v>0</v>
      </c>
      <c r="D3075">
        <v>1</v>
      </c>
      <c r="E3075">
        <v>0</v>
      </c>
      <c r="F3075">
        <v>0</v>
      </c>
      <c r="G3075">
        <v>0</v>
      </c>
    </row>
    <row r="3076" spans="1:7" ht="13" x14ac:dyDescent="0.15">
      <c r="A3076" s="2">
        <v>1196946</v>
      </c>
      <c r="B3076" s="12" t="s">
        <v>10131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ht="13" x14ac:dyDescent="0.15">
      <c r="A3077" s="2">
        <v>3513704</v>
      </c>
      <c r="B3077" s="12" t="s">
        <v>10132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ht="13" x14ac:dyDescent="0.15">
      <c r="A3078" s="2">
        <v>2338232</v>
      </c>
      <c r="B3078" s="12" t="s">
        <v>10133</v>
      </c>
      <c r="C3078">
        <v>0</v>
      </c>
      <c r="D3078">
        <v>0</v>
      </c>
      <c r="E3078">
        <v>0</v>
      </c>
      <c r="F3078">
        <v>0</v>
      </c>
      <c r="G3078">
        <v>0</v>
      </c>
    </row>
    <row r="3079" spans="1:7" ht="13" x14ac:dyDescent="0.15">
      <c r="A3079" s="2">
        <v>5638056</v>
      </c>
      <c r="B3079" s="12" t="s">
        <v>10134</v>
      </c>
      <c r="C3079">
        <v>0</v>
      </c>
      <c r="D3079">
        <v>0</v>
      </c>
      <c r="E3079">
        <v>0</v>
      </c>
      <c r="F3079">
        <v>0</v>
      </c>
      <c r="G3079">
        <v>0</v>
      </c>
    </row>
    <row r="3080" spans="1:7" ht="13" x14ac:dyDescent="0.15">
      <c r="A3080" s="2">
        <v>1442464</v>
      </c>
      <c r="B3080" s="12" t="s">
        <v>10135</v>
      </c>
      <c r="C3080">
        <v>0</v>
      </c>
      <c r="D3080">
        <v>0</v>
      </c>
      <c r="E3080">
        <v>0</v>
      </c>
      <c r="F3080">
        <v>0</v>
      </c>
      <c r="G3080">
        <v>0</v>
      </c>
    </row>
    <row r="3081" spans="1:7" ht="13" x14ac:dyDescent="0.15">
      <c r="A3081" s="2">
        <v>1122770</v>
      </c>
      <c r="B3081" s="12" t="s">
        <v>10136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ht="13" x14ac:dyDescent="0.15">
      <c r="A3082" s="2">
        <v>416394</v>
      </c>
      <c r="B3082" s="12" t="s">
        <v>10137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ht="13" x14ac:dyDescent="0.15">
      <c r="A3083" s="2">
        <v>2737290</v>
      </c>
      <c r="B3083" s="12" t="s">
        <v>10138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ht="13" x14ac:dyDescent="0.15">
      <c r="A3084" s="2">
        <v>2510616</v>
      </c>
      <c r="B3084" s="12" t="s">
        <v>10139</v>
      </c>
      <c r="C3084">
        <v>0</v>
      </c>
      <c r="D3084">
        <v>0</v>
      </c>
      <c r="E3084">
        <v>0</v>
      </c>
      <c r="F3084">
        <v>0</v>
      </c>
      <c r="G3084">
        <v>0</v>
      </c>
    </row>
    <row r="3085" spans="1:7" ht="13" x14ac:dyDescent="0.15">
      <c r="A3085" s="2">
        <v>2211129</v>
      </c>
      <c r="B3085" s="12" t="s">
        <v>10140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ht="13" x14ac:dyDescent="0.15">
      <c r="A3086" s="2">
        <v>3877200</v>
      </c>
      <c r="B3086" s="12" t="s">
        <v>10141</v>
      </c>
      <c r="C3086">
        <v>0</v>
      </c>
      <c r="D3086">
        <v>0</v>
      </c>
      <c r="E3086">
        <v>0</v>
      </c>
      <c r="F3086">
        <v>0</v>
      </c>
      <c r="G3086">
        <v>0</v>
      </c>
    </row>
    <row r="3087" spans="1:7" ht="13" x14ac:dyDescent="0.15">
      <c r="A3087" s="2">
        <v>5639976</v>
      </c>
      <c r="B3087" s="12" t="s">
        <v>10142</v>
      </c>
      <c r="C3087">
        <v>0</v>
      </c>
      <c r="D3087">
        <v>1</v>
      </c>
      <c r="E3087">
        <v>0</v>
      </c>
      <c r="F3087">
        <v>0</v>
      </c>
      <c r="G3087">
        <v>0</v>
      </c>
    </row>
    <row r="3088" spans="1:7" ht="13" x14ac:dyDescent="0.15">
      <c r="A3088" s="2">
        <v>3277670</v>
      </c>
      <c r="B3088" s="12" t="s">
        <v>10143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ht="13" x14ac:dyDescent="0.15">
      <c r="A3089" s="2">
        <v>1166919</v>
      </c>
      <c r="B3089" s="12" t="s">
        <v>10144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ht="13" x14ac:dyDescent="0.15">
      <c r="A3090" s="2">
        <v>275854</v>
      </c>
      <c r="B3090" s="12" t="s">
        <v>10145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ht="13" x14ac:dyDescent="0.15">
      <c r="A3091" s="2">
        <v>3143378</v>
      </c>
      <c r="B3091" s="12" t="s">
        <v>10146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ht="13" x14ac:dyDescent="0.15">
      <c r="A3092" s="2">
        <v>1792496</v>
      </c>
      <c r="B3092" s="12" t="s">
        <v>10147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ht="13" x14ac:dyDescent="0.15">
      <c r="A3093" s="2">
        <v>7203552</v>
      </c>
      <c r="B3093" s="12" t="s">
        <v>10148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ht="13" x14ac:dyDescent="0.15">
      <c r="A3094" s="2">
        <v>1321713</v>
      </c>
      <c r="B3094" s="12" t="s">
        <v>10149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ht="13" x14ac:dyDescent="0.15">
      <c r="A3095" s="2">
        <v>273002</v>
      </c>
      <c r="B3095" s="12" t="s">
        <v>10150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ht="13" x14ac:dyDescent="0.15">
      <c r="A3096" s="2">
        <v>7572868</v>
      </c>
      <c r="B3096" s="12" t="s">
        <v>10151</v>
      </c>
      <c r="C3096">
        <v>1</v>
      </c>
      <c r="D3096">
        <v>1</v>
      </c>
      <c r="E3096">
        <v>0</v>
      </c>
      <c r="F3096">
        <v>0</v>
      </c>
      <c r="G3096">
        <v>0</v>
      </c>
    </row>
    <row r="3097" spans="1:7" ht="13" x14ac:dyDescent="0.15">
      <c r="A3097" s="2">
        <v>106080</v>
      </c>
      <c r="B3097" s="12" t="s">
        <v>10152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ht="13" x14ac:dyDescent="0.15">
      <c r="A3098" s="2">
        <v>7235018</v>
      </c>
      <c r="B3098" s="12" t="s">
        <v>10153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ht="13" x14ac:dyDescent="0.15">
      <c r="A3099" s="2">
        <v>7942794</v>
      </c>
      <c r="B3099" s="12" t="s">
        <v>10154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ht="13" x14ac:dyDescent="0.15">
      <c r="A3100" s="2">
        <v>9418496</v>
      </c>
      <c r="B3100" s="12" t="s">
        <v>10155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ht="13" x14ac:dyDescent="0.15">
      <c r="A3101" s="2">
        <v>172031</v>
      </c>
      <c r="B3101" s="12" t="s">
        <v>10156</v>
      </c>
      <c r="C3101">
        <v>1</v>
      </c>
      <c r="D3101">
        <v>0</v>
      </c>
      <c r="E3101">
        <v>0</v>
      </c>
      <c r="F3101">
        <v>0</v>
      </c>
      <c r="G3101">
        <v>0</v>
      </c>
    </row>
    <row r="3102" spans="1:7" ht="13" x14ac:dyDescent="0.15">
      <c r="A3102" s="2">
        <v>169477</v>
      </c>
      <c r="B3102" s="12" t="s">
        <v>10157</v>
      </c>
      <c r="C3102">
        <v>0</v>
      </c>
      <c r="D3102">
        <v>1</v>
      </c>
      <c r="E3102">
        <v>0</v>
      </c>
      <c r="F3102">
        <v>0</v>
      </c>
      <c r="G3102">
        <v>0</v>
      </c>
    </row>
    <row r="3103" spans="1:7" ht="13" x14ac:dyDescent="0.15">
      <c r="A3103" s="2">
        <v>165052</v>
      </c>
      <c r="B3103" s="12" t="s">
        <v>10158</v>
      </c>
      <c r="C3103">
        <v>0</v>
      </c>
      <c r="D3103">
        <v>1</v>
      </c>
      <c r="E3103">
        <v>0</v>
      </c>
      <c r="F3103">
        <v>0</v>
      </c>
      <c r="G3103">
        <v>0</v>
      </c>
    </row>
    <row r="3104" spans="1:7" ht="13" x14ac:dyDescent="0.15">
      <c r="A3104" s="2">
        <v>149547</v>
      </c>
      <c r="B3104" s="12" t="s">
        <v>10159</v>
      </c>
      <c r="C3104">
        <v>0</v>
      </c>
      <c r="D3104">
        <v>0</v>
      </c>
      <c r="E3104">
        <v>0</v>
      </c>
      <c r="F3104">
        <v>1</v>
      </c>
      <c r="G3104">
        <v>0</v>
      </c>
    </row>
    <row r="3105" spans="1:7" ht="13" x14ac:dyDescent="0.15">
      <c r="A3105" s="2">
        <v>118266</v>
      </c>
      <c r="B3105" s="12" t="s">
        <v>10160</v>
      </c>
      <c r="C3105">
        <v>0</v>
      </c>
      <c r="D3105">
        <v>1</v>
      </c>
      <c r="E3105">
        <v>0</v>
      </c>
      <c r="F3105">
        <v>0</v>
      </c>
      <c r="G3105">
        <v>0</v>
      </c>
    </row>
    <row r="3106" spans="1:7" ht="13" x14ac:dyDescent="0.15">
      <c r="A3106" s="2">
        <v>6807662</v>
      </c>
      <c r="B3106" s="12" t="s">
        <v>10161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ht="13" x14ac:dyDescent="0.15">
      <c r="A3107" s="2">
        <v>2087571</v>
      </c>
      <c r="B3107" s="12" t="s">
        <v>10162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ht="13" x14ac:dyDescent="0.15">
      <c r="A3108" s="2">
        <v>1870479</v>
      </c>
      <c r="B3108" s="12" t="s">
        <v>10163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ht="13" x14ac:dyDescent="0.15">
      <c r="A3109" s="2">
        <v>5737432</v>
      </c>
      <c r="B3109" s="12" t="s">
        <v>10164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ht="13" x14ac:dyDescent="0.15">
      <c r="A3110" s="2">
        <v>362359</v>
      </c>
      <c r="B3110" s="12" t="s">
        <v>10165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ht="13" x14ac:dyDescent="0.15">
      <c r="A3111" s="2">
        <v>4635282</v>
      </c>
      <c r="B3111" s="12" t="s">
        <v>10166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ht="13" x14ac:dyDescent="0.15">
      <c r="A3112" s="2">
        <v>219446</v>
      </c>
      <c r="B3112" s="12" t="s">
        <v>10167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ht="13" x14ac:dyDescent="0.15">
      <c r="A3113" s="2">
        <v>86779</v>
      </c>
      <c r="B3113" s="12" t="s">
        <v>10168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ht="13" x14ac:dyDescent="0.15">
      <c r="A3114" s="2">
        <v>290978</v>
      </c>
      <c r="B3114" s="12" t="s">
        <v>10169</v>
      </c>
      <c r="C3114">
        <v>1</v>
      </c>
      <c r="D3114">
        <v>0</v>
      </c>
      <c r="E3114">
        <v>0</v>
      </c>
      <c r="F3114">
        <v>0</v>
      </c>
      <c r="G3114">
        <v>0</v>
      </c>
    </row>
    <row r="3115" spans="1:7" ht="13" x14ac:dyDescent="0.15">
      <c r="A3115" s="2">
        <v>386676</v>
      </c>
      <c r="B3115" s="12" t="s">
        <v>10169</v>
      </c>
      <c r="C3115">
        <v>1</v>
      </c>
      <c r="D3115">
        <v>0</v>
      </c>
      <c r="E3115">
        <v>0</v>
      </c>
      <c r="F3115">
        <v>0</v>
      </c>
      <c r="G3115">
        <v>0</v>
      </c>
    </row>
    <row r="3116" spans="1:7" ht="13" x14ac:dyDescent="0.15">
      <c r="A3116" s="2">
        <v>1847067</v>
      </c>
      <c r="B3116" s="12" t="s">
        <v>10170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ht="13" x14ac:dyDescent="0.15">
      <c r="A3117" s="2">
        <v>5691552</v>
      </c>
      <c r="B3117" s="12" t="s">
        <v>10171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ht="13" x14ac:dyDescent="0.15">
      <c r="A3118" s="2">
        <v>7216712</v>
      </c>
      <c r="B3118" s="12" t="s">
        <v>10172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ht="13" x14ac:dyDescent="0.15">
      <c r="A3119" s="2">
        <v>2211065</v>
      </c>
      <c r="B3119" s="12" t="s">
        <v>10173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ht="13" x14ac:dyDescent="0.15">
      <c r="A3120" s="2">
        <v>8310612</v>
      </c>
      <c r="B3120" s="12" t="s">
        <v>10174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ht="13" x14ac:dyDescent="0.15">
      <c r="A3121" s="2">
        <v>229916</v>
      </c>
      <c r="B3121" s="12" t="s">
        <v>10175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ht="13" x14ac:dyDescent="0.15">
      <c r="A3122" s="2">
        <v>112111</v>
      </c>
      <c r="B3122" s="12" t="s">
        <v>10176</v>
      </c>
      <c r="C3122">
        <v>1</v>
      </c>
      <c r="D3122">
        <v>0</v>
      </c>
      <c r="E3122">
        <v>0</v>
      </c>
      <c r="F3122">
        <v>0</v>
      </c>
      <c r="G3122">
        <v>0</v>
      </c>
    </row>
    <row r="3123" spans="1:7" ht="13" x14ac:dyDescent="0.15">
      <c r="A3123" s="2">
        <v>7612548</v>
      </c>
      <c r="B3123" s="12" t="s">
        <v>10177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ht="13" x14ac:dyDescent="0.15">
      <c r="A3124" s="2">
        <v>1074206</v>
      </c>
      <c r="B3124" s="12" t="s">
        <v>10178</v>
      </c>
      <c r="C3124">
        <v>0</v>
      </c>
      <c r="D3124">
        <v>1</v>
      </c>
      <c r="E3124">
        <v>0</v>
      </c>
      <c r="F3124">
        <v>0</v>
      </c>
      <c r="G3124">
        <v>0</v>
      </c>
    </row>
    <row r="3125" spans="1:7" ht="13" x14ac:dyDescent="0.15">
      <c r="A3125" s="2">
        <v>6482686</v>
      </c>
      <c r="B3125" s="12" t="s">
        <v>10179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ht="13" x14ac:dyDescent="0.15">
      <c r="A3126" s="2">
        <v>2155101</v>
      </c>
      <c r="B3126" s="12" t="s">
        <v>10180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ht="13" x14ac:dyDescent="0.15">
      <c r="A3127" s="2">
        <v>309163</v>
      </c>
      <c r="B3127" s="12" t="s">
        <v>10181</v>
      </c>
      <c r="C3127">
        <v>0</v>
      </c>
      <c r="D3127">
        <v>0</v>
      </c>
      <c r="E3127">
        <v>0</v>
      </c>
      <c r="F3127">
        <v>0</v>
      </c>
      <c r="G3127">
        <v>0</v>
      </c>
    </row>
    <row r="3128" spans="1:7" ht="13" x14ac:dyDescent="0.15">
      <c r="A3128" s="2">
        <v>338647</v>
      </c>
      <c r="B3128" s="12" t="s">
        <v>10182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ht="13" x14ac:dyDescent="0.15">
      <c r="A3129" s="2">
        <v>182621</v>
      </c>
      <c r="B3129" s="12" t="s">
        <v>10183</v>
      </c>
      <c r="C3129">
        <v>0</v>
      </c>
      <c r="D3129">
        <v>0</v>
      </c>
      <c r="E3129">
        <v>1</v>
      </c>
      <c r="F3129">
        <v>0</v>
      </c>
      <c r="G3129">
        <v>0</v>
      </c>
    </row>
    <row r="3130" spans="1:7" ht="13" x14ac:dyDescent="0.15">
      <c r="A3130" s="2">
        <v>4474310</v>
      </c>
      <c r="B3130" s="12" t="s">
        <v>10184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ht="13" x14ac:dyDescent="0.15">
      <c r="A3131" s="2">
        <v>7971476</v>
      </c>
      <c r="B3131" s="12" t="s">
        <v>10185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ht="13" x14ac:dyDescent="0.15">
      <c r="A3132" s="2">
        <v>175058</v>
      </c>
      <c r="B3132" s="12" t="s">
        <v>10186</v>
      </c>
      <c r="C3132">
        <v>1</v>
      </c>
      <c r="D3132">
        <v>0</v>
      </c>
      <c r="E3132">
        <v>0</v>
      </c>
      <c r="F3132">
        <v>0</v>
      </c>
      <c r="G3132">
        <v>0</v>
      </c>
    </row>
    <row r="3133" spans="1:7" ht="13" x14ac:dyDescent="0.15">
      <c r="A3133" s="2">
        <v>4718304</v>
      </c>
      <c r="B3133" s="12" t="s">
        <v>10186</v>
      </c>
      <c r="C3133">
        <v>1</v>
      </c>
      <c r="D3133">
        <v>0</v>
      </c>
      <c r="E3133">
        <v>0</v>
      </c>
      <c r="F3133">
        <v>0</v>
      </c>
      <c r="G3133">
        <v>0</v>
      </c>
    </row>
    <row r="3134" spans="1:7" ht="13" x14ac:dyDescent="0.15">
      <c r="A3134" s="2">
        <v>118437</v>
      </c>
      <c r="B3134" s="12" t="s">
        <v>10187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ht="13" x14ac:dyDescent="0.15">
      <c r="A3135" s="2">
        <v>115320</v>
      </c>
      <c r="B3135" s="12" t="s">
        <v>10188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ht="13" x14ac:dyDescent="0.15">
      <c r="A3136" s="2">
        <v>2495476</v>
      </c>
      <c r="B3136" s="12" t="s">
        <v>10189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ht="13" x14ac:dyDescent="0.15">
      <c r="A3137" s="2">
        <v>8373190</v>
      </c>
      <c r="B3137" s="12" t="s">
        <v>10190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ht="13" x14ac:dyDescent="0.15">
      <c r="A3138" s="2">
        <v>293737</v>
      </c>
      <c r="B3138" s="12" t="s">
        <v>10191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ht="13" x14ac:dyDescent="0.15">
      <c r="A3139" s="2">
        <v>5675620</v>
      </c>
      <c r="B3139" s="12" t="s">
        <v>10192</v>
      </c>
      <c r="C3139">
        <v>1</v>
      </c>
      <c r="D3139">
        <v>1</v>
      </c>
      <c r="E3139">
        <v>0</v>
      </c>
      <c r="F3139">
        <v>1</v>
      </c>
      <c r="G3139">
        <v>0</v>
      </c>
    </row>
    <row r="3140" spans="1:7" ht="13" x14ac:dyDescent="0.15">
      <c r="A3140" s="2">
        <v>6110648</v>
      </c>
      <c r="B3140" s="12" t="s">
        <v>10193</v>
      </c>
      <c r="C3140">
        <v>1</v>
      </c>
      <c r="D3140">
        <v>0</v>
      </c>
      <c r="E3140">
        <v>0</v>
      </c>
      <c r="F3140">
        <v>1</v>
      </c>
      <c r="G3140">
        <v>0</v>
      </c>
    </row>
    <row r="3141" spans="1:7" ht="13" x14ac:dyDescent="0.15">
      <c r="A3141" s="2">
        <v>179042</v>
      </c>
      <c r="B3141" s="12" t="s">
        <v>10194</v>
      </c>
      <c r="C3141">
        <v>0</v>
      </c>
      <c r="D3141">
        <v>0</v>
      </c>
      <c r="E3141">
        <v>0</v>
      </c>
      <c r="F3141">
        <v>0</v>
      </c>
      <c r="G3141">
        <v>0</v>
      </c>
    </row>
    <row r="3142" spans="1:7" ht="13" x14ac:dyDescent="0.15">
      <c r="A3142" s="2">
        <v>2933118</v>
      </c>
      <c r="B3142" s="12" t="s">
        <v>10195</v>
      </c>
      <c r="C3142">
        <v>0</v>
      </c>
      <c r="D3142">
        <v>0</v>
      </c>
      <c r="E3142">
        <v>0</v>
      </c>
      <c r="F3142">
        <v>0</v>
      </c>
      <c r="G3142">
        <v>0</v>
      </c>
    </row>
    <row r="3143" spans="1:7" ht="13" x14ac:dyDescent="0.15">
      <c r="A3143" s="2">
        <v>188357</v>
      </c>
      <c r="B3143" s="12" t="s">
        <v>10196</v>
      </c>
      <c r="C3143">
        <v>0</v>
      </c>
      <c r="D3143">
        <v>0</v>
      </c>
      <c r="E3143">
        <v>0</v>
      </c>
      <c r="F3143">
        <v>0</v>
      </c>
      <c r="G3143">
        <v>0</v>
      </c>
    </row>
    <row r="3144" spans="1:7" ht="13" x14ac:dyDescent="0.15">
      <c r="A3144" s="2">
        <v>6656238</v>
      </c>
      <c r="B3144" s="12" t="s">
        <v>10197</v>
      </c>
      <c r="C3144">
        <v>0</v>
      </c>
      <c r="D3144">
        <v>0</v>
      </c>
      <c r="E3144">
        <v>0</v>
      </c>
      <c r="F3144">
        <v>0</v>
      </c>
      <c r="G3144">
        <v>0</v>
      </c>
    </row>
    <row r="3145" spans="1:7" ht="13" x14ac:dyDescent="0.15">
      <c r="A3145" s="2">
        <v>115226</v>
      </c>
      <c r="B3145" s="12" t="s">
        <v>10198</v>
      </c>
      <c r="C3145">
        <v>0</v>
      </c>
      <c r="D3145">
        <v>1</v>
      </c>
      <c r="E3145">
        <v>0</v>
      </c>
      <c r="F3145">
        <v>0</v>
      </c>
      <c r="G3145">
        <v>0</v>
      </c>
    </row>
    <row r="3146" spans="1:7" ht="13" x14ac:dyDescent="0.15">
      <c r="A3146" s="2">
        <v>90506</v>
      </c>
      <c r="B3146" s="12" t="s">
        <v>10199</v>
      </c>
      <c r="C3146">
        <v>0</v>
      </c>
      <c r="D3146">
        <v>0</v>
      </c>
      <c r="E3146">
        <v>0</v>
      </c>
      <c r="F3146">
        <v>1</v>
      </c>
      <c r="G3146">
        <v>0</v>
      </c>
    </row>
    <row r="3147" spans="1:7" ht="13" x14ac:dyDescent="0.15">
      <c r="A3147" s="2">
        <v>1252370</v>
      </c>
      <c r="B3147" s="12" t="s">
        <v>10200</v>
      </c>
      <c r="C3147">
        <v>1</v>
      </c>
      <c r="D3147">
        <v>0</v>
      </c>
      <c r="E3147">
        <v>0</v>
      </c>
      <c r="F3147">
        <v>0</v>
      </c>
      <c r="G3147">
        <v>0</v>
      </c>
    </row>
    <row r="3148" spans="1:7" ht="13" x14ac:dyDescent="0.15">
      <c r="A3148" s="2">
        <v>1720601</v>
      </c>
      <c r="B3148" s="12" t="s">
        <v>10201</v>
      </c>
      <c r="C3148">
        <v>1</v>
      </c>
      <c r="D3148">
        <v>0</v>
      </c>
      <c r="E3148">
        <v>0</v>
      </c>
      <c r="F3148">
        <v>0</v>
      </c>
      <c r="G3148">
        <v>0</v>
      </c>
    </row>
    <row r="3149" spans="1:7" ht="13" x14ac:dyDescent="0.15">
      <c r="A3149" s="2">
        <v>1411598</v>
      </c>
      <c r="B3149" s="12" t="s">
        <v>10202</v>
      </c>
      <c r="C3149">
        <v>1</v>
      </c>
      <c r="D3149">
        <v>0</v>
      </c>
      <c r="E3149">
        <v>0</v>
      </c>
      <c r="F3149">
        <v>0</v>
      </c>
      <c r="G3149">
        <v>0</v>
      </c>
    </row>
    <row r="3150" spans="1:7" ht="13" x14ac:dyDescent="0.15">
      <c r="A3150" s="2">
        <v>1191056</v>
      </c>
      <c r="B3150" s="12" t="s">
        <v>10203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ht="13" x14ac:dyDescent="0.15">
      <c r="A3151" s="2">
        <v>791615</v>
      </c>
      <c r="B3151" s="12" t="s">
        <v>10204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ht="13" x14ac:dyDescent="0.15">
      <c r="A3152" s="2">
        <v>1561756</v>
      </c>
      <c r="B3152" s="12" t="s">
        <v>10205</v>
      </c>
      <c r="C3152">
        <v>0</v>
      </c>
      <c r="D3152">
        <v>0</v>
      </c>
      <c r="E3152">
        <v>0</v>
      </c>
      <c r="F3152">
        <v>0</v>
      </c>
      <c r="G3152">
        <v>0</v>
      </c>
    </row>
    <row r="3153" spans="1:7" ht="13" x14ac:dyDescent="0.15">
      <c r="A3153" s="2">
        <v>6819600</v>
      </c>
      <c r="B3153" s="14" t="s">
        <v>10206</v>
      </c>
      <c r="C3153">
        <v>0</v>
      </c>
      <c r="D3153">
        <v>0</v>
      </c>
      <c r="E3153">
        <v>0</v>
      </c>
      <c r="F3153">
        <v>0</v>
      </c>
      <c r="G3153">
        <v>0</v>
      </c>
    </row>
    <row r="3154" spans="1:7" ht="13" x14ac:dyDescent="0.15">
      <c r="A3154" s="2">
        <v>101177</v>
      </c>
      <c r="B3154" s="12" t="s">
        <v>10207</v>
      </c>
      <c r="C3154">
        <v>0</v>
      </c>
      <c r="D3154">
        <v>0</v>
      </c>
      <c r="E3154">
        <v>0</v>
      </c>
      <c r="F3154">
        <v>0</v>
      </c>
      <c r="G3154">
        <v>0</v>
      </c>
    </row>
    <row r="3155" spans="1:7" ht="13" x14ac:dyDescent="0.15">
      <c r="A3155" s="2">
        <v>101178</v>
      </c>
      <c r="B3155" s="12" t="s">
        <v>10208</v>
      </c>
      <c r="C3155">
        <v>0</v>
      </c>
      <c r="D3155">
        <v>0</v>
      </c>
      <c r="E3155">
        <v>0</v>
      </c>
      <c r="F3155">
        <v>0</v>
      </c>
      <c r="G3155">
        <v>0</v>
      </c>
    </row>
    <row r="3156" spans="1:7" ht="13" x14ac:dyDescent="0.15">
      <c r="A3156" s="2">
        <v>1539466</v>
      </c>
      <c r="B3156" s="12" t="s">
        <v>10209</v>
      </c>
      <c r="C3156">
        <v>0</v>
      </c>
      <c r="D3156">
        <v>0</v>
      </c>
      <c r="E3156">
        <v>0</v>
      </c>
      <c r="F3156">
        <v>0</v>
      </c>
      <c r="G3156">
        <v>0</v>
      </c>
    </row>
    <row r="3157" spans="1:7" ht="13" x14ac:dyDescent="0.15">
      <c r="A3157" s="2">
        <v>496343</v>
      </c>
      <c r="B3157" s="12" t="s">
        <v>10210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ht="13" x14ac:dyDescent="0.15">
      <c r="A3158" s="2">
        <v>396347</v>
      </c>
      <c r="B3158" s="12" t="s">
        <v>10211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ht="13" x14ac:dyDescent="0.15">
      <c r="A3159" s="2">
        <v>8634332</v>
      </c>
      <c r="B3159" s="12" t="s">
        <v>10212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ht="13" x14ac:dyDescent="0.15">
      <c r="A3160" s="2">
        <v>6599482</v>
      </c>
      <c r="B3160" s="12" t="s">
        <v>10213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ht="13" x14ac:dyDescent="0.15">
      <c r="A3161" s="2">
        <v>1478217</v>
      </c>
      <c r="B3161" s="12" t="s">
        <v>10214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ht="13" x14ac:dyDescent="0.15">
      <c r="A3162" s="2">
        <v>7587890</v>
      </c>
      <c r="B3162" s="12" t="s">
        <v>10215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ht="13" x14ac:dyDescent="0.15">
      <c r="A3163" s="2">
        <v>129711</v>
      </c>
      <c r="B3163" s="12" t="s">
        <v>10216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ht="13" x14ac:dyDescent="0.15">
      <c r="A3164" s="2">
        <v>5424556</v>
      </c>
      <c r="B3164" s="12" t="s">
        <v>10217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ht="13" x14ac:dyDescent="0.15">
      <c r="A3165" s="2">
        <v>821375</v>
      </c>
      <c r="B3165" s="12" t="s">
        <v>10218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ht="13" x14ac:dyDescent="0.15">
      <c r="A3166" s="2">
        <v>236923</v>
      </c>
      <c r="B3166" s="12" t="s">
        <v>10219</v>
      </c>
      <c r="C3166">
        <v>0</v>
      </c>
      <c r="D3166">
        <v>1</v>
      </c>
      <c r="E3166">
        <v>0</v>
      </c>
      <c r="F3166">
        <v>0</v>
      </c>
      <c r="G3166">
        <v>0</v>
      </c>
    </row>
    <row r="3167" spans="1:7" ht="13" x14ac:dyDescent="0.15">
      <c r="A3167" s="2">
        <v>182408</v>
      </c>
      <c r="B3167" s="12" t="s">
        <v>10220</v>
      </c>
      <c r="C3167">
        <v>0</v>
      </c>
      <c r="D3167">
        <v>1</v>
      </c>
      <c r="E3167">
        <v>0</v>
      </c>
      <c r="F3167">
        <v>0</v>
      </c>
      <c r="G3167">
        <v>0</v>
      </c>
    </row>
    <row r="3168" spans="1:7" ht="13" x14ac:dyDescent="0.15">
      <c r="A3168" s="2">
        <v>10873636</v>
      </c>
      <c r="B3168" s="12" t="s">
        <v>10221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ht="13" x14ac:dyDescent="0.15">
      <c r="A3169" s="2">
        <v>348999</v>
      </c>
      <c r="B3169" s="12" t="s">
        <v>10222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ht="13" x14ac:dyDescent="0.15">
      <c r="A3170" s="2">
        <v>178161</v>
      </c>
      <c r="B3170" s="12" t="s">
        <v>10223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ht="13" x14ac:dyDescent="0.15">
      <c r="A3171" s="2">
        <v>1837654</v>
      </c>
      <c r="B3171" s="12" t="s">
        <v>10224</v>
      </c>
      <c r="C3171">
        <v>0</v>
      </c>
      <c r="D3171">
        <v>1</v>
      </c>
      <c r="E3171">
        <v>0</v>
      </c>
      <c r="F3171">
        <v>0</v>
      </c>
      <c r="G3171">
        <v>0</v>
      </c>
    </row>
    <row r="3172" spans="1:7" ht="13" x14ac:dyDescent="0.15">
      <c r="A3172" s="2">
        <v>1179817</v>
      </c>
      <c r="B3172" s="12" t="s">
        <v>10225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ht="13" x14ac:dyDescent="0.15">
      <c r="A3173" s="2">
        <v>108921</v>
      </c>
      <c r="B3173" s="12" t="s">
        <v>10226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ht="13" x14ac:dyDescent="0.15">
      <c r="A3174" s="2">
        <v>1051220</v>
      </c>
      <c r="B3174" s="12" t="s">
        <v>10227</v>
      </c>
      <c r="C3174">
        <v>0</v>
      </c>
      <c r="D3174">
        <v>1</v>
      </c>
      <c r="E3174">
        <v>0</v>
      </c>
      <c r="F3174">
        <v>0</v>
      </c>
      <c r="G3174">
        <v>0</v>
      </c>
    </row>
    <row r="3175" spans="1:7" ht="13" x14ac:dyDescent="0.15">
      <c r="A3175" s="2">
        <v>466622</v>
      </c>
      <c r="B3175" s="12" t="s">
        <v>10228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ht="13" x14ac:dyDescent="0.15">
      <c r="A3176" s="2">
        <v>98912</v>
      </c>
      <c r="B3176" s="12" t="s">
        <v>10229</v>
      </c>
      <c r="C3176">
        <v>0</v>
      </c>
      <c r="D3176">
        <v>1</v>
      </c>
      <c r="E3176">
        <v>0</v>
      </c>
      <c r="F3176">
        <v>0</v>
      </c>
      <c r="G3176">
        <v>0</v>
      </c>
    </row>
    <row r="3177" spans="1:7" ht="13" x14ac:dyDescent="0.15">
      <c r="A3177" s="2">
        <v>362153</v>
      </c>
      <c r="B3177" s="12" t="s">
        <v>10230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ht="13" x14ac:dyDescent="0.15">
      <c r="A3178" s="2">
        <v>96697</v>
      </c>
      <c r="B3178" s="12" t="s">
        <v>10231</v>
      </c>
      <c r="C3178">
        <v>1</v>
      </c>
      <c r="D3178">
        <v>0</v>
      </c>
      <c r="E3178">
        <v>1</v>
      </c>
      <c r="F3178">
        <v>0</v>
      </c>
      <c r="G3178">
        <v>0</v>
      </c>
    </row>
    <row r="3179" spans="1:7" ht="13" x14ac:dyDescent="0.15">
      <c r="A3179" s="2">
        <v>4699638</v>
      </c>
      <c r="B3179" s="12" t="s">
        <v>10232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ht="13" x14ac:dyDescent="0.15">
      <c r="A3180" s="2">
        <v>6048596</v>
      </c>
      <c r="B3180" s="12" t="s">
        <v>10233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ht="13" x14ac:dyDescent="0.15">
      <c r="A3181" s="2">
        <v>3268200</v>
      </c>
      <c r="B3181" s="12" t="s">
        <v>10234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ht="13" x14ac:dyDescent="0.15">
      <c r="A3182" s="2">
        <v>81933</v>
      </c>
      <c r="B3182" s="12" t="s">
        <v>10235</v>
      </c>
      <c r="C3182">
        <v>0</v>
      </c>
      <c r="D3182">
        <v>1</v>
      </c>
      <c r="E3182">
        <v>0</v>
      </c>
      <c r="F3182">
        <v>0</v>
      </c>
      <c r="G3182">
        <v>0</v>
      </c>
    </row>
    <row r="3183" spans="1:7" ht="13" x14ac:dyDescent="0.15">
      <c r="A3183" s="2">
        <v>8778064</v>
      </c>
      <c r="B3183" s="12" t="s">
        <v>10236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ht="13" x14ac:dyDescent="0.15">
      <c r="A3184" s="2">
        <v>3839822</v>
      </c>
      <c r="B3184" s="12" t="s">
        <v>10237</v>
      </c>
      <c r="C3184">
        <v>0</v>
      </c>
      <c r="D3184">
        <v>1</v>
      </c>
      <c r="E3184">
        <v>0</v>
      </c>
      <c r="F3184">
        <v>0</v>
      </c>
      <c r="G3184">
        <v>0</v>
      </c>
    </row>
    <row r="3185" spans="1:7" ht="13" x14ac:dyDescent="0.15">
      <c r="A3185" s="2">
        <v>141842</v>
      </c>
      <c r="B3185" s="12" t="s">
        <v>10238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ht="13" x14ac:dyDescent="0.15">
      <c r="A3186" s="2">
        <v>976192</v>
      </c>
      <c r="B3186" s="12" t="s">
        <v>10239</v>
      </c>
      <c r="C3186">
        <v>0</v>
      </c>
      <c r="D3186">
        <v>1</v>
      </c>
      <c r="E3186">
        <v>0</v>
      </c>
      <c r="F3186">
        <v>0</v>
      </c>
      <c r="G3186">
        <v>0</v>
      </c>
    </row>
    <row r="3187" spans="1:7" ht="13" x14ac:dyDescent="0.15">
      <c r="A3187" s="2">
        <v>388644</v>
      </c>
      <c r="B3187" s="12" t="s">
        <v>10240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ht="13" x14ac:dyDescent="0.15">
      <c r="A3188" s="2">
        <v>7107518</v>
      </c>
      <c r="B3188" s="12" t="s">
        <v>10241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ht="13" x14ac:dyDescent="0.15">
      <c r="A3189" s="2">
        <v>4572018</v>
      </c>
      <c r="B3189" s="12" t="s">
        <v>10242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ht="13" x14ac:dyDescent="0.15">
      <c r="A3190" s="2">
        <v>130421</v>
      </c>
      <c r="B3190" s="12" t="s">
        <v>10243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ht="13" x14ac:dyDescent="0.15">
      <c r="A3191" s="2">
        <v>2654620</v>
      </c>
      <c r="B3191" s="12" t="s">
        <v>10244</v>
      </c>
      <c r="C3191">
        <v>0</v>
      </c>
      <c r="D3191">
        <v>1</v>
      </c>
      <c r="E3191">
        <v>0</v>
      </c>
      <c r="F3191">
        <v>0</v>
      </c>
      <c r="G3191">
        <v>0</v>
      </c>
    </row>
    <row r="3192" spans="1:7" ht="13" x14ac:dyDescent="0.15">
      <c r="A3192" s="2">
        <v>5859182</v>
      </c>
      <c r="B3192" s="12" t="s">
        <v>10245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ht="13" x14ac:dyDescent="0.15">
      <c r="A3193" s="2">
        <v>426371</v>
      </c>
      <c r="B3193" s="12" t="s">
        <v>10246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ht="13" x14ac:dyDescent="0.15">
      <c r="A3194" s="2">
        <v>1388589</v>
      </c>
      <c r="B3194" s="12" t="s">
        <v>10247</v>
      </c>
      <c r="C3194">
        <v>0</v>
      </c>
      <c r="D3194">
        <v>1</v>
      </c>
      <c r="E3194">
        <v>0</v>
      </c>
      <c r="F3194">
        <v>0</v>
      </c>
      <c r="G3194">
        <v>0</v>
      </c>
    </row>
    <row r="3195" spans="1:7" ht="13" x14ac:dyDescent="0.15">
      <c r="A3195" s="2">
        <v>88619</v>
      </c>
      <c r="B3195" s="14" t="s">
        <v>10248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ht="13" x14ac:dyDescent="0.15">
      <c r="A3196" s="2">
        <v>3713822</v>
      </c>
      <c r="B3196" s="12" t="s">
        <v>10249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ht="13" x14ac:dyDescent="0.15">
      <c r="A3197" s="2">
        <v>112186</v>
      </c>
      <c r="B3197" s="12" t="s">
        <v>10250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ht="13" x14ac:dyDescent="0.15">
      <c r="A3198" s="2">
        <v>2299141</v>
      </c>
      <c r="B3198" s="12" t="s">
        <v>10251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ht="13" x14ac:dyDescent="0.15">
      <c r="A3199" s="2">
        <v>6154790</v>
      </c>
      <c r="B3199" s="12" t="s">
        <v>10252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ht="13" x14ac:dyDescent="0.15">
      <c r="A3200" s="2">
        <v>2708480</v>
      </c>
      <c r="B3200" s="12" t="s">
        <v>10253</v>
      </c>
      <c r="C3200">
        <v>0</v>
      </c>
      <c r="D3200">
        <v>1</v>
      </c>
      <c r="E3200">
        <v>0</v>
      </c>
      <c r="F3200">
        <v>0</v>
      </c>
      <c r="G3200">
        <v>0</v>
      </c>
    </row>
    <row r="3201" spans="1:7" ht="13" x14ac:dyDescent="0.15">
      <c r="A3201" s="2">
        <v>5110420</v>
      </c>
      <c r="B3201" s="12" t="s">
        <v>10254</v>
      </c>
      <c r="C3201">
        <v>0</v>
      </c>
      <c r="D3201">
        <v>1</v>
      </c>
      <c r="E3201">
        <v>0</v>
      </c>
      <c r="F3201">
        <v>0</v>
      </c>
      <c r="G3201">
        <v>0</v>
      </c>
    </row>
    <row r="3202" spans="1:7" ht="13" x14ac:dyDescent="0.15">
      <c r="A3202" s="2">
        <v>5540054</v>
      </c>
      <c r="B3202" s="12" t="s">
        <v>10255</v>
      </c>
      <c r="C3202">
        <v>1</v>
      </c>
      <c r="D3202">
        <v>1</v>
      </c>
      <c r="E3202">
        <v>0</v>
      </c>
      <c r="F3202">
        <v>0</v>
      </c>
      <c r="G3202">
        <v>0</v>
      </c>
    </row>
    <row r="3203" spans="1:7" ht="13" x14ac:dyDescent="0.15">
      <c r="A3203" s="2">
        <v>1864750</v>
      </c>
      <c r="B3203" s="12" t="s">
        <v>10256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ht="13" x14ac:dyDescent="0.15">
      <c r="A3204" s="2">
        <v>7967262</v>
      </c>
      <c r="B3204" s="12" t="s">
        <v>10257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ht="13" x14ac:dyDescent="0.15">
      <c r="A3205" s="2">
        <v>3559124</v>
      </c>
      <c r="B3205" s="12" t="s">
        <v>10258</v>
      </c>
      <c r="C3205">
        <v>1</v>
      </c>
      <c r="D3205">
        <v>0</v>
      </c>
      <c r="E3205">
        <v>0</v>
      </c>
      <c r="F3205">
        <v>0</v>
      </c>
      <c r="G3205">
        <v>0</v>
      </c>
    </row>
    <row r="3206" spans="1:7" ht="13" x14ac:dyDescent="0.15">
      <c r="A3206" s="2">
        <v>2660734</v>
      </c>
      <c r="B3206" s="12" t="s">
        <v>10259</v>
      </c>
      <c r="C3206">
        <v>1</v>
      </c>
      <c r="D3206">
        <v>0</v>
      </c>
      <c r="E3206">
        <v>0</v>
      </c>
      <c r="F3206">
        <v>0</v>
      </c>
      <c r="G3206">
        <v>0</v>
      </c>
    </row>
    <row r="3207" spans="1:7" ht="13" x14ac:dyDescent="0.15">
      <c r="A3207" s="2">
        <v>101223</v>
      </c>
      <c r="B3207" s="12" t="s">
        <v>10260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ht="13" x14ac:dyDescent="0.15">
      <c r="A3208" s="2">
        <v>1216050</v>
      </c>
      <c r="B3208" s="12" t="s">
        <v>10261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ht="13" x14ac:dyDescent="0.15">
      <c r="A3209" s="2">
        <v>6392176</v>
      </c>
      <c r="B3209" s="12" t="s">
        <v>10262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ht="13" x14ac:dyDescent="0.15">
      <c r="A3210" s="2">
        <v>7053920</v>
      </c>
      <c r="B3210" s="12" t="s">
        <v>10263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ht="13" x14ac:dyDescent="0.15">
      <c r="A3211" s="2">
        <v>86817</v>
      </c>
      <c r="B3211" s="12" t="s">
        <v>10264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ht="13" x14ac:dyDescent="0.15">
      <c r="A3212" s="2">
        <v>395413</v>
      </c>
      <c r="B3212" s="12" t="s">
        <v>10265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ht="13" x14ac:dyDescent="0.15">
      <c r="A3213" s="2">
        <v>274988</v>
      </c>
      <c r="B3213" s="12" t="s">
        <v>10266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ht="13" x14ac:dyDescent="0.15">
      <c r="A3214" s="2">
        <v>86818</v>
      </c>
      <c r="B3214" s="12" t="s">
        <v>10267</v>
      </c>
      <c r="C3214">
        <v>0</v>
      </c>
      <c r="D3214">
        <v>1</v>
      </c>
      <c r="E3214">
        <v>0</v>
      </c>
      <c r="F3214">
        <v>0</v>
      </c>
      <c r="G3214">
        <v>0</v>
      </c>
    </row>
    <row r="3215" spans="1:7" ht="13" x14ac:dyDescent="0.15">
      <c r="A3215" s="2">
        <v>7557336</v>
      </c>
      <c r="B3215" s="12" t="s">
        <v>10268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ht="13" x14ac:dyDescent="0.15">
      <c r="A3216" s="2">
        <v>9134942</v>
      </c>
      <c r="B3216" s="12" t="s">
        <v>10269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ht="13" x14ac:dyDescent="0.15">
      <c r="A3217" s="2">
        <v>758790</v>
      </c>
      <c r="B3217" s="12" t="s">
        <v>10270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ht="13" x14ac:dyDescent="0.15">
      <c r="A3218" s="2">
        <v>2583620</v>
      </c>
      <c r="B3218" s="12" t="s">
        <v>10271</v>
      </c>
      <c r="C3218">
        <v>1</v>
      </c>
      <c r="D3218">
        <v>0</v>
      </c>
      <c r="E3218">
        <v>0</v>
      </c>
      <c r="F3218">
        <v>0</v>
      </c>
      <c r="G3218">
        <v>1</v>
      </c>
    </row>
    <row r="3219" spans="1:7" ht="13" x14ac:dyDescent="0.15">
      <c r="A3219" s="2">
        <v>6420556</v>
      </c>
      <c r="B3219" s="12" t="s">
        <v>10272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ht="13" x14ac:dyDescent="0.15">
      <c r="A3220" s="2">
        <v>5150328</v>
      </c>
      <c r="B3220" s="12" t="s">
        <v>10273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ht="13" x14ac:dyDescent="0.15">
      <c r="A3221" s="2">
        <v>445912</v>
      </c>
      <c r="B3221" s="12" t="s">
        <v>10274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ht="13" x14ac:dyDescent="0.15">
      <c r="A3222" s="2">
        <v>1312171</v>
      </c>
      <c r="B3222" s="12" t="s">
        <v>10275</v>
      </c>
      <c r="C3222">
        <v>0</v>
      </c>
      <c r="D3222">
        <v>1</v>
      </c>
      <c r="E3222">
        <v>0</v>
      </c>
      <c r="F3222">
        <v>0</v>
      </c>
      <c r="G3222">
        <v>0</v>
      </c>
    </row>
    <row r="3223" spans="1:7" ht="13" x14ac:dyDescent="0.15">
      <c r="A3223" s="2">
        <v>10329028</v>
      </c>
      <c r="B3223" s="12" t="s">
        <v>10276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ht="13" x14ac:dyDescent="0.15">
      <c r="A3224" s="2">
        <v>1051155</v>
      </c>
      <c r="B3224" s="12" t="s">
        <v>10277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ht="13" x14ac:dyDescent="0.15">
      <c r="A3225" s="2">
        <v>106165</v>
      </c>
      <c r="B3225" s="12" t="s">
        <v>10278</v>
      </c>
      <c r="C3225">
        <v>1</v>
      </c>
      <c r="D3225">
        <v>1</v>
      </c>
      <c r="E3225">
        <v>0</v>
      </c>
      <c r="F3225">
        <v>1</v>
      </c>
      <c r="G3225">
        <v>0</v>
      </c>
    </row>
    <row r="3226" spans="1:7" ht="13" x14ac:dyDescent="0.15">
      <c r="A3226" s="2">
        <v>108458</v>
      </c>
      <c r="B3226" s="12" t="s">
        <v>10279</v>
      </c>
      <c r="C3226">
        <v>0</v>
      </c>
      <c r="D3226">
        <v>0</v>
      </c>
      <c r="E3226">
        <v>0</v>
      </c>
      <c r="F3226">
        <v>0</v>
      </c>
      <c r="G3226">
        <v>0</v>
      </c>
    </row>
    <row r="3227" spans="1:7" ht="13" x14ac:dyDescent="0.15">
      <c r="A3227" s="2">
        <v>1405406</v>
      </c>
      <c r="B3227" s="12" t="s">
        <v>10280</v>
      </c>
      <c r="C3227">
        <v>0</v>
      </c>
      <c r="D3227">
        <v>1</v>
      </c>
      <c r="E3227">
        <v>0</v>
      </c>
      <c r="F3227">
        <v>0</v>
      </c>
      <c r="G3227">
        <v>0</v>
      </c>
    </row>
    <row r="3228" spans="1:7" ht="13" x14ac:dyDescent="0.15">
      <c r="A3228" s="2">
        <v>417373</v>
      </c>
      <c r="B3228" s="12" t="s">
        <v>10281</v>
      </c>
      <c r="C3228">
        <v>0</v>
      </c>
      <c r="D3228">
        <v>0</v>
      </c>
      <c r="E3228">
        <v>0</v>
      </c>
      <c r="F3228">
        <v>0</v>
      </c>
      <c r="G3228">
        <v>0</v>
      </c>
    </row>
    <row r="3229" spans="1:7" ht="13" x14ac:dyDescent="0.15">
      <c r="A3229" s="2">
        <v>108981</v>
      </c>
      <c r="B3229" s="12" t="s">
        <v>10282</v>
      </c>
      <c r="C3229">
        <v>0</v>
      </c>
      <c r="D3229">
        <v>0</v>
      </c>
      <c r="E3229">
        <v>0</v>
      </c>
      <c r="F3229">
        <v>0</v>
      </c>
      <c r="G3229">
        <v>0</v>
      </c>
    </row>
    <row r="3230" spans="1:7" ht="13" x14ac:dyDescent="0.15">
      <c r="A3230" s="2">
        <v>182648</v>
      </c>
      <c r="B3230" s="12" t="s">
        <v>10283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ht="13" x14ac:dyDescent="0.15">
      <c r="A3231" s="2">
        <v>370223</v>
      </c>
      <c r="B3231" s="12" t="s">
        <v>10284</v>
      </c>
      <c r="C3231">
        <v>0</v>
      </c>
      <c r="D3231">
        <v>0</v>
      </c>
      <c r="E3231">
        <v>0</v>
      </c>
      <c r="F3231">
        <v>0</v>
      </c>
      <c r="G3231">
        <v>0</v>
      </c>
    </row>
    <row r="3232" spans="1:7" ht="13" x14ac:dyDescent="0.15">
      <c r="A3232" s="2">
        <v>2394340</v>
      </c>
      <c r="B3232" s="12" t="s">
        <v>10285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ht="13" x14ac:dyDescent="0.15">
      <c r="A3233" s="2">
        <v>165019</v>
      </c>
      <c r="B3233" s="12" t="s">
        <v>10286</v>
      </c>
      <c r="C3233">
        <v>0</v>
      </c>
      <c r="D3233">
        <v>0</v>
      </c>
      <c r="E3233">
        <v>0</v>
      </c>
      <c r="F3233">
        <v>0</v>
      </c>
      <c r="G3233">
        <v>0</v>
      </c>
    </row>
    <row r="3234" spans="1:7" ht="13" x14ac:dyDescent="0.15">
      <c r="A3234" s="2">
        <v>1839337</v>
      </c>
      <c r="B3234" s="12" t="s">
        <v>10287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ht="13" x14ac:dyDescent="0.15">
      <c r="A3235" s="2">
        <v>1520211</v>
      </c>
      <c r="B3235" s="12" t="s">
        <v>10288</v>
      </c>
      <c r="C3235">
        <v>0</v>
      </c>
      <c r="D3235">
        <v>1</v>
      </c>
      <c r="E3235">
        <v>0</v>
      </c>
      <c r="F3235">
        <v>0</v>
      </c>
      <c r="G3235">
        <v>0</v>
      </c>
    </row>
    <row r="3236" spans="1:7" ht="13" x14ac:dyDescent="0.15">
      <c r="A3236" s="2">
        <v>460692</v>
      </c>
      <c r="B3236" s="12" t="s">
        <v>10289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ht="13" x14ac:dyDescent="0.15">
      <c r="A3237" s="2">
        <v>8797624</v>
      </c>
      <c r="B3237" s="12" t="s">
        <v>10290</v>
      </c>
      <c r="C3237">
        <v>0</v>
      </c>
      <c r="D3237">
        <v>0</v>
      </c>
      <c r="E3237">
        <v>0</v>
      </c>
      <c r="F3237">
        <v>0</v>
      </c>
      <c r="G3237">
        <v>0</v>
      </c>
    </row>
    <row r="3238" spans="1:7" ht="13" x14ac:dyDescent="0.15">
      <c r="A3238" s="2">
        <v>112220</v>
      </c>
      <c r="B3238" s="12" t="s">
        <v>10291</v>
      </c>
      <c r="C3238">
        <v>0</v>
      </c>
      <c r="D3238">
        <v>0</v>
      </c>
      <c r="E3238">
        <v>0</v>
      </c>
      <c r="F3238">
        <v>0</v>
      </c>
      <c r="G3238">
        <v>1</v>
      </c>
    </row>
    <row r="3239" spans="1:7" ht="13" x14ac:dyDescent="0.15">
      <c r="A3239" s="2">
        <v>200276</v>
      </c>
      <c r="B3239" s="12" t="s">
        <v>10292</v>
      </c>
      <c r="C3239">
        <v>0</v>
      </c>
      <c r="D3239">
        <v>0</v>
      </c>
      <c r="E3239">
        <v>0</v>
      </c>
      <c r="F3239">
        <v>0</v>
      </c>
      <c r="G3239">
        <v>0</v>
      </c>
    </row>
    <row r="3240" spans="1:7" ht="13" x14ac:dyDescent="0.15">
      <c r="A3240" s="2">
        <v>5458128</v>
      </c>
      <c r="B3240" s="12" t="s">
        <v>10293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ht="13" x14ac:dyDescent="0.15">
      <c r="A3241" s="2">
        <v>840979</v>
      </c>
      <c r="B3241" s="12" t="s">
        <v>10294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ht="13" x14ac:dyDescent="0.15">
      <c r="A3242" s="2">
        <v>7459986</v>
      </c>
      <c r="B3242" s="12" t="s">
        <v>10295</v>
      </c>
      <c r="C3242">
        <v>0</v>
      </c>
      <c r="D3242">
        <v>0</v>
      </c>
      <c r="E3242">
        <v>0</v>
      </c>
      <c r="F3242">
        <v>0</v>
      </c>
      <c r="G3242">
        <v>0</v>
      </c>
    </row>
    <row r="3243" spans="1:7" ht="13" x14ac:dyDescent="0.15">
      <c r="A3243" s="2">
        <v>167743</v>
      </c>
      <c r="B3243" s="12" t="s">
        <v>10296</v>
      </c>
      <c r="C3243">
        <v>0</v>
      </c>
      <c r="D3243">
        <v>1</v>
      </c>
      <c r="E3243">
        <v>0</v>
      </c>
      <c r="F3243">
        <v>0</v>
      </c>
      <c r="G3243">
        <v>0</v>
      </c>
    </row>
    <row r="3244" spans="1:7" ht="13" x14ac:dyDescent="0.15">
      <c r="A3244" s="2">
        <v>9520716</v>
      </c>
      <c r="B3244" s="12" t="s">
        <v>10297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ht="13" x14ac:dyDescent="0.15">
      <c r="A3245" s="2">
        <v>164306</v>
      </c>
      <c r="B3245" s="12" t="s">
        <v>10298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ht="13" x14ac:dyDescent="0.15">
      <c r="A3246" s="2">
        <v>2341735</v>
      </c>
      <c r="B3246" s="12" t="s">
        <v>10299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ht="13" x14ac:dyDescent="0.15">
      <c r="A3247" s="2">
        <v>306414</v>
      </c>
      <c r="B3247" s="12" t="s">
        <v>10300</v>
      </c>
      <c r="C3247">
        <v>0</v>
      </c>
      <c r="D3247">
        <v>0</v>
      </c>
      <c r="E3247">
        <v>0</v>
      </c>
      <c r="F3247">
        <v>0</v>
      </c>
      <c r="G3247">
        <v>1</v>
      </c>
    </row>
    <row r="3248" spans="1:7" ht="13" x14ac:dyDescent="0.15">
      <c r="A3248" s="2">
        <v>5180504</v>
      </c>
      <c r="B3248" s="12" t="s">
        <v>10301</v>
      </c>
      <c r="C3248">
        <v>0</v>
      </c>
      <c r="D3248">
        <v>1</v>
      </c>
      <c r="E3248">
        <v>0</v>
      </c>
      <c r="F3248">
        <v>0</v>
      </c>
      <c r="G3248">
        <v>0</v>
      </c>
    </row>
    <row r="3249" spans="1:7" ht="13" x14ac:dyDescent="0.15">
      <c r="A3249" s="2">
        <v>98950</v>
      </c>
      <c r="B3249" s="12" t="s">
        <v>10302</v>
      </c>
      <c r="C3249">
        <v>0</v>
      </c>
      <c r="D3249">
        <v>1</v>
      </c>
      <c r="E3249">
        <v>0</v>
      </c>
      <c r="F3249">
        <v>1</v>
      </c>
      <c r="G3249">
        <v>0</v>
      </c>
    </row>
    <row r="3250" spans="1:7" ht="13" x14ac:dyDescent="0.15">
      <c r="A3250" s="2">
        <v>94582</v>
      </c>
      <c r="B3250" s="12" t="s">
        <v>10303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ht="13" x14ac:dyDescent="0.15">
      <c r="A3251" s="2">
        <v>92486</v>
      </c>
      <c r="B3251" s="12" t="s">
        <v>10304</v>
      </c>
      <c r="C3251">
        <v>0</v>
      </c>
      <c r="D3251">
        <v>1</v>
      </c>
      <c r="E3251">
        <v>0</v>
      </c>
      <c r="F3251">
        <v>0</v>
      </c>
      <c r="G3251">
        <v>0</v>
      </c>
    </row>
    <row r="3252" spans="1:7" ht="13" x14ac:dyDescent="0.15">
      <c r="A3252" s="2">
        <v>10196390</v>
      </c>
      <c r="B3252" s="12" t="s">
        <v>10305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ht="13" x14ac:dyDescent="0.15">
      <c r="A3253" s="2">
        <v>3543006</v>
      </c>
      <c r="B3253" s="12" t="s">
        <v>10306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ht="13" x14ac:dyDescent="0.15">
      <c r="A3254" s="2">
        <v>179061</v>
      </c>
      <c r="B3254" s="12" t="s">
        <v>10307</v>
      </c>
      <c r="C3254">
        <v>0</v>
      </c>
      <c r="D3254">
        <v>1</v>
      </c>
      <c r="E3254">
        <v>0</v>
      </c>
      <c r="F3254">
        <v>0</v>
      </c>
      <c r="G3254">
        <v>0</v>
      </c>
    </row>
    <row r="3255" spans="1:7" ht="13" x14ac:dyDescent="0.15">
      <c r="A3255" s="2">
        <v>5721172</v>
      </c>
      <c r="B3255" s="12" t="s">
        <v>10307</v>
      </c>
      <c r="C3255">
        <v>0</v>
      </c>
      <c r="D3255">
        <v>1</v>
      </c>
      <c r="E3255">
        <v>0</v>
      </c>
      <c r="F3255">
        <v>0</v>
      </c>
      <c r="G3255">
        <v>0</v>
      </c>
    </row>
    <row r="3256" spans="1:7" ht="13" x14ac:dyDescent="0.15">
      <c r="A3256" s="2">
        <v>8489486</v>
      </c>
      <c r="B3256" s="12" t="s">
        <v>10308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ht="13" x14ac:dyDescent="0.15">
      <c r="A3257" s="2">
        <v>1582461</v>
      </c>
      <c r="B3257" s="12" t="s">
        <v>10309</v>
      </c>
      <c r="C3257">
        <v>1</v>
      </c>
      <c r="D3257">
        <v>0</v>
      </c>
      <c r="E3257">
        <v>0</v>
      </c>
      <c r="F3257">
        <v>0</v>
      </c>
      <c r="G3257">
        <v>0</v>
      </c>
    </row>
    <row r="3258" spans="1:7" ht="13" x14ac:dyDescent="0.15">
      <c r="A3258" s="2">
        <v>106179</v>
      </c>
      <c r="B3258" s="12" t="s">
        <v>10310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ht="13" x14ac:dyDescent="0.15">
      <c r="A3259" s="2">
        <v>103586</v>
      </c>
      <c r="B3259" s="12" t="s">
        <v>10311</v>
      </c>
      <c r="C3259">
        <v>0</v>
      </c>
      <c r="D3259">
        <v>0</v>
      </c>
      <c r="E3259">
        <v>0</v>
      </c>
      <c r="F3259">
        <v>1</v>
      </c>
      <c r="G3259">
        <v>0</v>
      </c>
    </row>
    <row r="3260" spans="1:7" ht="13" x14ac:dyDescent="0.15">
      <c r="A3260" s="2">
        <v>83505</v>
      </c>
      <c r="B3260" s="12" t="s">
        <v>10312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ht="13" x14ac:dyDescent="0.15">
      <c r="A3261" s="2">
        <v>3655448</v>
      </c>
      <c r="B3261" s="12" t="s">
        <v>10313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ht="13" x14ac:dyDescent="0.15">
      <c r="A3262" s="2">
        <v>96732</v>
      </c>
      <c r="B3262" s="12" t="s">
        <v>10314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ht="13" x14ac:dyDescent="0.15">
      <c r="A3263" s="2">
        <v>3413080</v>
      </c>
      <c r="B3263" s="12" t="s">
        <v>10315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ht="13" x14ac:dyDescent="0.15">
      <c r="A3264" s="2">
        <v>197182</v>
      </c>
      <c r="B3264" s="12" t="s">
        <v>10316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ht="13" x14ac:dyDescent="0.15">
      <c r="A3265" s="2">
        <v>6583806</v>
      </c>
      <c r="B3265" s="12" t="s">
        <v>10317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ht="13" x14ac:dyDescent="0.15">
      <c r="A3266" s="2">
        <v>5555260</v>
      </c>
      <c r="B3266" s="12" t="s">
        <v>10318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ht="13" x14ac:dyDescent="0.15">
      <c r="A3267" s="2">
        <v>115390</v>
      </c>
      <c r="B3267" s="12" t="s">
        <v>10319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ht="13" x14ac:dyDescent="0.15">
      <c r="A3268" s="2">
        <v>1708448</v>
      </c>
      <c r="B3268" s="12" t="s">
        <v>10320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ht="13" x14ac:dyDescent="0.15">
      <c r="A3269" s="2">
        <v>4264096</v>
      </c>
      <c r="B3269" s="12" t="s">
        <v>10321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ht="13" x14ac:dyDescent="0.15">
      <c r="A3270" s="2">
        <v>204087</v>
      </c>
      <c r="B3270" s="12" t="s">
        <v>10322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ht="13" x14ac:dyDescent="0.15">
      <c r="A3271" s="2">
        <v>1513168</v>
      </c>
      <c r="B3271" s="12" t="s">
        <v>10323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ht="13" x14ac:dyDescent="0.15">
      <c r="A3272" s="2">
        <v>181262</v>
      </c>
      <c r="B3272" s="12" t="s">
        <v>10324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ht="13" x14ac:dyDescent="0.15">
      <c r="A3273" s="2">
        <v>88631</v>
      </c>
      <c r="B3273" s="12" t="s">
        <v>10325</v>
      </c>
      <c r="C3273">
        <v>1</v>
      </c>
      <c r="D3273">
        <v>0</v>
      </c>
      <c r="E3273">
        <v>0</v>
      </c>
      <c r="F3273">
        <v>0</v>
      </c>
      <c r="G3273">
        <v>0</v>
      </c>
    </row>
    <row r="3274" spans="1:7" ht="13" x14ac:dyDescent="0.15">
      <c r="A3274" s="2">
        <v>138875</v>
      </c>
      <c r="B3274" s="12" t="s">
        <v>10326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ht="13" x14ac:dyDescent="0.15">
      <c r="A3275" s="2">
        <v>6898970</v>
      </c>
      <c r="B3275" s="12" t="s">
        <v>10327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ht="13" x14ac:dyDescent="0.15">
      <c r="A3276" s="2">
        <v>759475</v>
      </c>
      <c r="B3276" s="12" t="s">
        <v>10328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ht="13" x14ac:dyDescent="0.15">
      <c r="A3277" s="2">
        <v>912343</v>
      </c>
      <c r="B3277" s="12" t="s">
        <v>10329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ht="13" x14ac:dyDescent="0.15">
      <c r="A3278" s="2">
        <v>1188970</v>
      </c>
      <c r="B3278" s="12" t="s">
        <v>10330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ht="13" x14ac:dyDescent="0.15">
      <c r="A3279" s="2">
        <v>260658</v>
      </c>
      <c r="B3279" s="12" t="s">
        <v>10331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ht="13" x14ac:dyDescent="0.15">
      <c r="A3280" s="2">
        <v>108961</v>
      </c>
      <c r="B3280" s="12" t="s">
        <v>10332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ht="13" x14ac:dyDescent="0.15">
      <c r="A3281" s="2">
        <v>9846284</v>
      </c>
      <c r="B3281" s="12" t="s">
        <v>10333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ht="13" x14ac:dyDescent="0.15">
      <c r="A3282" s="2">
        <v>1688210</v>
      </c>
      <c r="B3282" s="12" t="s">
        <v>10334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ht="13" x14ac:dyDescent="0.15">
      <c r="A3283" s="2">
        <v>4607112</v>
      </c>
      <c r="B3283" s="12" t="s">
        <v>10335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ht="13" x14ac:dyDescent="0.15">
      <c r="A3284" s="2">
        <v>98929</v>
      </c>
      <c r="B3284" s="12" t="s">
        <v>10336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ht="13" x14ac:dyDescent="0.15">
      <c r="A3285" s="2">
        <v>243732</v>
      </c>
      <c r="B3285" s="12" t="s">
        <v>10337</v>
      </c>
      <c r="C3285">
        <v>0</v>
      </c>
      <c r="D3285">
        <v>1</v>
      </c>
      <c r="E3285">
        <v>0</v>
      </c>
      <c r="F3285">
        <v>0</v>
      </c>
      <c r="G3285">
        <v>0</v>
      </c>
    </row>
    <row r="3286" spans="1:7" ht="13" x14ac:dyDescent="0.15">
      <c r="A3286" s="2">
        <v>205700</v>
      </c>
      <c r="B3286" s="12" t="s">
        <v>10338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ht="13" x14ac:dyDescent="0.15">
      <c r="A3287" s="2">
        <v>237985</v>
      </c>
      <c r="B3287" s="12" t="s">
        <v>10339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ht="13" x14ac:dyDescent="0.15">
      <c r="A3288" s="2">
        <v>447589</v>
      </c>
      <c r="B3288" s="12" t="s">
        <v>10340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ht="13" x14ac:dyDescent="0.15">
      <c r="A3289" s="2">
        <v>1558128</v>
      </c>
      <c r="B3289" s="12" t="s">
        <v>10341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ht="13" x14ac:dyDescent="0.15">
      <c r="A3290" s="2">
        <v>118475</v>
      </c>
      <c r="B3290" s="12" t="s">
        <v>10342</v>
      </c>
      <c r="C3290">
        <v>0</v>
      </c>
      <c r="D3290">
        <v>1</v>
      </c>
      <c r="E3290">
        <v>1</v>
      </c>
      <c r="F3290">
        <v>0</v>
      </c>
      <c r="G3290">
        <v>0</v>
      </c>
    </row>
    <row r="3291" spans="1:7" ht="13" x14ac:dyDescent="0.15">
      <c r="A3291" s="2">
        <v>1437145</v>
      </c>
      <c r="B3291" s="12" t="s">
        <v>10343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ht="13" x14ac:dyDescent="0.15">
      <c r="A3292" s="2">
        <v>242043</v>
      </c>
      <c r="B3292" s="12" t="s">
        <v>10344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ht="13" x14ac:dyDescent="0.15">
      <c r="A3293" s="2">
        <v>2091188</v>
      </c>
      <c r="B3293" s="12" t="s">
        <v>10345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ht="13" x14ac:dyDescent="0.15">
      <c r="A3294" s="2">
        <v>5057054</v>
      </c>
      <c r="B3294" s="12" t="s">
        <v>10346</v>
      </c>
      <c r="C3294">
        <v>0</v>
      </c>
      <c r="D3294">
        <v>1</v>
      </c>
      <c r="E3294">
        <v>0</v>
      </c>
      <c r="F3294">
        <v>0</v>
      </c>
      <c r="G3294">
        <v>0</v>
      </c>
    </row>
    <row r="3295" spans="1:7" ht="13" x14ac:dyDescent="0.15">
      <c r="A3295" s="2">
        <v>7871284</v>
      </c>
      <c r="B3295" s="12" t="s">
        <v>10347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ht="13" x14ac:dyDescent="0.15">
      <c r="A3296" s="2">
        <v>7213724</v>
      </c>
      <c r="B3296" s="12" t="s">
        <v>10348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ht="13" x14ac:dyDescent="0.15">
      <c r="A3297" s="2">
        <v>459161</v>
      </c>
      <c r="B3297" s="12" t="s">
        <v>10349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ht="13" x14ac:dyDescent="0.15">
      <c r="A3298" s="2">
        <v>765425</v>
      </c>
      <c r="B3298" s="12" t="s">
        <v>10350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ht="13" x14ac:dyDescent="0.15">
      <c r="A3299" s="2">
        <v>1628033</v>
      </c>
      <c r="B3299" s="12" t="s">
        <v>10351</v>
      </c>
      <c r="C3299">
        <v>1</v>
      </c>
      <c r="D3299">
        <v>0</v>
      </c>
      <c r="E3299">
        <v>0</v>
      </c>
      <c r="F3299">
        <v>0</v>
      </c>
      <c r="G3299">
        <v>0</v>
      </c>
    </row>
    <row r="3300" spans="1:7" ht="13" x14ac:dyDescent="0.15">
      <c r="A3300" s="2">
        <v>1248967</v>
      </c>
      <c r="B3300" s="12" t="s">
        <v>10352</v>
      </c>
      <c r="C3300">
        <v>1</v>
      </c>
      <c r="D3300">
        <v>0</v>
      </c>
      <c r="E3300">
        <v>0</v>
      </c>
      <c r="F3300">
        <v>0</v>
      </c>
      <c r="G3300">
        <v>0</v>
      </c>
    </row>
    <row r="3301" spans="1:7" ht="13" x14ac:dyDescent="0.15">
      <c r="A3301" s="2">
        <v>485301</v>
      </c>
      <c r="B3301" s="12" t="s">
        <v>10353</v>
      </c>
      <c r="C3301">
        <v>1</v>
      </c>
      <c r="D3301">
        <v>0</v>
      </c>
      <c r="E3301">
        <v>0</v>
      </c>
      <c r="F3301">
        <v>0</v>
      </c>
      <c r="G3301">
        <v>0</v>
      </c>
    </row>
    <row r="3302" spans="1:7" ht="13" x14ac:dyDescent="0.15">
      <c r="A3302" s="2">
        <v>1430587</v>
      </c>
      <c r="B3302" s="12" t="s">
        <v>10354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ht="13" x14ac:dyDescent="0.15">
      <c r="A3303" s="2">
        <v>5812444</v>
      </c>
      <c r="B3303" s="12" t="s">
        <v>10355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ht="13" x14ac:dyDescent="0.15">
      <c r="A3304" s="2">
        <v>5646172</v>
      </c>
      <c r="B3304" s="12" t="s">
        <v>10356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ht="13" x14ac:dyDescent="0.15">
      <c r="A3305" s="2">
        <v>3056472</v>
      </c>
      <c r="B3305" s="12" t="s">
        <v>10357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ht="13" x14ac:dyDescent="0.15">
      <c r="A3306" s="2">
        <v>2992110</v>
      </c>
      <c r="B3306" s="12" t="s">
        <v>10358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ht="13" x14ac:dyDescent="0.15">
      <c r="A3307" s="2">
        <v>1294955</v>
      </c>
      <c r="B3307" s="12" t="s">
        <v>10359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ht="13" x14ac:dyDescent="0.15">
      <c r="A3308" s="2">
        <v>283226</v>
      </c>
      <c r="B3308" s="12" t="s">
        <v>10360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ht="13" x14ac:dyDescent="0.15">
      <c r="A3309" s="2">
        <v>106159</v>
      </c>
      <c r="B3309" s="12" t="s">
        <v>10361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ht="13" x14ac:dyDescent="0.15">
      <c r="A3310" s="2">
        <v>5337038</v>
      </c>
      <c r="B3310" s="12" t="s">
        <v>10362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ht="13" x14ac:dyDescent="0.15">
      <c r="A3311" s="2">
        <v>2933326</v>
      </c>
      <c r="B3311" s="12" t="s">
        <v>10363</v>
      </c>
      <c r="C3311">
        <v>0</v>
      </c>
      <c r="D3311">
        <v>0</v>
      </c>
      <c r="E3311">
        <v>0</v>
      </c>
      <c r="F3311">
        <v>0</v>
      </c>
      <c r="G3311">
        <v>0</v>
      </c>
    </row>
    <row r="3312" spans="1:7" ht="13" x14ac:dyDescent="0.15">
      <c r="A3312" s="2">
        <v>290988</v>
      </c>
      <c r="B3312" s="12" t="s">
        <v>10364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ht="13" x14ac:dyDescent="0.15">
      <c r="A3313" s="2">
        <v>1659175</v>
      </c>
      <c r="B3313" s="12" t="s">
        <v>10365</v>
      </c>
      <c r="C3313">
        <v>1</v>
      </c>
      <c r="D3313">
        <v>0</v>
      </c>
      <c r="E3313">
        <v>0</v>
      </c>
      <c r="F3313">
        <v>0</v>
      </c>
      <c r="G3313">
        <v>0</v>
      </c>
    </row>
    <row r="3314" spans="1:7" ht="13" x14ac:dyDescent="0.15">
      <c r="A3314" s="2">
        <v>329938</v>
      </c>
      <c r="B3314" s="12" t="s">
        <v>10366</v>
      </c>
      <c r="C3314">
        <v>1</v>
      </c>
      <c r="D3314">
        <v>0</v>
      </c>
      <c r="E3314">
        <v>0</v>
      </c>
      <c r="F3314">
        <v>0</v>
      </c>
      <c r="G3314">
        <v>0</v>
      </c>
    </row>
    <row r="3315" spans="1:7" ht="13" x14ac:dyDescent="0.15">
      <c r="A3315" s="2">
        <v>388650</v>
      </c>
      <c r="B3315" s="12" t="s">
        <v>10367</v>
      </c>
      <c r="C3315">
        <v>1</v>
      </c>
      <c r="D3315">
        <v>0</v>
      </c>
      <c r="E3315">
        <v>0</v>
      </c>
      <c r="F3315">
        <v>0</v>
      </c>
      <c r="G3315">
        <v>0</v>
      </c>
    </row>
    <row r="3316" spans="1:7" ht="13" x14ac:dyDescent="0.15">
      <c r="A3316" s="2">
        <v>231050</v>
      </c>
      <c r="B3316" s="12" t="s">
        <v>10368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ht="13" x14ac:dyDescent="0.15">
      <c r="A3317" s="2">
        <v>3604232</v>
      </c>
      <c r="B3317" s="12" t="s">
        <v>10368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ht="13" x14ac:dyDescent="0.15">
      <c r="A3318" s="2">
        <v>4719744</v>
      </c>
      <c r="B3318" s="12" t="s">
        <v>10369</v>
      </c>
      <c r="C3318">
        <v>0</v>
      </c>
      <c r="D3318">
        <v>0</v>
      </c>
      <c r="E3318">
        <v>0</v>
      </c>
      <c r="F3318">
        <v>0</v>
      </c>
      <c r="G3318">
        <v>0</v>
      </c>
    </row>
    <row r="3319" spans="1:7" ht="13" x14ac:dyDescent="0.15">
      <c r="A3319" s="2">
        <v>8747608</v>
      </c>
      <c r="B3319" s="12" t="s">
        <v>10370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ht="13" x14ac:dyDescent="0.15">
      <c r="A3320" s="2">
        <v>1279972</v>
      </c>
      <c r="B3320" s="12" t="s">
        <v>10371</v>
      </c>
      <c r="C3320">
        <v>0</v>
      </c>
      <c r="D3320">
        <v>0</v>
      </c>
      <c r="E3320">
        <v>0</v>
      </c>
      <c r="F3320">
        <v>0</v>
      </c>
      <c r="G3320">
        <v>0</v>
      </c>
    </row>
    <row r="3321" spans="1:7" ht="13" x14ac:dyDescent="0.15">
      <c r="A3321" s="2">
        <v>5456780</v>
      </c>
      <c r="B3321" s="12" t="s">
        <v>10372</v>
      </c>
      <c r="C3321">
        <v>0</v>
      </c>
      <c r="D3321">
        <v>0</v>
      </c>
      <c r="E3321">
        <v>0</v>
      </c>
      <c r="F3321">
        <v>0</v>
      </c>
      <c r="G3321">
        <v>0</v>
      </c>
    </row>
    <row r="3322" spans="1:7" ht="13" x14ac:dyDescent="0.15">
      <c r="A3322" s="2">
        <v>251439</v>
      </c>
      <c r="B3322" s="12" t="s">
        <v>10373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ht="13" x14ac:dyDescent="0.15">
      <c r="A3323" s="2">
        <v>1283456</v>
      </c>
      <c r="B3323" s="12" t="s">
        <v>10374</v>
      </c>
      <c r="C3323">
        <v>0</v>
      </c>
      <c r="D3323">
        <v>0</v>
      </c>
      <c r="E3323">
        <v>0</v>
      </c>
      <c r="F3323">
        <v>0</v>
      </c>
      <c r="G3323">
        <v>0</v>
      </c>
    </row>
    <row r="3324" spans="1:7" ht="13" x14ac:dyDescent="0.15">
      <c r="A3324" s="2">
        <v>315081</v>
      </c>
      <c r="B3324" s="12" t="s">
        <v>10375</v>
      </c>
      <c r="C3324">
        <v>0</v>
      </c>
      <c r="D3324">
        <v>0</v>
      </c>
      <c r="E3324">
        <v>1</v>
      </c>
      <c r="F3324">
        <v>0</v>
      </c>
      <c r="G3324">
        <v>0</v>
      </c>
    </row>
    <row r="3325" spans="1:7" ht="13" x14ac:dyDescent="0.15">
      <c r="A3325" s="2">
        <v>3897284</v>
      </c>
      <c r="B3325" s="12" t="s">
        <v>10376</v>
      </c>
      <c r="C3325">
        <v>0</v>
      </c>
      <c r="D3325">
        <v>0</v>
      </c>
      <c r="E3325">
        <v>0</v>
      </c>
      <c r="F3325">
        <v>0</v>
      </c>
      <c r="G3325">
        <v>0</v>
      </c>
    </row>
    <row r="3326" spans="1:7" ht="13" x14ac:dyDescent="0.15">
      <c r="A3326" s="2">
        <v>5103758</v>
      </c>
      <c r="B3326" s="12" t="s">
        <v>10377</v>
      </c>
      <c r="C3326">
        <v>0</v>
      </c>
      <c r="D3326">
        <v>0</v>
      </c>
      <c r="E3326">
        <v>0</v>
      </c>
      <c r="F3326">
        <v>0</v>
      </c>
      <c r="G3326">
        <v>0</v>
      </c>
    </row>
    <row r="3327" spans="1:7" ht="13" x14ac:dyDescent="0.15">
      <c r="A3327" s="2">
        <v>6284024</v>
      </c>
      <c r="B3327" s="12" t="s">
        <v>10378</v>
      </c>
      <c r="C3327">
        <v>0</v>
      </c>
      <c r="D3327">
        <v>0</v>
      </c>
      <c r="E3327">
        <v>0</v>
      </c>
      <c r="F3327">
        <v>0</v>
      </c>
      <c r="G3327">
        <v>0</v>
      </c>
    </row>
    <row r="3328" spans="1:7" ht="13" x14ac:dyDescent="0.15">
      <c r="A3328" s="2">
        <v>364817</v>
      </c>
      <c r="B3328" s="12" t="s">
        <v>10379</v>
      </c>
      <c r="C3328">
        <v>0</v>
      </c>
      <c r="D3328">
        <v>0</v>
      </c>
      <c r="E3328">
        <v>0</v>
      </c>
      <c r="F3328">
        <v>0</v>
      </c>
      <c r="G3328">
        <v>0</v>
      </c>
    </row>
    <row r="3329" spans="1:7" ht="13" x14ac:dyDescent="0.15">
      <c r="A3329" s="2">
        <v>844441</v>
      </c>
      <c r="B3329" s="12" t="s">
        <v>10380</v>
      </c>
      <c r="C3329">
        <v>0</v>
      </c>
      <c r="D3329">
        <v>1</v>
      </c>
      <c r="E3329">
        <v>0</v>
      </c>
      <c r="F3329">
        <v>0</v>
      </c>
      <c r="G3329">
        <v>0</v>
      </c>
    </row>
    <row r="3330" spans="1:7" ht="13" x14ac:dyDescent="0.15">
      <c r="A3330" s="2">
        <v>2356777</v>
      </c>
      <c r="B3330" s="12" t="s">
        <v>10381</v>
      </c>
      <c r="C3330">
        <v>0</v>
      </c>
      <c r="D3330">
        <v>0</v>
      </c>
      <c r="E3330">
        <v>0</v>
      </c>
      <c r="F3330">
        <v>0</v>
      </c>
      <c r="G3330">
        <v>0</v>
      </c>
    </row>
    <row r="3331" spans="1:7" ht="13" x14ac:dyDescent="0.15">
      <c r="A3331" s="2">
        <v>1131751</v>
      </c>
      <c r="B3331" s="12" t="s">
        <v>10382</v>
      </c>
      <c r="C3331">
        <v>0</v>
      </c>
      <c r="D3331">
        <v>0</v>
      </c>
      <c r="E3331">
        <v>0</v>
      </c>
      <c r="F3331">
        <v>0</v>
      </c>
      <c r="G3331">
        <v>0</v>
      </c>
    </row>
    <row r="3332" spans="1:7" ht="13" x14ac:dyDescent="0.15">
      <c r="A3332" s="2">
        <v>1697033</v>
      </c>
      <c r="B3332" s="12" t="s">
        <v>10383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ht="13" x14ac:dyDescent="0.15">
      <c r="A3333" s="2">
        <v>118499</v>
      </c>
      <c r="B3333" s="12" t="s">
        <v>10384</v>
      </c>
      <c r="C3333">
        <v>0</v>
      </c>
      <c r="D3333">
        <v>1</v>
      </c>
      <c r="E3333">
        <v>0</v>
      </c>
      <c r="F3333">
        <v>0</v>
      </c>
      <c r="G3333">
        <v>0</v>
      </c>
    </row>
    <row r="3334" spans="1:7" ht="13" x14ac:dyDescent="0.15">
      <c r="A3334" s="2">
        <v>5664952</v>
      </c>
      <c r="B3334" s="12" t="s">
        <v>10385</v>
      </c>
      <c r="C3334">
        <v>0</v>
      </c>
      <c r="D3334">
        <v>0</v>
      </c>
      <c r="E3334">
        <v>0</v>
      </c>
      <c r="F3334">
        <v>0</v>
      </c>
      <c r="G3334">
        <v>0</v>
      </c>
    </row>
    <row r="3335" spans="1:7" ht="13" x14ac:dyDescent="0.15">
      <c r="A3335" s="2">
        <v>893506</v>
      </c>
      <c r="B3335" s="12" t="s">
        <v>10386</v>
      </c>
      <c r="C3335">
        <v>0</v>
      </c>
      <c r="D3335">
        <v>0</v>
      </c>
      <c r="E3335">
        <v>0</v>
      </c>
      <c r="F3335">
        <v>0</v>
      </c>
      <c r="G3335">
        <v>0</v>
      </c>
    </row>
    <row r="3336" spans="1:7" ht="13" x14ac:dyDescent="0.15">
      <c r="A3336" s="2">
        <v>8304498</v>
      </c>
      <c r="B3336" s="12" t="s">
        <v>10387</v>
      </c>
      <c r="C3336">
        <v>0</v>
      </c>
      <c r="D3336">
        <v>0</v>
      </c>
      <c r="E3336">
        <v>0</v>
      </c>
      <c r="F3336">
        <v>0</v>
      </c>
      <c r="G3336">
        <v>1</v>
      </c>
    </row>
    <row r="3337" spans="1:7" ht="13" x14ac:dyDescent="0.15">
      <c r="A3337" s="2">
        <v>2543328</v>
      </c>
      <c r="B3337" s="12" t="s">
        <v>10388</v>
      </c>
      <c r="C3337">
        <v>0</v>
      </c>
      <c r="D3337">
        <v>0</v>
      </c>
      <c r="E3337">
        <v>0</v>
      </c>
      <c r="F3337">
        <v>0</v>
      </c>
      <c r="G3337">
        <v>0</v>
      </c>
    </row>
    <row r="3338" spans="1:7" ht="13" x14ac:dyDescent="0.15">
      <c r="A3338" s="2">
        <v>271320</v>
      </c>
      <c r="B3338" s="12" t="s">
        <v>10389</v>
      </c>
      <c r="C3338">
        <v>0</v>
      </c>
      <c r="D3338">
        <v>0</v>
      </c>
      <c r="E3338">
        <v>1</v>
      </c>
      <c r="F3338">
        <v>0</v>
      </c>
      <c r="G3338">
        <v>0</v>
      </c>
    </row>
    <row r="3339" spans="1:7" ht="13" x14ac:dyDescent="0.15">
      <c r="A3339" s="2">
        <v>98936</v>
      </c>
      <c r="B3339" s="12" t="s">
        <v>10390</v>
      </c>
      <c r="C3339">
        <v>0</v>
      </c>
      <c r="D3339">
        <v>0</v>
      </c>
      <c r="E3339">
        <v>0</v>
      </c>
      <c r="F3339">
        <v>0</v>
      </c>
      <c r="G3339">
        <v>0</v>
      </c>
    </row>
    <row r="3340" spans="1:7" ht="13" x14ac:dyDescent="0.15">
      <c r="A3340" s="2">
        <v>4093826</v>
      </c>
      <c r="B3340" s="12" t="s">
        <v>10390</v>
      </c>
      <c r="C3340">
        <v>1</v>
      </c>
      <c r="D3340">
        <v>0</v>
      </c>
      <c r="E3340">
        <v>0</v>
      </c>
      <c r="F3340">
        <v>0</v>
      </c>
      <c r="G3340">
        <v>0</v>
      </c>
    </row>
    <row r="3341" spans="1:7" ht="13" x14ac:dyDescent="0.15">
      <c r="A3341" s="2">
        <v>8261918</v>
      </c>
      <c r="B3341" s="12" t="s">
        <v>10391</v>
      </c>
      <c r="C3341">
        <v>0</v>
      </c>
      <c r="D3341">
        <v>0</v>
      </c>
      <c r="E3341">
        <v>0</v>
      </c>
      <c r="F3341">
        <v>0</v>
      </c>
      <c r="G3341">
        <v>0</v>
      </c>
    </row>
    <row r="3342" spans="1:7" ht="13" x14ac:dyDescent="0.15">
      <c r="A3342" s="2">
        <v>2355844</v>
      </c>
      <c r="B3342" s="12" t="s">
        <v>10392</v>
      </c>
      <c r="C3342">
        <v>0</v>
      </c>
      <c r="D3342">
        <v>0</v>
      </c>
      <c r="E3342">
        <v>0</v>
      </c>
      <c r="F3342">
        <v>0</v>
      </c>
      <c r="G3342">
        <v>0</v>
      </c>
    </row>
    <row r="3343" spans="1:7" ht="13" x14ac:dyDescent="0.15">
      <c r="A3343" s="2">
        <v>369179</v>
      </c>
      <c r="B3343" s="12" t="s">
        <v>10393</v>
      </c>
      <c r="C3343">
        <v>0</v>
      </c>
      <c r="D3343">
        <v>0</v>
      </c>
      <c r="E3343">
        <v>0</v>
      </c>
      <c r="F3343">
        <v>0</v>
      </c>
      <c r="G3343">
        <v>0</v>
      </c>
    </row>
    <row r="3344" spans="1:7" ht="13" x14ac:dyDescent="0.15">
      <c r="A3344" s="2">
        <v>5603868</v>
      </c>
      <c r="B3344" s="12" t="s">
        <v>10394</v>
      </c>
      <c r="C3344">
        <v>0</v>
      </c>
      <c r="D3344">
        <v>0</v>
      </c>
      <c r="E3344">
        <v>0</v>
      </c>
      <c r="F3344">
        <v>0</v>
      </c>
      <c r="G3344">
        <v>0</v>
      </c>
    </row>
    <row r="3345" spans="1:7" ht="13" x14ac:dyDescent="0.15">
      <c r="A3345" s="2">
        <v>137330</v>
      </c>
      <c r="B3345" s="12" t="s">
        <v>10395</v>
      </c>
      <c r="C3345">
        <v>0</v>
      </c>
      <c r="D3345">
        <v>0</v>
      </c>
      <c r="E3345">
        <v>0</v>
      </c>
      <c r="F3345">
        <v>0</v>
      </c>
      <c r="G3345">
        <v>0</v>
      </c>
    </row>
    <row r="3346" spans="1:7" ht="13" x14ac:dyDescent="0.15">
      <c r="A3346" s="2">
        <v>6873926</v>
      </c>
      <c r="B3346" s="12" t="s">
        <v>10396</v>
      </c>
      <c r="C3346">
        <v>0</v>
      </c>
      <c r="D3346">
        <v>0</v>
      </c>
      <c r="E3346">
        <v>0</v>
      </c>
      <c r="F3346">
        <v>0</v>
      </c>
      <c r="G3346">
        <v>0</v>
      </c>
    </row>
    <row r="3347" spans="1:7" ht="13" x14ac:dyDescent="0.15">
      <c r="A3347" s="2">
        <v>369035</v>
      </c>
      <c r="B3347" s="12" t="s">
        <v>10397</v>
      </c>
      <c r="C3347">
        <v>0</v>
      </c>
      <c r="D3347">
        <v>0</v>
      </c>
      <c r="E3347">
        <v>0</v>
      </c>
      <c r="F3347">
        <v>0</v>
      </c>
      <c r="G3347">
        <v>0</v>
      </c>
    </row>
    <row r="3348" spans="1:7" ht="13" x14ac:dyDescent="0.15">
      <c r="A3348" s="2">
        <v>3327536</v>
      </c>
      <c r="B3348" s="12" t="s">
        <v>10398</v>
      </c>
      <c r="C3348">
        <v>0</v>
      </c>
      <c r="D3348">
        <v>0</v>
      </c>
      <c r="E3348">
        <v>0</v>
      </c>
      <c r="F3348">
        <v>0</v>
      </c>
      <c r="G3348">
        <v>0</v>
      </c>
    </row>
    <row r="3349" spans="1:7" ht="13" x14ac:dyDescent="0.15">
      <c r="A3349" s="2">
        <v>246398</v>
      </c>
      <c r="B3349" s="12" t="s">
        <v>10399</v>
      </c>
      <c r="C3349">
        <v>0</v>
      </c>
      <c r="D3349">
        <v>0</v>
      </c>
      <c r="E3349">
        <v>0</v>
      </c>
      <c r="F3349">
        <v>0</v>
      </c>
      <c r="G3349">
        <v>0</v>
      </c>
    </row>
    <row r="3350" spans="1:7" ht="13" x14ac:dyDescent="0.15">
      <c r="A3350" s="2">
        <v>1621748</v>
      </c>
      <c r="B3350" s="12" t="s">
        <v>10400</v>
      </c>
      <c r="C3350">
        <v>0</v>
      </c>
      <c r="D3350">
        <v>0</v>
      </c>
      <c r="E3350">
        <v>1</v>
      </c>
      <c r="F3350">
        <v>0</v>
      </c>
      <c r="G3350">
        <v>0</v>
      </c>
    </row>
    <row r="3351" spans="1:7" ht="13" x14ac:dyDescent="0.15">
      <c r="A3351" s="2">
        <v>805669</v>
      </c>
      <c r="B3351" s="12" t="s">
        <v>10401</v>
      </c>
      <c r="C3351">
        <v>0</v>
      </c>
      <c r="D3351">
        <v>0</v>
      </c>
      <c r="E3351">
        <v>0</v>
      </c>
      <c r="F3351">
        <v>0</v>
      </c>
      <c r="G3351">
        <v>1</v>
      </c>
    </row>
    <row r="3352" spans="1:7" ht="13" x14ac:dyDescent="0.15">
      <c r="A3352" s="2">
        <v>7907916</v>
      </c>
      <c r="B3352" s="12" t="s">
        <v>10402</v>
      </c>
      <c r="C3352">
        <v>0</v>
      </c>
      <c r="D3352">
        <v>0</v>
      </c>
      <c r="E3352">
        <v>0</v>
      </c>
      <c r="F3352">
        <v>0</v>
      </c>
      <c r="G3352">
        <v>1</v>
      </c>
    </row>
    <row r="3353" spans="1:7" ht="13" x14ac:dyDescent="0.15">
      <c r="A3353" s="2">
        <v>1489082</v>
      </c>
      <c r="B3353" s="12" t="s">
        <v>10403</v>
      </c>
      <c r="C3353">
        <v>0</v>
      </c>
      <c r="D3353">
        <v>0</v>
      </c>
      <c r="E3353">
        <v>0</v>
      </c>
      <c r="F3353">
        <v>0</v>
      </c>
      <c r="G3353">
        <v>0</v>
      </c>
    </row>
    <row r="3354" spans="1:7" ht="13" x14ac:dyDescent="0.15">
      <c r="A3354" s="2">
        <v>1722512</v>
      </c>
      <c r="B3354" s="12" t="s">
        <v>10404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ht="13" x14ac:dyDescent="0.15">
      <c r="A3355" s="2">
        <v>7514746</v>
      </c>
      <c r="B3355" s="12" t="s">
        <v>10405</v>
      </c>
      <c r="C3355">
        <v>0</v>
      </c>
      <c r="D3355">
        <v>0</v>
      </c>
      <c r="E3355">
        <v>0</v>
      </c>
      <c r="F3355">
        <v>0</v>
      </c>
      <c r="G3355">
        <v>0</v>
      </c>
    </row>
    <row r="3356" spans="1:7" ht="13" x14ac:dyDescent="0.15">
      <c r="A3356" s="2">
        <v>1223203</v>
      </c>
      <c r="B3356" s="12" t="s">
        <v>10406</v>
      </c>
      <c r="C3356">
        <v>0</v>
      </c>
      <c r="D3356">
        <v>0</v>
      </c>
      <c r="E3356">
        <v>0</v>
      </c>
      <c r="F3356">
        <v>0</v>
      </c>
      <c r="G3356">
        <v>0</v>
      </c>
    </row>
    <row r="3357" spans="1:7" ht="13" x14ac:dyDescent="0.15">
      <c r="A3357" s="2">
        <v>131190</v>
      </c>
      <c r="B3357" s="12" t="s">
        <v>10407</v>
      </c>
      <c r="C3357">
        <v>0</v>
      </c>
      <c r="D3357">
        <v>0</v>
      </c>
      <c r="E3357">
        <v>0</v>
      </c>
      <c r="F3357">
        <v>0</v>
      </c>
      <c r="G3357">
        <v>0</v>
      </c>
    </row>
    <row r="3358" spans="1:7" ht="13" x14ac:dyDescent="0.15">
      <c r="A3358" s="2">
        <v>808875</v>
      </c>
      <c r="B3358" s="12" t="s">
        <v>10408</v>
      </c>
      <c r="C3358">
        <v>0</v>
      </c>
      <c r="D3358">
        <v>1</v>
      </c>
      <c r="E3358">
        <v>0</v>
      </c>
      <c r="F3358">
        <v>0</v>
      </c>
      <c r="G3358">
        <v>0</v>
      </c>
    </row>
    <row r="3359" spans="1:7" ht="13" x14ac:dyDescent="0.15">
      <c r="A3359" s="2">
        <v>780444</v>
      </c>
      <c r="B3359" s="12" t="s">
        <v>10409</v>
      </c>
      <c r="C3359">
        <v>0</v>
      </c>
      <c r="D3359">
        <v>0</v>
      </c>
      <c r="E3359">
        <v>0</v>
      </c>
      <c r="F3359">
        <v>0</v>
      </c>
      <c r="G3359">
        <v>0</v>
      </c>
    </row>
    <row r="3360" spans="1:7" ht="13" x14ac:dyDescent="0.15">
      <c r="A3360" s="2">
        <v>3339966</v>
      </c>
      <c r="B3360" s="12" t="s">
        <v>10410</v>
      </c>
      <c r="C3360">
        <v>0</v>
      </c>
      <c r="D3360">
        <v>0</v>
      </c>
      <c r="E3360">
        <v>0</v>
      </c>
      <c r="F3360">
        <v>0</v>
      </c>
      <c r="G3360">
        <v>0</v>
      </c>
    </row>
    <row r="3361" spans="1:7" ht="13" x14ac:dyDescent="0.15">
      <c r="A3361" s="2">
        <v>3042608</v>
      </c>
      <c r="B3361" s="12" t="s">
        <v>10411</v>
      </c>
      <c r="C3361">
        <v>0</v>
      </c>
      <c r="D3361">
        <v>0</v>
      </c>
      <c r="E3361">
        <v>0</v>
      </c>
      <c r="F3361">
        <v>1</v>
      </c>
      <c r="G3361">
        <v>0</v>
      </c>
    </row>
    <row r="3362" spans="1:7" ht="13" x14ac:dyDescent="0.15">
      <c r="A3362" s="2">
        <v>273028</v>
      </c>
      <c r="B3362" s="12" t="s">
        <v>10412</v>
      </c>
      <c r="C3362">
        <v>0</v>
      </c>
      <c r="D3362">
        <v>0</v>
      </c>
      <c r="E3362">
        <v>0</v>
      </c>
      <c r="F3362">
        <v>0</v>
      </c>
      <c r="G3362">
        <v>0</v>
      </c>
    </row>
    <row r="3363" spans="1:7" ht="13" x14ac:dyDescent="0.15">
      <c r="A3363" s="2">
        <v>1553656</v>
      </c>
      <c r="B3363" s="12" t="s">
        <v>10413</v>
      </c>
      <c r="C3363">
        <v>0</v>
      </c>
      <c r="D3363">
        <v>1</v>
      </c>
      <c r="E3363">
        <v>0</v>
      </c>
      <c r="F3363">
        <v>0</v>
      </c>
      <c r="G3363">
        <v>0</v>
      </c>
    </row>
    <row r="3364" spans="1:7" ht="13" x14ac:dyDescent="0.15">
      <c r="A3364" s="2">
        <v>1442553</v>
      </c>
      <c r="B3364" s="12" t="s">
        <v>10414</v>
      </c>
      <c r="C3364">
        <v>0</v>
      </c>
      <c r="D3364">
        <v>0</v>
      </c>
      <c r="E3364">
        <v>0</v>
      </c>
      <c r="F3364">
        <v>0</v>
      </c>
      <c r="G3364">
        <v>0</v>
      </c>
    </row>
    <row r="3365" spans="1:7" ht="13" x14ac:dyDescent="0.15">
      <c r="A3365" s="2">
        <v>2062443</v>
      </c>
      <c r="B3365" s="12" t="s">
        <v>10415</v>
      </c>
      <c r="C3365">
        <v>0</v>
      </c>
      <c r="D3365">
        <v>0</v>
      </c>
      <c r="E3365">
        <v>0</v>
      </c>
      <c r="F3365">
        <v>1</v>
      </c>
      <c r="G3365">
        <v>0</v>
      </c>
    </row>
    <row r="3366" spans="1:7" ht="13" x14ac:dyDescent="0.15">
      <c r="A3366" s="2">
        <v>2177313</v>
      </c>
      <c r="B3366" s="12" t="s">
        <v>10416</v>
      </c>
      <c r="C3366">
        <v>0</v>
      </c>
      <c r="D3366">
        <v>0</v>
      </c>
      <c r="E3366">
        <v>0</v>
      </c>
      <c r="F3366">
        <v>1</v>
      </c>
      <c r="G3366">
        <v>0</v>
      </c>
    </row>
    <row r="3367" spans="1:7" ht="13" x14ac:dyDescent="0.15">
      <c r="A3367" s="2">
        <v>292861</v>
      </c>
      <c r="B3367" s="12" t="s">
        <v>10417</v>
      </c>
      <c r="C3367">
        <v>0</v>
      </c>
      <c r="D3367">
        <v>0</v>
      </c>
      <c r="E3367">
        <v>0</v>
      </c>
      <c r="F3367">
        <v>0</v>
      </c>
      <c r="G3367">
        <v>0</v>
      </c>
    </row>
    <row r="3368" spans="1:7" ht="13" x14ac:dyDescent="0.15">
      <c r="A3368" s="2">
        <v>4522400</v>
      </c>
      <c r="B3368" s="12" t="s">
        <v>10418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ht="13" x14ac:dyDescent="0.15">
      <c r="A3369" s="2">
        <v>190106</v>
      </c>
      <c r="B3369" s="12" t="s">
        <v>10419</v>
      </c>
      <c r="C3369">
        <v>0</v>
      </c>
      <c r="D3369">
        <v>0</v>
      </c>
      <c r="E3369">
        <v>0</v>
      </c>
      <c r="F3369">
        <v>0</v>
      </c>
      <c r="G3369">
        <v>0</v>
      </c>
    </row>
    <row r="3370" spans="1:7" ht="13" x14ac:dyDescent="0.15">
      <c r="A3370" s="2">
        <v>6874502</v>
      </c>
      <c r="B3370" s="12" t="s">
        <v>10420</v>
      </c>
      <c r="C3370">
        <v>0</v>
      </c>
      <c r="D3370">
        <v>0</v>
      </c>
      <c r="E3370">
        <v>0</v>
      </c>
      <c r="F3370">
        <v>0</v>
      </c>
      <c r="G3370">
        <v>0</v>
      </c>
    </row>
    <row r="3371" spans="1:7" ht="13" x14ac:dyDescent="0.15">
      <c r="A3371" s="2">
        <v>4447164</v>
      </c>
      <c r="B3371" s="12" t="s">
        <v>10421</v>
      </c>
      <c r="C3371">
        <v>0</v>
      </c>
      <c r="D3371">
        <v>0</v>
      </c>
      <c r="E3371">
        <v>0</v>
      </c>
      <c r="F3371">
        <v>0</v>
      </c>
      <c r="G3371">
        <v>0</v>
      </c>
    </row>
    <row r="3372" spans="1:7" ht="13" x14ac:dyDescent="0.15">
      <c r="A3372" s="2">
        <v>1001482</v>
      </c>
      <c r="B3372" s="12" t="s">
        <v>10422</v>
      </c>
      <c r="C3372">
        <v>0</v>
      </c>
      <c r="D3372">
        <v>0</v>
      </c>
      <c r="E3372">
        <v>0</v>
      </c>
      <c r="F3372">
        <v>0</v>
      </c>
      <c r="G3372">
        <v>0</v>
      </c>
    </row>
    <row r="3373" spans="1:7" ht="13" x14ac:dyDescent="0.15">
      <c r="A3373" s="2">
        <v>1494829</v>
      </c>
      <c r="B3373" s="12" t="s">
        <v>10423</v>
      </c>
      <c r="C3373">
        <v>0</v>
      </c>
      <c r="D3373">
        <v>0</v>
      </c>
      <c r="E3373">
        <v>0</v>
      </c>
      <c r="F3373">
        <v>0</v>
      </c>
      <c r="G3373">
        <v>0</v>
      </c>
    </row>
    <row r="3374" spans="1:7" ht="13" x14ac:dyDescent="0.15">
      <c r="A3374" s="2">
        <v>94574</v>
      </c>
      <c r="B3374" s="12" t="s">
        <v>10424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ht="13" x14ac:dyDescent="0.15">
      <c r="A3375" s="2">
        <v>6233618</v>
      </c>
      <c r="B3375" s="12" t="s">
        <v>10425</v>
      </c>
      <c r="C3375">
        <v>0</v>
      </c>
      <c r="D3375">
        <v>0</v>
      </c>
      <c r="E3375">
        <v>0</v>
      </c>
      <c r="F3375">
        <v>0</v>
      </c>
      <c r="G3375">
        <v>1</v>
      </c>
    </row>
    <row r="3376" spans="1:7" ht="13" x14ac:dyDescent="0.15">
      <c r="A3376" s="2">
        <v>1546360</v>
      </c>
      <c r="B3376" s="12" t="s">
        <v>10426</v>
      </c>
      <c r="C3376">
        <v>0</v>
      </c>
      <c r="D3376">
        <v>0</v>
      </c>
      <c r="E3376">
        <v>0</v>
      </c>
      <c r="F3376">
        <v>0</v>
      </c>
      <c r="G3376">
        <v>0</v>
      </c>
    </row>
    <row r="3377" spans="1:7" ht="13" x14ac:dyDescent="0.15">
      <c r="A3377" s="2">
        <v>167739</v>
      </c>
      <c r="B3377" s="12" t="s">
        <v>10427</v>
      </c>
      <c r="C3377">
        <v>0</v>
      </c>
      <c r="D3377">
        <v>0</v>
      </c>
      <c r="E3377">
        <v>0</v>
      </c>
      <c r="F3377">
        <v>0</v>
      </c>
      <c r="G3377">
        <v>0</v>
      </c>
    </row>
    <row r="3378" spans="1:7" ht="13" x14ac:dyDescent="0.15">
      <c r="A3378" s="2">
        <v>4847012</v>
      </c>
      <c r="B3378" s="12" t="s">
        <v>10428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ht="13" x14ac:dyDescent="0.15">
      <c r="A3379" s="2">
        <v>300602</v>
      </c>
      <c r="B3379" s="12" t="s">
        <v>10429</v>
      </c>
      <c r="C3379">
        <v>0</v>
      </c>
      <c r="D3379">
        <v>0</v>
      </c>
      <c r="E3379">
        <v>0</v>
      </c>
      <c r="F3379">
        <v>0</v>
      </c>
      <c r="G3379">
        <v>0</v>
      </c>
    </row>
    <row r="3380" spans="1:7" ht="13" x14ac:dyDescent="0.15">
      <c r="A3380" s="2">
        <v>3703500</v>
      </c>
      <c r="B3380" s="12" t="s">
        <v>10430</v>
      </c>
      <c r="C3380">
        <v>1</v>
      </c>
      <c r="D3380">
        <v>0</v>
      </c>
      <c r="E3380">
        <v>0</v>
      </c>
      <c r="F3380">
        <v>0</v>
      </c>
      <c r="G3380">
        <v>0</v>
      </c>
    </row>
    <row r="3381" spans="1:7" ht="13" x14ac:dyDescent="0.15">
      <c r="A3381" s="2">
        <v>8188600</v>
      </c>
      <c r="B3381" s="12" t="s">
        <v>10431</v>
      </c>
      <c r="C3381">
        <v>0</v>
      </c>
      <c r="D3381">
        <v>0</v>
      </c>
      <c r="E3381">
        <v>0</v>
      </c>
      <c r="F3381">
        <v>0</v>
      </c>
      <c r="G3381">
        <v>0</v>
      </c>
    </row>
    <row r="3382" spans="1:7" ht="13" x14ac:dyDescent="0.15">
      <c r="A3382" s="2">
        <v>1307824</v>
      </c>
      <c r="B3382" s="12" t="s">
        <v>10432</v>
      </c>
      <c r="C3382">
        <v>1</v>
      </c>
      <c r="D3382">
        <v>0</v>
      </c>
      <c r="E3382">
        <v>0</v>
      </c>
      <c r="F3382">
        <v>1</v>
      </c>
      <c r="G3382">
        <v>0</v>
      </c>
    </row>
    <row r="3383" spans="1:7" ht="13" x14ac:dyDescent="0.15">
      <c r="A3383" s="2">
        <v>4438646</v>
      </c>
      <c r="B3383" s="12" t="s">
        <v>10433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ht="13" x14ac:dyDescent="0.15">
      <c r="A3384" s="2">
        <v>6503244</v>
      </c>
      <c r="B3384" s="12" t="s">
        <v>10434</v>
      </c>
      <c r="C3384">
        <v>0</v>
      </c>
      <c r="D3384">
        <v>0</v>
      </c>
      <c r="E3384">
        <v>0</v>
      </c>
      <c r="F3384">
        <v>0</v>
      </c>
      <c r="G3384">
        <v>0</v>
      </c>
    </row>
    <row r="3385" spans="1:7" ht="13" x14ac:dyDescent="0.15">
      <c r="A3385" s="2">
        <v>1209393</v>
      </c>
      <c r="B3385" s="12" t="s">
        <v>10435</v>
      </c>
      <c r="C3385">
        <v>0</v>
      </c>
      <c r="D3385">
        <v>0</v>
      </c>
      <c r="E3385">
        <v>0</v>
      </c>
      <c r="F3385">
        <v>0</v>
      </c>
      <c r="G3385">
        <v>0</v>
      </c>
    </row>
    <row r="3386" spans="1:7" ht="13" x14ac:dyDescent="0.15">
      <c r="A3386" s="2">
        <v>7466102</v>
      </c>
      <c r="B3386" s="12" t="s">
        <v>10436</v>
      </c>
      <c r="C3386">
        <v>0</v>
      </c>
      <c r="D3386">
        <v>0</v>
      </c>
      <c r="E3386">
        <v>0</v>
      </c>
      <c r="F3386">
        <v>0</v>
      </c>
      <c r="G3386">
        <v>0</v>
      </c>
    </row>
    <row r="3387" spans="1:7" ht="13" x14ac:dyDescent="0.15">
      <c r="A3387" s="2">
        <v>5197820</v>
      </c>
      <c r="B3387" s="12" t="s">
        <v>10437</v>
      </c>
      <c r="C3387">
        <v>0</v>
      </c>
      <c r="D3387">
        <v>1</v>
      </c>
      <c r="E3387">
        <v>0</v>
      </c>
      <c r="F3387">
        <v>0</v>
      </c>
      <c r="G3387">
        <v>0</v>
      </c>
    </row>
    <row r="3388" spans="1:7" ht="13" x14ac:dyDescent="0.15">
      <c r="A3388" s="2">
        <v>2343157</v>
      </c>
      <c r="B3388" s="12" t="s">
        <v>10438</v>
      </c>
      <c r="C3388">
        <v>0</v>
      </c>
      <c r="D3388">
        <v>0</v>
      </c>
      <c r="E3388">
        <v>0</v>
      </c>
      <c r="F3388">
        <v>0</v>
      </c>
      <c r="G3388">
        <v>0</v>
      </c>
    </row>
    <row r="3389" spans="1:7" ht="13" x14ac:dyDescent="0.15">
      <c r="A3389" s="2">
        <v>3501628</v>
      </c>
      <c r="B3389" s="12" t="s">
        <v>10439</v>
      </c>
      <c r="C3389">
        <v>0</v>
      </c>
      <c r="D3389">
        <v>0</v>
      </c>
      <c r="E3389">
        <v>0</v>
      </c>
      <c r="F3389">
        <v>0</v>
      </c>
      <c r="G3389">
        <v>0</v>
      </c>
    </row>
    <row r="3390" spans="1:7" ht="13" x14ac:dyDescent="0.15">
      <c r="A3390" s="2">
        <v>1759761</v>
      </c>
      <c r="B3390" s="12" t="s">
        <v>10440</v>
      </c>
      <c r="C3390">
        <v>1</v>
      </c>
      <c r="D3390">
        <v>0</v>
      </c>
      <c r="E3390">
        <v>0</v>
      </c>
      <c r="F3390">
        <v>0</v>
      </c>
      <c r="G3390">
        <v>0</v>
      </c>
    </row>
    <row r="3391" spans="1:7" ht="13" x14ac:dyDescent="0.15">
      <c r="A3391" s="2">
        <v>2262383</v>
      </c>
      <c r="B3391" s="12" t="s">
        <v>10441</v>
      </c>
      <c r="C3391">
        <v>0</v>
      </c>
      <c r="D3391">
        <v>0</v>
      </c>
      <c r="E3391">
        <v>0</v>
      </c>
      <c r="F3391">
        <v>0</v>
      </c>
      <c r="G3391">
        <v>0</v>
      </c>
    </row>
    <row r="3392" spans="1:7" ht="13" x14ac:dyDescent="0.15">
      <c r="A3392" s="2">
        <v>6762348</v>
      </c>
      <c r="B3392" s="12" t="s">
        <v>10442</v>
      </c>
      <c r="C3392">
        <v>0</v>
      </c>
      <c r="D3392">
        <v>0</v>
      </c>
      <c r="E3392">
        <v>0</v>
      </c>
      <c r="F3392">
        <v>0</v>
      </c>
      <c r="G3392">
        <v>0</v>
      </c>
    </row>
    <row r="3393" spans="1:7" ht="13" x14ac:dyDescent="0.15">
      <c r="A3393" s="2">
        <v>1541531</v>
      </c>
      <c r="B3393" s="12" t="s">
        <v>10443</v>
      </c>
      <c r="C3393">
        <v>0</v>
      </c>
      <c r="D3393">
        <v>0</v>
      </c>
      <c r="E3393">
        <v>0</v>
      </c>
      <c r="F3393">
        <v>0</v>
      </c>
      <c r="G3393">
        <v>0</v>
      </c>
    </row>
    <row r="3394" spans="1:7" ht="13" x14ac:dyDescent="0.15">
      <c r="A3394" s="2">
        <v>1693592</v>
      </c>
      <c r="B3394" s="12" t="s">
        <v>10444</v>
      </c>
      <c r="C3394">
        <v>0</v>
      </c>
      <c r="D3394">
        <v>0</v>
      </c>
      <c r="E3394">
        <v>0</v>
      </c>
      <c r="F3394">
        <v>0</v>
      </c>
      <c r="G3394">
        <v>0</v>
      </c>
    </row>
    <row r="3395" spans="1:7" ht="13" x14ac:dyDescent="0.15">
      <c r="A3395" s="2">
        <v>108979</v>
      </c>
      <c r="B3395" s="12" t="s">
        <v>10445</v>
      </c>
      <c r="C3395">
        <v>0</v>
      </c>
      <c r="D3395">
        <v>0</v>
      </c>
      <c r="E3395">
        <v>0</v>
      </c>
      <c r="F3395">
        <v>0</v>
      </c>
      <c r="G3395">
        <v>0</v>
      </c>
    </row>
    <row r="3396" spans="1:7" ht="13" x14ac:dyDescent="0.15">
      <c r="A3396" s="2">
        <v>5868802</v>
      </c>
      <c r="B3396" s="12" t="s">
        <v>10446</v>
      </c>
      <c r="C3396">
        <v>0</v>
      </c>
      <c r="D3396">
        <v>0</v>
      </c>
      <c r="E3396">
        <v>0</v>
      </c>
      <c r="F3396">
        <v>0</v>
      </c>
      <c r="G3396">
        <v>0</v>
      </c>
    </row>
    <row r="3397" spans="1:7" ht="13" x14ac:dyDescent="0.15">
      <c r="A3397" s="2">
        <v>3900878</v>
      </c>
      <c r="B3397" s="12" t="s">
        <v>10447</v>
      </c>
      <c r="C3397">
        <v>0</v>
      </c>
      <c r="D3397">
        <v>0</v>
      </c>
      <c r="E3397">
        <v>0</v>
      </c>
      <c r="F3397">
        <v>0</v>
      </c>
      <c r="G3397">
        <v>0</v>
      </c>
    </row>
    <row r="3398" spans="1:7" ht="13" x14ac:dyDescent="0.15">
      <c r="A3398" s="2">
        <v>412253</v>
      </c>
      <c r="B3398" s="12" t="s">
        <v>10448</v>
      </c>
      <c r="C3398">
        <v>0</v>
      </c>
      <c r="D3398">
        <v>0</v>
      </c>
      <c r="E3398">
        <v>0</v>
      </c>
      <c r="F3398">
        <v>0</v>
      </c>
      <c r="G3398">
        <v>0</v>
      </c>
    </row>
    <row r="3399" spans="1:7" ht="13" x14ac:dyDescent="0.15">
      <c r="A3399" s="2">
        <v>7383388</v>
      </c>
      <c r="B3399" s="12" t="s">
        <v>10449</v>
      </c>
      <c r="C3399">
        <v>0</v>
      </c>
      <c r="D3399">
        <v>0</v>
      </c>
      <c r="E3399">
        <v>0</v>
      </c>
      <c r="F3399">
        <v>0</v>
      </c>
      <c r="G3399">
        <v>0</v>
      </c>
    </row>
    <row r="3400" spans="1:7" ht="13" x14ac:dyDescent="0.15">
      <c r="A3400" s="2">
        <v>3830558</v>
      </c>
      <c r="B3400" s="12" t="s">
        <v>10450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ht="13" x14ac:dyDescent="0.15">
      <c r="A3401" s="2">
        <v>2582590</v>
      </c>
      <c r="B3401" s="12" t="s">
        <v>10451</v>
      </c>
      <c r="C3401">
        <v>0</v>
      </c>
      <c r="D3401">
        <v>0</v>
      </c>
      <c r="E3401">
        <v>0</v>
      </c>
      <c r="F3401">
        <v>0</v>
      </c>
      <c r="G3401">
        <v>0</v>
      </c>
    </row>
    <row r="3402" spans="1:7" ht="13" x14ac:dyDescent="0.15">
      <c r="A3402" s="2">
        <v>8146766</v>
      </c>
      <c r="B3402" s="12" t="s">
        <v>10452</v>
      </c>
      <c r="C3402">
        <v>0</v>
      </c>
      <c r="D3402">
        <v>0</v>
      </c>
      <c r="E3402">
        <v>0</v>
      </c>
      <c r="F3402">
        <v>0</v>
      </c>
      <c r="G3402">
        <v>0</v>
      </c>
    </row>
    <row r="3403" spans="1:7" ht="13" x14ac:dyDescent="0.15">
      <c r="A3403" s="2">
        <v>5137338</v>
      </c>
      <c r="B3403" s="12" t="s">
        <v>10453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ht="13" x14ac:dyDescent="0.15">
      <c r="A3404" s="2">
        <v>262995</v>
      </c>
      <c r="B3404" s="12" t="s">
        <v>10454</v>
      </c>
      <c r="C3404">
        <v>0</v>
      </c>
      <c r="D3404">
        <v>0</v>
      </c>
      <c r="E3404">
        <v>0</v>
      </c>
      <c r="F3404">
        <v>0</v>
      </c>
      <c r="G3404">
        <v>0</v>
      </c>
    </row>
    <row r="3405" spans="1:7" ht="13" x14ac:dyDescent="0.15">
      <c r="A3405" s="2">
        <v>285410</v>
      </c>
      <c r="B3405" s="12" t="s">
        <v>10455</v>
      </c>
      <c r="C3405">
        <v>0</v>
      </c>
      <c r="D3405">
        <v>0</v>
      </c>
      <c r="E3405">
        <v>0</v>
      </c>
      <c r="F3405">
        <v>0</v>
      </c>
      <c r="G3405">
        <v>0</v>
      </c>
    </row>
    <row r="3406" spans="1:7" ht="13" x14ac:dyDescent="0.15">
      <c r="A3406" s="2">
        <v>1604099</v>
      </c>
      <c r="B3406" s="12" t="s">
        <v>10456</v>
      </c>
      <c r="C3406">
        <v>0</v>
      </c>
      <c r="D3406">
        <v>0</v>
      </c>
      <c r="E3406">
        <v>0</v>
      </c>
      <c r="F3406">
        <v>0</v>
      </c>
      <c r="G3406">
        <v>0</v>
      </c>
    </row>
    <row r="3407" spans="1:7" ht="13" x14ac:dyDescent="0.15">
      <c r="A3407" s="2">
        <v>7725422</v>
      </c>
      <c r="B3407" s="12" t="s">
        <v>10457</v>
      </c>
      <c r="C3407">
        <v>0</v>
      </c>
      <c r="D3407">
        <v>0</v>
      </c>
      <c r="E3407">
        <v>0</v>
      </c>
      <c r="F3407">
        <v>0</v>
      </c>
      <c r="G3407">
        <v>0</v>
      </c>
    </row>
    <row r="3408" spans="1:7" ht="13" x14ac:dyDescent="0.15">
      <c r="A3408" s="2">
        <v>105748</v>
      </c>
      <c r="B3408" s="12" t="s">
        <v>10458</v>
      </c>
      <c r="C3408">
        <v>0</v>
      </c>
      <c r="D3408">
        <v>0</v>
      </c>
      <c r="E3408">
        <v>0</v>
      </c>
      <c r="F3408">
        <v>0</v>
      </c>
      <c r="G3408">
        <v>0</v>
      </c>
    </row>
    <row r="3409" spans="1:7" ht="13" x14ac:dyDescent="0.15">
      <c r="A3409" s="2">
        <v>2306299</v>
      </c>
      <c r="B3409" s="12" t="s">
        <v>10459</v>
      </c>
      <c r="C3409">
        <v>0</v>
      </c>
      <c r="D3409">
        <v>0</v>
      </c>
      <c r="E3409">
        <v>0</v>
      </c>
      <c r="F3409">
        <v>0</v>
      </c>
      <c r="G3409">
        <v>0</v>
      </c>
    </row>
    <row r="3410" spans="1:7" ht="13" x14ac:dyDescent="0.15">
      <c r="A3410" s="2">
        <v>4022284</v>
      </c>
      <c r="B3410" s="12" t="s">
        <v>10460</v>
      </c>
      <c r="C3410">
        <v>0</v>
      </c>
      <c r="D3410">
        <v>0</v>
      </c>
      <c r="E3410">
        <v>0</v>
      </c>
      <c r="F3410">
        <v>0</v>
      </c>
      <c r="G3410">
        <v>0</v>
      </c>
    </row>
    <row r="3411" spans="1:7" ht="13" x14ac:dyDescent="0.15">
      <c r="A3411" s="2">
        <v>3186130</v>
      </c>
      <c r="B3411" s="12" t="s">
        <v>10461</v>
      </c>
      <c r="C3411">
        <v>0</v>
      </c>
      <c r="D3411">
        <v>0</v>
      </c>
      <c r="E3411">
        <v>0</v>
      </c>
      <c r="F3411">
        <v>0</v>
      </c>
      <c r="G3411">
        <v>0</v>
      </c>
    </row>
    <row r="3412" spans="1:7" ht="13" x14ac:dyDescent="0.15">
      <c r="A3412" s="2">
        <v>2171665</v>
      </c>
      <c r="B3412" s="12" t="s">
        <v>10462</v>
      </c>
      <c r="C3412">
        <v>0</v>
      </c>
      <c r="D3412">
        <v>0</v>
      </c>
      <c r="E3412">
        <v>0</v>
      </c>
      <c r="F3412">
        <v>0</v>
      </c>
      <c r="G3412">
        <v>0</v>
      </c>
    </row>
    <row r="3413" spans="1:7" ht="13" x14ac:dyDescent="0.15">
      <c r="A3413" s="2">
        <v>92476</v>
      </c>
      <c r="B3413" s="12" t="s">
        <v>10463</v>
      </c>
      <c r="C3413">
        <v>0</v>
      </c>
      <c r="D3413">
        <v>0</v>
      </c>
      <c r="E3413">
        <v>0</v>
      </c>
      <c r="F3413">
        <v>0</v>
      </c>
      <c r="G3413">
        <v>0</v>
      </c>
    </row>
    <row r="3414" spans="1:7" ht="13" x14ac:dyDescent="0.15">
      <c r="A3414" s="2">
        <v>757126</v>
      </c>
      <c r="B3414" s="12" t="s">
        <v>10464</v>
      </c>
      <c r="C3414">
        <v>0</v>
      </c>
      <c r="D3414">
        <v>0</v>
      </c>
      <c r="E3414">
        <v>0</v>
      </c>
      <c r="F3414">
        <v>0</v>
      </c>
      <c r="G3414">
        <v>0</v>
      </c>
    </row>
    <row r="3415" spans="1:7" ht="13" x14ac:dyDescent="0.15">
      <c r="A3415" s="2">
        <v>132665</v>
      </c>
      <c r="B3415" s="12" t="s">
        <v>10465</v>
      </c>
      <c r="C3415">
        <v>0</v>
      </c>
      <c r="D3415">
        <v>0</v>
      </c>
      <c r="E3415">
        <v>0</v>
      </c>
      <c r="F3415">
        <v>0</v>
      </c>
      <c r="G3415">
        <v>0</v>
      </c>
    </row>
    <row r="3416" spans="1:7" ht="13" x14ac:dyDescent="0.15">
      <c r="A3416" s="2">
        <v>4406248</v>
      </c>
      <c r="B3416" s="12" t="s">
        <v>10466</v>
      </c>
      <c r="C3416">
        <v>1</v>
      </c>
      <c r="D3416">
        <v>1</v>
      </c>
      <c r="E3416">
        <v>0</v>
      </c>
      <c r="F3416">
        <v>0</v>
      </c>
      <c r="G3416">
        <v>0</v>
      </c>
    </row>
    <row r="3417" spans="1:7" ht="13" x14ac:dyDescent="0.15">
      <c r="A3417" s="2">
        <v>5580664</v>
      </c>
      <c r="B3417" s="12" t="s">
        <v>10467</v>
      </c>
      <c r="C3417">
        <v>0</v>
      </c>
      <c r="D3417">
        <v>0</v>
      </c>
      <c r="E3417">
        <v>0</v>
      </c>
      <c r="F3417">
        <v>0</v>
      </c>
      <c r="G3417">
        <v>0</v>
      </c>
    </row>
    <row r="3418" spans="1:7" ht="13" x14ac:dyDescent="0.15">
      <c r="A3418" s="2">
        <v>164303</v>
      </c>
      <c r="B3418" s="12" t="s">
        <v>10468</v>
      </c>
      <c r="C3418">
        <v>0</v>
      </c>
      <c r="D3418">
        <v>0</v>
      </c>
      <c r="E3418">
        <v>0</v>
      </c>
      <c r="F3418">
        <v>0</v>
      </c>
      <c r="G3418">
        <v>0</v>
      </c>
    </row>
    <row r="3419" spans="1:7" ht="13" x14ac:dyDescent="0.15">
      <c r="A3419" s="2">
        <v>249326</v>
      </c>
      <c r="B3419" s="12" t="s">
        <v>10469</v>
      </c>
      <c r="C3419">
        <v>0</v>
      </c>
      <c r="D3419">
        <v>1</v>
      </c>
      <c r="E3419">
        <v>0</v>
      </c>
      <c r="F3419">
        <v>0</v>
      </c>
      <c r="G3419">
        <v>0</v>
      </c>
    </row>
    <row r="3420" spans="1:7" ht="13" x14ac:dyDescent="0.15">
      <c r="A3420" s="2">
        <v>4448862</v>
      </c>
      <c r="B3420" s="12" t="s">
        <v>10470</v>
      </c>
      <c r="C3420">
        <v>0</v>
      </c>
      <c r="D3420">
        <v>0</v>
      </c>
      <c r="E3420">
        <v>0</v>
      </c>
      <c r="F3420">
        <v>0</v>
      </c>
      <c r="G3420">
        <v>0</v>
      </c>
    </row>
    <row r="3421" spans="1:7" ht="13" x14ac:dyDescent="0.15">
      <c r="A3421" s="2">
        <v>6350196</v>
      </c>
      <c r="B3421" s="12" t="s">
        <v>10471</v>
      </c>
      <c r="C3421">
        <v>0</v>
      </c>
      <c r="D3421">
        <v>0</v>
      </c>
      <c r="E3421">
        <v>0</v>
      </c>
      <c r="F3421">
        <v>0</v>
      </c>
      <c r="G3421">
        <v>0</v>
      </c>
    </row>
    <row r="3422" spans="1:7" ht="13" x14ac:dyDescent="0.15">
      <c r="A3422" s="2">
        <v>383718</v>
      </c>
      <c r="B3422" s="12" t="s">
        <v>10472</v>
      </c>
      <c r="C3422">
        <v>0</v>
      </c>
      <c r="D3422">
        <v>0</v>
      </c>
      <c r="E3422">
        <v>0</v>
      </c>
      <c r="F3422">
        <v>0</v>
      </c>
      <c r="G3422">
        <v>0</v>
      </c>
    </row>
    <row r="3423" spans="1:7" ht="13" x14ac:dyDescent="0.15">
      <c r="A3423" s="2">
        <v>5520388</v>
      </c>
      <c r="B3423" s="12" t="s">
        <v>10473</v>
      </c>
      <c r="C3423">
        <v>0</v>
      </c>
      <c r="D3423">
        <v>0</v>
      </c>
      <c r="E3423">
        <v>0</v>
      </c>
      <c r="F3423">
        <v>0</v>
      </c>
      <c r="G3423">
        <v>0</v>
      </c>
    </row>
    <row r="3424" spans="1:7" ht="13" x14ac:dyDescent="0.15">
      <c r="A3424" s="2">
        <v>1137992</v>
      </c>
      <c r="B3424" s="12" t="s">
        <v>10474</v>
      </c>
      <c r="C3424">
        <v>0</v>
      </c>
      <c r="D3424">
        <v>0</v>
      </c>
      <c r="E3424">
        <v>0</v>
      </c>
      <c r="F3424">
        <v>0</v>
      </c>
      <c r="G3424">
        <v>0</v>
      </c>
    </row>
    <row r="3425" spans="1:7" ht="13" x14ac:dyDescent="0.15">
      <c r="A3425" s="2">
        <v>98945</v>
      </c>
      <c r="B3425" s="12" t="s">
        <v>10475</v>
      </c>
      <c r="C3425">
        <v>0</v>
      </c>
      <c r="D3425">
        <v>0</v>
      </c>
      <c r="E3425">
        <v>0</v>
      </c>
      <c r="F3425">
        <v>0</v>
      </c>
      <c r="G3425">
        <v>0</v>
      </c>
    </row>
    <row r="3426" spans="1:7" ht="13" x14ac:dyDescent="0.15">
      <c r="A3426" s="2">
        <v>132611</v>
      </c>
      <c r="B3426" s="12" t="s">
        <v>10476</v>
      </c>
      <c r="C3426">
        <v>0</v>
      </c>
      <c r="D3426">
        <v>0</v>
      </c>
      <c r="E3426">
        <v>0</v>
      </c>
      <c r="F3426">
        <v>0</v>
      </c>
      <c r="G3426">
        <v>0</v>
      </c>
    </row>
    <row r="3427" spans="1:7" ht="13" x14ac:dyDescent="0.15">
      <c r="A3427" s="2">
        <v>259733</v>
      </c>
      <c r="B3427" s="12" t="s">
        <v>10477</v>
      </c>
      <c r="C3427">
        <v>0</v>
      </c>
      <c r="D3427">
        <v>0</v>
      </c>
      <c r="E3427">
        <v>0</v>
      </c>
      <c r="F3427">
        <v>0</v>
      </c>
      <c r="G3427">
        <v>0</v>
      </c>
    </row>
    <row r="3428" spans="1:7" ht="13" x14ac:dyDescent="0.15">
      <c r="A3428" s="2">
        <v>2177347</v>
      </c>
      <c r="B3428" s="12" t="s">
        <v>10478</v>
      </c>
      <c r="C3428">
        <v>0</v>
      </c>
      <c r="D3428">
        <v>0</v>
      </c>
      <c r="E3428">
        <v>0</v>
      </c>
      <c r="F3428">
        <v>0</v>
      </c>
      <c r="G3428">
        <v>0</v>
      </c>
    </row>
    <row r="3429" spans="1:7" ht="13" x14ac:dyDescent="0.15">
      <c r="A3429" s="2">
        <v>106168</v>
      </c>
      <c r="B3429" s="12" t="s">
        <v>10479</v>
      </c>
      <c r="C3429">
        <v>0</v>
      </c>
      <c r="D3429">
        <v>0</v>
      </c>
      <c r="E3429">
        <v>0</v>
      </c>
      <c r="F3429">
        <v>1</v>
      </c>
      <c r="G3429">
        <v>0</v>
      </c>
    </row>
    <row r="3430" spans="1:7" ht="13" x14ac:dyDescent="0.15">
      <c r="A3430" s="2">
        <v>1874815</v>
      </c>
      <c r="B3430" s="12" t="s">
        <v>10480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ht="13" x14ac:dyDescent="0.15">
      <c r="A3431" s="2">
        <v>907702</v>
      </c>
      <c r="B3431" s="12" t="s">
        <v>10481</v>
      </c>
      <c r="C3431">
        <v>1</v>
      </c>
      <c r="D3431">
        <v>1</v>
      </c>
      <c r="E3431">
        <v>0</v>
      </c>
      <c r="F3431">
        <v>0</v>
      </c>
      <c r="G3431">
        <v>0</v>
      </c>
    </row>
    <row r="3432" spans="1:7" ht="13" x14ac:dyDescent="0.15">
      <c r="A3432" s="2">
        <v>1178618</v>
      </c>
      <c r="B3432" s="12" t="s">
        <v>10481</v>
      </c>
      <c r="C3432">
        <v>1</v>
      </c>
      <c r="D3432">
        <v>1</v>
      </c>
      <c r="E3432">
        <v>0</v>
      </c>
      <c r="F3432">
        <v>0</v>
      </c>
      <c r="G3432">
        <v>0</v>
      </c>
    </row>
    <row r="3433" spans="1:7" ht="13" x14ac:dyDescent="0.15">
      <c r="A3433" s="2">
        <v>388629</v>
      </c>
      <c r="B3433" s="12" t="s">
        <v>10482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ht="13" x14ac:dyDescent="0.15">
      <c r="A3434" s="2">
        <v>2252938</v>
      </c>
      <c r="B3434" s="12" t="s">
        <v>10483</v>
      </c>
      <c r="C3434">
        <v>0</v>
      </c>
      <c r="D3434">
        <v>0</v>
      </c>
      <c r="E3434">
        <v>0</v>
      </c>
      <c r="F3434">
        <v>0</v>
      </c>
      <c r="G3434">
        <v>0</v>
      </c>
    </row>
    <row r="3435" spans="1:7" ht="13" x14ac:dyDescent="0.15">
      <c r="A3435" s="2">
        <v>7608238</v>
      </c>
      <c r="B3435" s="12" t="s">
        <v>10484</v>
      </c>
      <c r="C3435">
        <v>0</v>
      </c>
      <c r="D3435">
        <v>0</v>
      </c>
      <c r="E3435">
        <v>0</v>
      </c>
      <c r="F3435">
        <v>0</v>
      </c>
      <c r="G3435">
        <v>0</v>
      </c>
    </row>
    <row r="3436" spans="1:7" ht="13" x14ac:dyDescent="0.15">
      <c r="A3436" s="2">
        <v>1454440</v>
      </c>
      <c r="B3436" s="12" t="s">
        <v>10485</v>
      </c>
      <c r="C3436">
        <v>0</v>
      </c>
      <c r="D3436">
        <v>0</v>
      </c>
      <c r="E3436">
        <v>0</v>
      </c>
      <c r="F3436">
        <v>0</v>
      </c>
      <c r="G3436">
        <v>0</v>
      </c>
    </row>
    <row r="3437" spans="1:7" ht="13" x14ac:dyDescent="0.15">
      <c r="A3437" s="2">
        <v>3104114</v>
      </c>
      <c r="B3437" s="12" t="s">
        <v>10486</v>
      </c>
      <c r="C3437">
        <v>0</v>
      </c>
      <c r="D3437">
        <v>0</v>
      </c>
      <c r="E3437">
        <v>0</v>
      </c>
      <c r="F3437">
        <v>0</v>
      </c>
      <c r="G3437">
        <v>0</v>
      </c>
    </row>
    <row r="3438" spans="1:7" ht="13" x14ac:dyDescent="0.15">
      <c r="A3438" s="2">
        <v>808117</v>
      </c>
      <c r="B3438" s="12" t="s">
        <v>10487</v>
      </c>
      <c r="C3438">
        <v>0</v>
      </c>
      <c r="D3438">
        <v>0</v>
      </c>
      <c r="E3438">
        <v>0</v>
      </c>
      <c r="F3438">
        <v>0</v>
      </c>
      <c r="G3438">
        <v>0</v>
      </c>
    </row>
    <row r="3439" spans="1:7" ht="13" x14ac:dyDescent="0.15">
      <c r="A3439" s="2">
        <v>94578</v>
      </c>
      <c r="B3439" s="12" t="s">
        <v>10488</v>
      </c>
      <c r="C3439">
        <v>0</v>
      </c>
      <c r="D3439">
        <v>1</v>
      </c>
      <c r="E3439">
        <v>0</v>
      </c>
      <c r="F3439">
        <v>0</v>
      </c>
      <c r="G3439">
        <v>0</v>
      </c>
    </row>
    <row r="3440" spans="1:7" ht="13" x14ac:dyDescent="0.15">
      <c r="A3440" s="2">
        <v>304924</v>
      </c>
      <c r="B3440" s="12" t="s">
        <v>10489</v>
      </c>
      <c r="C3440">
        <v>0</v>
      </c>
      <c r="D3440">
        <v>0</v>
      </c>
      <c r="E3440">
        <v>0</v>
      </c>
      <c r="F3440">
        <v>0</v>
      </c>
      <c r="G3440">
        <v>0</v>
      </c>
    </row>
    <row r="3441" spans="1:7" ht="13" x14ac:dyDescent="0.15">
      <c r="A3441" s="2">
        <v>227974</v>
      </c>
      <c r="B3441" s="12" t="s">
        <v>10490</v>
      </c>
      <c r="C3441">
        <v>0</v>
      </c>
      <c r="D3441">
        <v>0</v>
      </c>
      <c r="E3441">
        <v>0</v>
      </c>
      <c r="F3441">
        <v>0</v>
      </c>
      <c r="G3441">
        <v>0</v>
      </c>
    </row>
    <row r="3442" spans="1:7" ht="13" x14ac:dyDescent="0.15">
      <c r="A3442" s="2">
        <v>2963556</v>
      </c>
      <c r="B3442" s="12" t="s">
        <v>10491</v>
      </c>
      <c r="C3442">
        <v>0</v>
      </c>
      <c r="D3442">
        <v>0</v>
      </c>
      <c r="E3442">
        <v>0</v>
      </c>
      <c r="F3442">
        <v>0</v>
      </c>
      <c r="G3442">
        <v>0</v>
      </c>
    </row>
    <row r="3443" spans="1:7" ht="13" x14ac:dyDescent="0.15">
      <c r="A3443" s="2">
        <v>115417</v>
      </c>
      <c r="B3443" s="12" t="s">
        <v>10492</v>
      </c>
      <c r="C3443">
        <v>0</v>
      </c>
      <c r="D3443">
        <v>0</v>
      </c>
      <c r="E3443">
        <v>0</v>
      </c>
      <c r="F3443">
        <v>0</v>
      </c>
      <c r="G3443">
        <v>0</v>
      </c>
    </row>
    <row r="3444" spans="1:7" ht="13" x14ac:dyDescent="0.15">
      <c r="A3444" s="2">
        <v>307853</v>
      </c>
      <c r="B3444" s="12" t="s">
        <v>10493</v>
      </c>
      <c r="C3444">
        <v>0</v>
      </c>
      <c r="D3444">
        <v>0</v>
      </c>
      <c r="E3444">
        <v>0</v>
      </c>
      <c r="F3444">
        <v>0</v>
      </c>
      <c r="G3444">
        <v>0</v>
      </c>
    </row>
    <row r="3445" spans="1:7" ht="13" x14ac:dyDescent="0.15">
      <c r="A3445" s="2">
        <v>1124062</v>
      </c>
      <c r="B3445" s="12" t="s">
        <v>10494</v>
      </c>
      <c r="C3445">
        <v>0</v>
      </c>
      <c r="D3445">
        <v>0</v>
      </c>
      <c r="E3445">
        <v>0</v>
      </c>
      <c r="F3445">
        <v>0</v>
      </c>
      <c r="G3445">
        <v>0</v>
      </c>
    </row>
    <row r="3446" spans="1:7" ht="13" x14ac:dyDescent="0.15">
      <c r="A3446" s="2">
        <v>4839610</v>
      </c>
      <c r="B3446" s="12" t="s">
        <v>10495</v>
      </c>
      <c r="C3446">
        <v>0</v>
      </c>
      <c r="D3446">
        <v>0</v>
      </c>
      <c r="E3446">
        <v>0</v>
      </c>
      <c r="F3446">
        <v>0</v>
      </c>
      <c r="G3446">
        <v>0</v>
      </c>
    </row>
    <row r="3447" spans="1:7" ht="13" x14ac:dyDescent="0.15">
      <c r="A3447" s="2">
        <v>266035</v>
      </c>
      <c r="B3447" s="12" t="s">
        <v>10496</v>
      </c>
      <c r="C3447">
        <v>0</v>
      </c>
      <c r="D3447">
        <v>0</v>
      </c>
      <c r="E3447">
        <v>0</v>
      </c>
      <c r="F3447">
        <v>0</v>
      </c>
      <c r="G3447">
        <v>0</v>
      </c>
    </row>
    <row r="3448" spans="1:7" ht="13" x14ac:dyDescent="0.15">
      <c r="A3448" s="2">
        <v>484952</v>
      </c>
      <c r="B3448" s="12" t="s">
        <v>10497</v>
      </c>
      <c r="C3448">
        <v>0</v>
      </c>
      <c r="D3448">
        <v>0</v>
      </c>
      <c r="E3448">
        <v>0</v>
      </c>
      <c r="F3448">
        <v>0</v>
      </c>
      <c r="G3448">
        <v>0</v>
      </c>
    </row>
    <row r="3449" spans="1:7" ht="13" x14ac:dyDescent="0.15">
      <c r="A3449" s="2">
        <v>439100</v>
      </c>
      <c r="B3449" s="12" t="s">
        <v>10498</v>
      </c>
      <c r="C3449">
        <v>0</v>
      </c>
      <c r="D3449">
        <v>0</v>
      </c>
      <c r="E3449">
        <v>0</v>
      </c>
      <c r="F3449">
        <v>0</v>
      </c>
      <c r="G3449">
        <v>0</v>
      </c>
    </row>
    <row r="3450" spans="1:7" ht="13" x14ac:dyDescent="0.15">
      <c r="A3450" s="2">
        <v>277535</v>
      </c>
      <c r="B3450" s="12" t="s">
        <v>10499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ht="13" x14ac:dyDescent="0.15">
      <c r="A3451" s="2">
        <v>2433738</v>
      </c>
      <c r="B3451" s="12" t="s">
        <v>10500</v>
      </c>
      <c r="C3451">
        <v>0</v>
      </c>
      <c r="D3451">
        <v>0</v>
      </c>
      <c r="E3451">
        <v>0</v>
      </c>
      <c r="F3451">
        <v>0</v>
      </c>
      <c r="G3451">
        <v>0</v>
      </c>
    </row>
    <row r="3452" spans="1:7" ht="13" x14ac:dyDescent="0.15">
      <c r="A3452" s="2">
        <v>179034</v>
      </c>
      <c r="B3452" s="12" t="s">
        <v>10501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ht="13" x14ac:dyDescent="0.15">
      <c r="A3453" s="2">
        <v>475784</v>
      </c>
      <c r="B3453" s="12" t="s">
        <v>10502</v>
      </c>
      <c r="C3453">
        <v>1</v>
      </c>
      <c r="D3453">
        <v>1</v>
      </c>
      <c r="E3453">
        <v>0</v>
      </c>
      <c r="F3453">
        <v>1</v>
      </c>
      <c r="G3453">
        <v>0</v>
      </c>
    </row>
    <row r="3454" spans="1:7" ht="13" x14ac:dyDescent="0.15">
      <c r="A3454" s="2">
        <v>5669272</v>
      </c>
      <c r="B3454" s="12" t="s">
        <v>10503</v>
      </c>
      <c r="C3454">
        <v>1</v>
      </c>
      <c r="D3454">
        <v>0</v>
      </c>
      <c r="E3454">
        <v>0</v>
      </c>
      <c r="F3454">
        <v>1</v>
      </c>
      <c r="G3454">
        <v>0</v>
      </c>
    </row>
    <row r="3455" spans="1:7" ht="13" x14ac:dyDescent="0.15">
      <c r="A3455" s="2">
        <v>1195419</v>
      </c>
      <c r="B3455" s="12" t="s">
        <v>10504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ht="13" x14ac:dyDescent="0.15">
      <c r="A3456" s="2">
        <v>460693</v>
      </c>
      <c r="B3456" s="12" t="s">
        <v>10505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ht="13" x14ac:dyDescent="0.15">
      <c r="A3457" s="2">
        <v>2664866</v>
      </c>
      <c r="B3457" s="12" t="s">
        <v>10506</v>
      </c>
      <c r="C3457">
        <v>0</v>
      </c>
      <c r="D3457">
        <v>0</v>
      </c>
      <c r="E3457">
        <v>0</v>
      </c>
      <c r="F3457">
        <v>0</v>
      </c>
      <c r="G3457">
        <v>0</v>
      </c>
    </row>
    <row r="3458" spans="1:7" ht="13" x14ac:dyDescent="0.15">
      <c r="A3458" s="2">
        <v>7908628</v>
      </c>
      <c r="B3458" s="12" t="s">
        <v>10507</v>
      </c>
      <c r="C3458">
        <v>1</v>
      </c>
      <c r="D3458">
        <v>0</v>
      </c>
      <c r="E3458">
        <v>0</v>
      </c>
      <c r="F3458">
        <v>1</v>
      </c>
      <c r="G3458">
        <v>0</v>
      </c>
    </row>
    <row r="3459" spans="1:7" ht="13" x14ac:dyDescent="0.15">
      <c r="A3459" s="2">
        <v>1549918</v>
      </c>
      <c r="B3459" s="12" t="s">
        <v>10508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ht="13" x14ac:dyDescent="0.15">
      <c r="A3460" s="2">
        <v>8220344</v>
      </c>
      <c r="B3460" s="12" t="s">
        <v>10509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ht="13" x14ac:dyDescent="0.15">
      <c r="A3461" s="2">
        <v>845738</v>
      </c>
      <c r="B3461" s="12" t="s">
        <v>10510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ht="13" x14ac:dyDescent="0.15">
      <c r="A3462" s="2">
        <v>8797600</v>
      </c>
      <c r="B3462" s="12" t="s">
        <v>10511</v>
      </c>
      <c r="C3462">
        <v>0</v>
      </c>
      <c r="D3462">
        <v>0</v>
      </c>
      <c r="E3462">
        <v>0</v>
      </c>
      <c r="F3462">
        <v>0</v>
      </c>
      <c r="G3462">
        <v>0</v>
      </c>
    </row>
    <row r="3463" spans="1:7" ht="13" x14ac:dyDescent="0.15">
      <c r="A3463" s="2">
        <v>1358522</v>
      </c>
      <c r="B3463" s="12" t="s">
        <v>10512</v>
      </c>
      <c r="C3463">
        <v>0</v>
      </c>
      <c r="D3463">
        <v>0</v>
      </c>
      <c r="E3463">
        <v>0</v>
      </c>
      <c r="F3463">
        <v>0</v>
      </c>
      <c r="G3463">
        <v>0</v>
      </c>
    </row>
    <row r="3464" spans="1:7" ht="13" x14ac:dyDescent="0.15">
      <c r="A3464" s="2">
        <v>6010920</v>
      </c>
      <c r="B3464" s="12" t="s">
        <v>10513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ht="13" x14ac:dyDescent="0.15">
      <c r="A3465" s="2">
        <v>1186356</v>
      </c>
      <c r="B3465" s="12" t="s">
        <v>10514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ht="13" x14ac:dyDescent="0.15">
      <c r="A3466" s="2">
        <v>7213682</v>
      </c>
      <c r="B3466" s="12" t="s">
        <v>10515</v>
      </c>
      <c r="C3466">
        <v>0</v>
      </c>
      <c r="D3466">
        <v>0</v>
      </c>
      <c r="E3466">
        <v>0</v>
      </c>
      <c r="F3466">
        <v>0</v>
      </c>
      <c r="G3466">
        <v>0</v>
      </c>
    </row>
    <row r="3467" spans="1:7" ht="13" x14ac:dyDescent="0.15">
      <c r="A3467" s="2">
        <v>1365047</v>
      </c>
      <c r="B3467" s="12" t="s">
        <v>10516</v>
      </c>
      <c r="C3467">
        <v>0</v>
      </c>
      <c r="D3467">
        <v>0</v>
      </c>
      <c r="E3467">
        <v>0</v>
      </c>
      <c r="F3467">
        <v>0</v>
      </c>
      <c r="G3467">
        <v>0</v>
      </c>
    </row>
    <row r="3468" spans="1:7" ht="13" x14ac:dyDescent="0.15">
      <c r="A3468" s="2">
        <v>8679236</v>
      </c>
      <c r="B3468" s="12" t="s">
        <v>10517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ht="13" x14ac:dyDescent="0.15">
      <c r="A3469" s="2">
        <v>6221824</v>
      </c>
      <c r="B3469" s="12" t="s">
        <v>10518</v>
      </c>
      <c r="C3469">
        <v>0</v>
      </c>
      <c r="D3469">
        <v>0</v>
      </c>
      <c r="E3469">
        <v>0</v>
      </c>
      <c r="F3469">
        <v>0</v>
      </c>
      <c r="G3469">
        <v>0</v>
      </c>
    </row>
    <row r="3470" spans="1:7" ht="13" x14ac:dyDescent="0.15">
      <c r="A3470" s="2">
        <v>1864016</v>
      </c>
      <c r="B3470" s="12" t="s">
        <v>10519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ht="13" x14ac:dyDescent="0.15">
      <c r="A3471" s="2">
        <v>86827</v>
      </c>
      <c r="B3471" s="12" t="s">
        <v>10520</v>
      </c>
      <c r="C3471">
        <v>0</v>
      </c>
      <c r="D3471">
        <v>0</v>
      </c>
      <c r="E3471">
        <v>0</v>
      </c>
      <c r="F3471">
        <v>0</v>
      </c>
      <c r="G3471">
        <v>0</v>
      </c>
    </row>
    <row r="3472" spans="1:7" ht="13" x14ac:dyDescent="0.15">
      <c r="A3472" s="2">
        <v>83502</v>
      </c>
      <c r="B3472" s="12" t="s">
        <v>10521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ht="13" x14ac:dyDescent="0.15">
      <c r="A3473" s="2">
        <v>163507</v>
      </c>
      <c r="B3473" s="12" t="s">
        <v>10522</v>
      </c>
      <c r="C3473">
        <v>0</v>
      </c>
      <c r="D3473">
        <v>0</v>
      </c>
      <c r="E3473">
        <v>0</v>
      </c>
      <c r="F3473">
        <v>0</v>
      </c>
      <c r="G3473">
        <v>0</v>
      </c>
    </row>
    <row r="3474" spans="1:7" ht="13" x14ac:dyDescent="0.15">
      <c r="A3474" s="2">
        <v>472989</v>
      </c>
      <c r="B3474" s="12" t="s">
        <v>10523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ht="13" x14ac:dyDescent="0.15">
      <c r="A3475" s="2">
        <v>1522468</v>
      </c>
      <c r="B3475" s="12" t="s">
        <v>10524</v>
      </c>
      <c r="C3475">
        <v>0</v>
      </c>
      <c r="D3475">
        <v>0</v>
      </c>
      <c r="E3475">
        <v>0</v>
      </c>
      <c r="F3475">
        <v>0</v>
      </c>
      <c r="G3475">
        <v>0</v>
      </c>
    </row>
    <row r="3476" spans="1:7" ht="13" x14ac:dyDescent="0.15">
      <c r="A3476" s="2">
        <v>2523506</v>
      </c>
      <c r="B3476" s="12" t="s">
        <v>10525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ht="13" x14ac:dyDescent="0.15">
      <c r="A3477" s="2">
        <v>203275</v>
      </c>
      <c r="B3477" s="12" t="s">
        <v>10526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ht="13" x14ac:dyDescent="0.15">
      <c r="A3478" s="2">
        <v>7284466</v>
      </c>
      <c r="B3478" s="12" t="s">
        <v>10527</v>
      </c>
      <c r="C3478">
        <v>0</v>
      </c>
      <c r="D3478">
        <v>0</v>
      </c>
      <c r="E3478">
        <v>0</v>
      </c>
      <c r="F3478">
        <v>0</v>
      </c>
      <c r="G3478">
        <v>0</v>
      </c>
    </row>
    <row r="3479" spans="1:7" ht="13" x14ac:dyDescent="0.15">
      <c r="A3479" s="2">
        <v>1703925</v>
      </c>
      <c r="B3479" s="12" t="s">
        <v>10528</v>
      </c>
      <c r="C3479">
        <v>1</v>
      </c>
      <c r="D3479">
        <v>0</v>
      </c>
      <c r="E3479">
        <v>0</v>
      </c>
      <c r="F3479">
        <v>0</v>
      </c>
      <c r="G3479">
        <v>0</v>
      </c>
    </row>
    <row r="3480" spans="1:7" ht="13" x14ac:dyDescent="0.15">
      <c r="A3480" s="2">
        <v>5734140</v>
      </c>
      <c r="B3480" s="12" t="s">
        <v>10529</v>
      </c>
      <c r="C3480">
        <v>0</v>
      </c>
      <c r="D3480">
        <v>0</v>
      </c>
      <c r="E3480">
        <v>0</v>
      </c>
      <c r="F3480">
        <v>0</v>
      </c>
      <c r="G3480">
        <v>0</v>
      </c>
    </row>
    <row r="3481" spans="1:7" ht="13" x14ac:dyDescent="0.15">
      <c r="A3481" s="2">
        <v>157246</v>
      </c>
      <c r="B3481" s="12" t="s">
        <v>10530</v>
      </c>
      <c r="C3481">
        <v>0</v>
      </c>
      <c r="D3481">
        <v>0</v>
      </c>
      <c r="E3481">
        <v>0</v>
      </c>
      <c r="F3481">
        <v>0</v>
      </c>
      <c r="G3481">
        <v>0</v>
      </c>
    </row>
    <row r="3482" spans="1:7" ht="13" x14ac:dyDescent="0.15">
      <c r="A3482" s="2">
        <v>339907</v>
      </c>
      <c r="B3482" s="12" t="s">
        <v>10531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ht="13" x14ac:dyDescent="0.15">
      <c r="A3483" s="2">
        <v>9124410</v>
      </c>
      <c r="B3483" s="14" t="s">
        <v>10532</v>
      </c>
      <c r="C3483">
        <v>0</v>
      </c>
      <c r="D3483">
        <v>0</v>
      </c>
      <c r="E3483">
        <v>0</v>
      </c>
      <c r="F3483">
        <v>0</v>
      </c>
      <c r="G3483">
        <v>0</v>
      </c>
    </row>
    <row r="3484" spans="1:7" ht="13" x14ac:dyDescent="0.15">
      <c r="A3484" s="2">
        <v>115421</v>
      </c>
      <c r="B3484" s="12" t="s">
        <v>10533</v>
      </c>
      <c r="C3484">
        <v>0</v>
      </c>
      <c r="D3484">
        <v>0</v>
      </c>
      <c r="E3484">
        <v>0</v>
      </c>
      <c r="F3484">
        <v>0</v>
      </c>
      <c r="G3484">
        <v>0</v>
      </c>
    </row>
    <row r="3485" spans="1:7" ht="13" x14ac:dyDescent="0.15">
      <c r="A3485" s="2">
        <v>421482</v>
      </c>
      <c r="B3485" s="12" t="s">
        <v>10534</v>
      </c>
      <c r="C3485">
        <v>0</v>
      </c>
      <c r="D3485">
        <v>0</v>
      </c>
      <c r="E3485">
        <v>0</v>
      </c>
      <c r="F3485">
        <v>0</v>
      </c>
      <c r="G3485">
        <v>0</v>
      </c>
    </row>
    <row r="3486" spans="1:7" ht="13" x14ac:dyDescent="0.15">
      <c r="A3486" s="2">
        <v>1156535</v>
      </c>
      <c r="B3486" s="12" t="s">
        <v>10535</v>
      </c>
      <c r="C3486">
        <v>1</v>
      </c>
      <c r="D3486">
        <v>0</v>
      </c>
      <c r="E3486">
        <v>0</v>
      </c>
      <c r="F3486">
        <v>0</v>
      </c>
      <c r="G3486">
        <v>0</v>
      </c>
    </row>
    <row r="3487" spans="1:7" ht="13" x14ac:dyDescent="0.15">
      <c r="A3487" s="2">
        <v>6522758</v>
      </c>
      <c r="B3487" s="12" t="s">
        <v>10536</v>
      </c>
      <c r="C3487">
        <v>0</v>
      </c>
      <c r="D3487">
        <v>0</v>
      </c>
      <c r="E3487">
        <v>0</v>
      </c>
      <c r="F3487">
        <v>0</v>
      </c>
      <c r="G3487">
        <v>0</v>
      </c>
    </row>
    <row r="3488" spans="1:7" ht="13" x14ac:dyDescent="0.15">
      <c r="A3488" s="2">
        <v>112225</v>
      </c>
      <c r="B3488" s="12" t="s">
        <v>10537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ht="13" x14ac:dyDescent="0.15">
      <c r="A3489" s="2">
        <v>402716</v>
      </c>
      <c r="B3489" s="12" t="s">
        <v>10538</v>
      </c>
      <c r="C3489">
        <v>0</v>
      </c>
      <c r="D3489">
        <v>0</v>
      </c>
      <c r="E3489">
        <v>0</v>
      </c>
      <c r="F3489">
        <v>0</v>
      </c>
      <c r="G3489">
        <v>0</v>
      </c>
    </row>
    <row r="3490" spans="1:7" ht="13" x14ac:dyDescent="0.15">
      <c r="A3490" s="2">
        <v>274298</v>
      </c>
      <c r="B3490" s="12" t="s">
        <v>10539</v>
      </c>
      <c r="C3490">
        <v>0</v>
      </c>
      <c r="D3490">
        <v>1</v>
      </c>
      <c r="E3490">
        <v>0</v>
      </c>
      <c r="F3490">
        <v>0</v>
      </c>
      <c r="G3490">
        <v>0</v>
      </c>
    </row>
    <row r="3491" spans="1:7" ht="13" x14ac:dyDescent="0.15">
      <c r="A3491" s="2">
        <v>321021</v>
      </c>
      <c r="B3491" s="12" t="s">
        <v>10540</v>
      </c>
      <c r="C3491">
        <v>0</v>
      </c>
      <c r="D3491">
        <v>0</v>
      </c>
      <c r="E3491">
        <v>0</v>
      </c>
      <c r="F3491">
        <v>0</v>
      </c>
      <c r="G3491">
        <v>0</v>
      </c>
    </row>
    <row r="3492" spans="1:7" ht="13" x14ac:dyDescent="0.15">
      <c r="A3492" s="2">
        <v>5858560</v>
      </c>
      <c r="B3492" s="12" t="s">
        <v>10541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ht="13" x14ac:dyDescent="0.15">
      <c r="A3493" s="2">
        <v>4322508</v>
      </c>
      <c r="B3493" s="12" t="s">
        <v>10542</v>
      </c>
      <c r="C3493">
        <v>0</v>
      </c>
      <c r="D3493">
        <v>0</v>
      </c>
      <c r="E3493">
        <v>0</v>
      </c>
      <c r="F3493">
        <v>0</v>
      </c>
      <c r="G3493">
        <v>0</v>
      </c>
    </row>
    <row r="3494" spans="1:7" ht="13" x14ac:dyDescent="0.15">
      <c r="A3494" s="2">
        <v>2537956</v>
      </c>
      <c r="B3494" s="12" t="s">
        <v>10543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ht="13" x14ac:dyDescent="0.15">
      <c r="A3495" s="2">
        <v>799922</v>
      </c>
      <c r="B3495" s="12" t="s">
        <v>10544</v>
      </c>
      <c r="C3495">
        <v>0</v>
      </c>
      <c r="D3495">
        <v>0</v>
      </c>
      <c r="E3495">
        <v>0</v>
      </c>
      <c r="F3495">
        <v>0</v>
      </c>
      <c r="G3495">
        <v>0</v>
      </c>
    </row>
    <row r="3496" spans="1:7" ht="13" x14ac:dyDescent="0.15">
      <c r="A3496" s="2">
        <v>367439</v>
      </c>
      <c r="B3496" s="12" t="s">
        <v>10545</v>
      </c>
      <c r="C3496">
        <v>0</v>
      </c>
      <c r="D3496">
        <v>0</v>
      </c>
      <c r="E3496">
        <v>0</v>
      </c>
      <c r="F3496">
        <v>0</v>
      </c>
      <c r="G3496">
        <v>0</v>
      </c>
    </row>
    <row r="3497" spans="1:7" ht="13" x14ac:dyDescent="0.15">
      <c r="A3497" s="2">
        <v>13625982</v>
      </c>
      <c r="B3497" s="12" t="s">
        <v>10546</v>
      </c>
      <c r="C3497">
        <v>0</v>
      </c>
      <c r="D3497">
        <v>0</v>
      </c>
      <c r="E3497">
        <v>0</v>
      </c>
      <c r="F3497">
        <v>0</v>
      </c>
      <c r="G3497">
        <v>0</v>
      </c>
    </row>
    <row r="3498" spans="1:7" ht="13" x14ac:dyDescent="0.15">
      <c r="A3498" s="2">
        <v>772145</v>
      </c>
      <c r="B3498" s="12" t="s">
        <v>10547</v>
      </c>
      <c r="C3498">
        <v>0</v>
      </c>
      <c r="D3498">
        <v>1</v>
      </c>
      <c r="E3498">
        <v>0</v>
      </c>
      <c r="F3498">
        <v>0</v>
      </c>
      <c r="G3498">
        <v>0</v>
      </c>
    </row>
    <row r="3499" spans="1:7" ht="13" x14ac:dyDescent="0.15">
      <c r="A3499" s="2">
        <v>1109922</v>
      </c>
      <c r="B3499" s="12" t="s">
        <v>10548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ht="13" x14ac:dyDescent="0.15">
      <c r="A3500" s="2">
        <v>358326</v>
      </c>
      <c r="B3500" s="12" t="s">
        <v>10549</v>
      </c>
      <c r="C3500">
        <v>0</v>
      </c>
      <c r="D3500">
        <v>0</v>
      </c>
      <c r="E3500">
        <v>0</v>
      </c>
      <c r="F3500">
        <v>0</v>
      </c>
      <c r="G3500">
        <v>0</v>
      </c>
    </row>
    <row r="3501" spans="1:7" ht="13" x14ac:dyDescent="0.15">
      <c r="A3501" s="2">
        <v>450357</v>
      </c>
      <c r="B3501" s="12" t="s">
        <v>10550</v>
      </c>
      <c r="C3501">
        <v>0</v>
      </c>
      <c r="D3501">
        <v>0</v>
      </c>
      <c r="E3501">
        <v>1</v>
      </c>
      <c r="F3501">
        <v>0</v>
      </c>
      <c r="G3501">
        <v>0</v>
      </c>
    </row>
    <row r="3502" spans="1:7" ht="13" x14ac:dyDescent="0.15">
      <c r="A3502" s="2">
        <v>361256</v>
      </c>
      <c r="B3502" s="12" t="s">
        <v>10551</v>
      </c>
      <c r="C3502">
        <v>0</v>
      </c>
      <c r="D3502">
        <v>0</v>
      </c>
      <c r="E3502">
        <v>0</v>
      </c>
      <c r="F3502">
        <v>0</v>
      </c>
      <c r="G3502">
        <v>0</v>
      </c>
    </row>
    <row r="3503" spans="1:7" ht="13" x14ac:dyDescent="0.15">
      <c r="A3503" s="2">
        <v>370227</v>
      </c>
      <c r="B3503" s="12" t="s">
        <v>10552</v>
      </c>
      <c r="C3503">
        <v>0</v>
      </c>
      <c r="D3503">
        <v>0</v>
      </c>
      <c r="E3503">
        <v>0</v>
      </c>
      <c r="F3503">
        <v>0</v>
      </c>
      <c r="G3503">
        <v>0</v>
      </c>
    </row>
    <row r="3504" spans="1:7" ht="13" x14ac:dyDescent="0.15">
      <c r="A3504" s="2">
        <v>2879390</v>
      </c>
      <c r="B3504" s="12" t="s">
        <v>10553</v>
      </c>
      <c r="C3504">
        <v>0</v>
      </c>
      <c r="D3504">
        <v>1</v>
      </c>
      <c r="E3504">
        <v>0</v>
      </c>
      <c r="F3504">
        <v>0</v>
      </c>
      <c r="G3504">
        <v>0</v>
      </c>
    </row>
    <row r="3505" spans="1:7" ht="13" x14ac:dyDescent="0.15">
      <c r="A3505" s="2">
        <v>4204032</v>
      </c>
      <c r="B3505" s="12" t="s">
        <v>10554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ht="13" x14ac:dyDescent="0.15">
      <c r="A3506" s="2">
        <v>1663613</v>
      </c>
      <c r="B3506" s="12" t="s">
        <v>10555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ht="13" x14ac:dyDescent="0.15">
      <c r="A3507" s="2">
        <v>6143796</v>
      </c>
      <c r="B3507" s="12" t="s">
        <v>10556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ht="13" x14ac:dyDescent="0.15">
      <c r="A3508" s="2">
        <v>5895884</v>
      </c>
      <c r="B3508" s="12" t="s">
        <v>10557</v>
      </c>
      <c r="C3508">
        <v>0</v>
      </c>
      <c r="D3508">
        <v>0</v>
      </c>
      <c r="E3508">
        <v>0</v>
      </c>
      <c r="F3508">
        <v>0</v>
      </c>
      <c r="G3508">
        <v>1</v>
      </c>
    </row>
    <row r="3509" spans="1:7" ht="13" x14ac:dyDescent="0.15">
      <c r="A3509" s="2">
        <v>2678354</v>
      </c>
      <c r="B3509" s="12" t="s">
        <v>10558</v>
      </c>
      <c r="C3509">
        <v>0</v>
      </c>
      <c r="D3509">
        <v>0</v>
      </c>
      <c r="E3509">
        <v>0</v>
      </c>
      <c r="F3509">
        <v>0</v>
      </c>
      <c r="G3509">
        <v>0</v>
      </c>
    </row>
    <row r="3510" spans="1:7" ht="13" x14ac:dyDescent="0.15">
      <c r="A3510" s="2">
        <v>4168956</v>
      </c>
      <c r="B3510" s="12" t="s">
        <v>10559</v>
      </c>
      <c r="C3510">
        <v>0</v>
      </c>
      <c r="D3510">
        <v>0</v>
      </c>
      <c r="E3510">
        <v>0</v>
      </c>
      <c r="F3510">
        <v>0</v>
      </c>
      <c r="G3510">
        <v>0</v>
      </c>
    </row>
    <row r="3511" spans="1:7" ht="13" x14ac:dyDescent="0.15">
      <c r="A3511" s="2">
        <v>108992</v>
      </c>
      <c r="B3511" s="12" t="s">
        <v>10560</v>
      </c>
      <c r="C3511">
        <v>0</v>
      </c>
      <c r="D3511">
        <v>0</v>
      </c>
      <c r="E3511">
        <v>0</v>
      </c>
      <c r="F3511">
        <v>0</v>
      </c>
      <c r="G3511">
        <v>0</v>
      </c>
    </row>
    <row r="3512" spans="1:7" ht="13" x14ac:dyDescent="0.15">
      <c r="A3512" s="2">
        <v>4878326</v>
      </c>
      <c r="B3512" s="12" t="s">
        <v>10561</v>
      </c>
      <c r="C3512">
        <v>0</v>
      </c>
      <c r="D3512">
        <v>1</v>
      </c>
      <c r="E3512">
        <v>0</v>
      </c>
      <c r="F3512">
        <v>0</v>
      </c>
      <c r="G3512">
        <v>0</v>
      </c>
    </row>
    <row r="3513" spans="1:7" ht="13" x14ac:dyDescent="0.15">
      <c r="A3513" s="2">
        <v>312258</v>
      </c>
      <c r="B3513" s="12" t="s">
        <v>10562</v>
      </c>
      <c r="C3513">
        <v>0</v>
      </c>
      <c r="D3513">
        <v>0</v>
      </c>
      <c r="E3513">
        <v>0</v>
      </c>
      <c r="F3513">
        <v>0</v>
      </c>
      <c r="G3513">
        <v>0</v>
      </c>
    </row>
    <row r="3514" spans="1:7" ht="13" x14ac:dyDescent="0.15">
      <c r="A3514" s="2">
        <v>10578482</v>
      </c>
      <c r="B3514" s="12" t="s">
        <v>10563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ht="13" x14ac:dyDescent="0.15">
      <c r="A3515" s="2">
        <v>4338336</v>
      </c>
      <c r="B3515" s="12" t="s">
        <v>10564</v>
      </c>
      <c r="C3515">
        <v>0</v>
      </c>
      <c r="D3515">
        <v>0</v>
      </c>
      <c r="E3515">
        <v>0</v>
      </c>
      <c r="F3515">
        <v>0</v>
      </c>
      <c r="G3515">
        <v>0</v>
      </c>
    </row>
    <row r="3516" spans="1:7" ht="13" x14ac:dyDescent="0.15">
      <c r="A3516" s="2">
        <v>247827</v>
      </c>
      <c r="B3516" s="12" t="s">
        <v>10565</v>
      </c>
      <c r="C3516">
        <v>0</v>
      </c>
      <c r="D3516">
        <v>1</v>
      </c>
      <c r="E3516">
        <v>0</v>
      </c>
      <c r="F3516">
        <v>0</v>
      </c>
      <c r="G3516">
        <v>0</v>
      </c>
    </row>
    <row r="3517" spans="1:7" ht="13" x14ac:dyDescent="0.15">
      <c r="A3517" s="2">
        <v>103584</v>
      </c>
      <c r="B3517" s="12" t="s">
        <v>10566</v>
      </c>
      <c r="C3517">
        <v>0</v>
      </c>
      <c r="D3517">
        <v>1</v>
      </c>
      <c r="E3517">
        <v>0</v>
      </c>
      <c r="F3517">
        <v>0</v>
      </c>
      <c r="G3517">
        <v>0</v>
      </c>
    </row>
    <row r="3518" spans="1:7" ht="13" x14ac:dyDescent="0.15">
      <c r="A3518" s="2">
        <v>112230</v>
      </c>
      <c r="B3518" s="12" t="s">
        <v>10567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ht="13" x14ac:dyDescent="0.15">
      <c r="A3519" s="2">
        <v>138277</v>
      </c>
      <c r="B3519" s="12" t="s">
        <v>10568</v>
      </c>
      <c r="C3519">
        <v>0</v>
      </c>
      <c r="D3519">
        <v>0</v>
      </c>
      <c r="E3519">
        <v>0</v>
      </c>
      <c r="F3519">
        <v>0</v>
      </c>
      <c r="G3519">
        <v>0</v>
      </c>
    </row>
    <row r="3520" spans="1:7" ht="13" x14ac:dyDescent="0.15">
      <c r="A3520" s="2">
        <v>1713938</v>
      </c>
      <c r="B3520" s="12" t="s">
        <v>10569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ht="13" x14ac:dyDescent="0.15">
      <c r="A3521" s="2">
        <v>218796</v>
      </c>
      <c r="B3521" s="12" t="s">
        <v>10570</v>
      </c>
      <c r="C3521">
        <v>0</v>
      </c>
      <c r="D3521">
        <v>0</v>
      </c>
      <c r="E3521">
        <v>0</v>
      </c>
      <c r="F3521">
        <v>0</v>
      </c>
      <c r="G3521">
        <v>0</v>
      </c>
    </row>
    <row r="3522" spans="1:7" ht="13" x14ac:dyDescent="0.15">
      <c r="A3522" s="2">
        <v>1151295</v>
      </c>
      <c r="B3522" s="12" t="s">
        <v>10571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ht="13" x14ac:dyDescent="0.15">
      <c r="A3523" s="2">
        <v>6527798</v>
      </c>
      <c r="B3523" s="12" t="s">
        <v>10572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ht="13" x14ac:dyDescent="0.15">
      <c r="A3524" s="2">
        <v>2963070</v>
      </c>
      <c r="B3524" s="12" t="s">
        <v>10573</v>
      </c>
      <c r="C3524">
        <v>0</v>
      </c>
      <c r="D3524">
        <v>0</v>
      </c>
      <c r="E3524">
        <v>0</v>
      </c>
      <c r="F3524">
        <v>0</v>
      </c>
      <c r="G3524">
        <v>0</v>
      </c>
    </row>
    <row r="3525" spans="1:7" ht="13" x14ac:dyDescent="0.15">
      <c r="A3525" s="2">
        <v>8595766</v>
      </c>
      <c r="B3525" s="12" t="s">
        <v>10574</v>
      </c>
      <c r="C3525">
        <v>0</v>
      </c>
      <c r="D3525">
        <v>0</v>
      </c>
      <c r="E3525">
        <v>0</v>
      </c>
      <c r="F3525">
        <v>0</v>
      </c>
      <c r="G3525">
        <v>0</v>
      </c>
    </row>
    <row r="3526" spans="1:7" ht="13" x14ac:dyDescent="0.15">
      <c r="A3526" s="2">
        <v>4236770</v>
      </c>
      <c r="B3526" s="12" t="s">
        <v>10575</v>
      </c>
      <c r="C3526">
        <v>0</v>
      </c>
      <c r="D3526">
        <v>0</v>
      </c>
      <c r="E3526">
        <v>0</v>
      </c>
      <c r="F3526">
        <v>0</v>
      </c>
      <c r="G3526">
        <v>0</v>
      </c>
    </row>
    <row r="3527" spans="1:7" ht="13" x14ac:dyDescent="0.15">
      <c r="A3527" s="2">
        <v>80306</v>
      </c>
      <c r="B3527" s="12" t="s">
        <v>10576</v>
      </c>
      <c r="C3527">
        <v>0</v>
      </c>
      <c r="D3527">
        <v>0</v>
      </c>
      <c r="E3527">
        <v>0</v>
      </c>
      <c r="F3527">
        <v>0</v>
      </c>
      <c r="G3527">
        <v>0</v>
      </c>
    </row>
    <row r="3528" spans="1:7" ht="13" x14ac:dyDescent="0.15">
      <c r="A3528" s="2">
        <v>855673</v>
      </c>
      <c r="B3528" s="12" t="s">
        <v>10577</v>
      </c>
      <c r="C3528">
        <v>0</v>
      </c>
      <c r="D3528">
        <v>0</v>
      </c>
      <c r="E3528">
        <v>0</v>
      </c>
      <c r="F3528">
        <v>0</v>
      </c>
      <c r="G3528">
        <v>0</v>
      </c>
    </row>
    <row r="3529" spans="1:7" ht="13" x14ac:dyDescent="0.15">
      <c r="A3529" s="2">
        <v>824262</v>
      </c>
      <c r="B3529" s="12" t="s">
        <v>10578</v>
      </c>
      <c r="C3529">
        <v>0</v>
      </c>
      <c r="D3529">
        <v>0</v>
      </c>
      <c r="E3529">
        <v>0</v>
      </c>
      <c r="F3529">
        <v>0</v>
      </c>
      <c r="G3529">
        <v>0</v>
      </c>
    </row>
    <row r="3530" spans="1:7" ht="13" x14ac:dyDescent="0.15">
      <c r="A3530" s="2">
        <v>101240</v>
      </c>
      <c r="B3530" s="12" t="s">
        <v>10579</v>
      </c>
      <c r="C3530">
        <v>0</v>
      </c>
      <c r="D3530">
        <v>0</v>
      </c>
      <c r="E3530">
        <v>0</v>
      </c>
      <c r="F3530">
        <v>0</v>
      </c>
      <c r="G3530">
        <v>0</v>
      </c>
    </row>
    <row r="3531" spans="1:7" ht="13" x14ac:dyDescent="0.15">
      <c r="A3531" s="2">
        <v>361260</v>
      </c>
      <c r="B3531" s="12" t="s">
        <v>10580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ht="13" x14ac:dyDescent="0.15">
      <c r="A3532" s="2">
        <v>1160947</v>
      </c>
      <c r="B3532" s="12" t="s">
        <v>10581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ht="13" x14ac:dyDescent="0.15">
      <c r="A3533" s="2">
        <v>2419116</v>
      </c>
      <c r="B3533" s="12" t="s">
        <v>10582</v>
      </c>
      <c r="C3533">
        <v>0</v>
      </c>
      <c r="D3533">
        <v>0</v>
      </c>
      <c r="E3533">
        <v>0</v>
      </c>
      <c r="F3533">
        <v>0</v>
      </c>
      <c r="G3533">
        <v>0</v>
      </c>
    </row>
    <row r="3534" spans="1:7" ht="13" x14ac:dyDescent="0.15">
      <c r="A3534" s="2">
        <v>7335184</v>
      </c>
      <c r="B3534" s="12" t="s">
        <v>10583</v>
      </c>
      <c r="C3534">
        <v>0</v>
      </c>
      <c r="D3534">
        <v>1</v>
      </c>
      <c r="E3534">
        <v>0</v>
      </c>
      <c r="F3534">
        <v>0</v>
      </c>
      <c r="G3534">
        <v>0</v>
      </c>
    </row>
    <row r="3535" spans="1:7" ht="13" x14ac:dyDescent="0.15">
      <c r="A3535" s="2">
        <v>2074131</v>
      </c>
      <c r="B3535" s="12" t="s">
        <v>10584</v>
      </c>
      <c r="C3535">
        <v>0</v>
      </c>
      <c r="D3535">
        <v>0</v>
      </c>
      <c r="E3535">
        <v>0</v>
      </c>
      <c r="F3535">
        <v>0</v>
      </c>
      <c r="G3535">
        <v>0</v>
      </c>
    </row>
    <row r="3536" spans="1:7" ht="13" x14ac:dyDescent="0.15">
      <c r="A3536" s="2">
        <v>6149728</v>
      </c>
      <c r="B3536" s="12" t="s">
        <v>10585</v>
      </c>
      <c r="C3536">
        <v>0</v>
      </c>
      <c r="D3536">
        <v>0</v>
      </c>
      <c r="E3536">
        <v>0</v>
      </c>
      <c r="F3536">
        <v>0</v>
      </c>
      <c r="G3536">
        <v>0</v>
      </c>
    </row>
    <row r="3537" spans="1:7" ht="13" x14ac:dyDescent="0.15">
      <c r="A3537" s="2">
        <v>5179408</v>
      </c>
      <c r="B3537" s="12" t="s">
        <v>10586</v>
      </c>
      <c r="C3537">
        <v>0</v>
      </c>
      <c r="D3537">
        <v>0</v>
      </c>
      <c r="E3537">
        <v>0</v>
      </c>
      <c r="F3537">
        <v>0</v>
      </c>
      <c r="G3537">
        <v>0</v>
      </c>
    </row>
    <row r="3538" spans="1:7" ht="13" x14ac:dyDescent="0.15">
      <c r="A3538" s="2">
        <v>124218</v>
      </c>
      <c r="B3538" s="12" t="s">
        <v>10587</v>
      </c>
      <c r="C3538">
        <v>0</v>
      </c>
      <c r="D3538">
        <v>0</v>
      </c>
      <c r="E3538">
        <v>0</v>
      </c>
      <c r="F3538">
        <v>0</v>
      </c>
      <c r="G3538">
        <v>0</v>
      </c>
    </row>
    <row r="3539" spans="1:7" ht="13" x14ac:dyDescent="0.15">
      <c r="A3539" s="2">
        <v>6723012</v>
      </c>
      <c r="B3539" s="12" t="s">
        <v>10588</v>
      </c>
      <c r="C3539">
        <v>0</v>
      </c>
      <c r="D3539">
        <v>0</v>
      </c>
      <c r="E3539">
        <v>0</v>
      </c>
      <c r="F3539">
        <v>0</v>
      </c>
      <c r="G3539">
        <v>0</v>
      </c>
    </row>
    <row r="3540" spans="1:7" ht="13" x14ac:dyDescent="0.15">
      <c r="A3540" s="2">
        <v>237989</v>
      </c>
      <c r="B3540" s="12" t="s">
        <v>10589</v>
      </c>
      <c r="C3540">
        <v>0</v>
      </c>
      <c r="D3540">
        <v>0</v>
      </c>
      <c r="E3540">
        <v>0</v>
      </c>
      <c r="F3540">
        <v>0</v>
      </c>
      <c r="G3540">
        <v>0</v>
      </c>
    </row>
    <row r="3541" spans="1:7" ht="13" x14ac:dyDescent="0.15">
      <c r="A3541" s="2">
        <v>3228420</v>
      </c>
      <c r="B3541" s="12" t="s">
        <v>10590</v>
      </c>
      <c r="C3541">
        <v>0</v>
      </c>
      <c r="D3541">
        <v>0</v>
      </c>
      <c r="E3541">
        <v>0</v>
      </c>
      <c r="F3541">
        <v>0</v>
      </c>
      <c r="G3541">
        <v>0</v>
      </c>
    </row>
    <row r="3542" spans="1:7" ht="13" x14ac:dyDescent="0.15">
      <c r="A3542" s="2">
        <v>111351</v>
      </c>
      <c r="B3542" s="12" t="s">
        <v>10591</v>
      </c>
      <c r="C3542">
        <v>0</v>
      </c>
      <c r="D3542">
        <v>0</v>
      </c>
      <c r="E3542">
        <v>0</v>
      </c>
      <c r="F3542">
        <v>0</v>
      </c>
      <c r="G3542">
        <v>0</v>
      </c>
    </row>
    <row r="3543" spans="1:7" ht="13" x14ac:dyDescent="0.15">
      <c r="A3543" s="2">
        <v>2084712</v>
      </c>
      <c r="B3543" s="12" t="s">
        <v>10592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ht="13" x14ac:dyDescent="0.15">
      <c r="A3544" s="2">
        <v>5554800</v>
      </c>
      <c r="B3544" s="12" t="s">
        <v>10593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ht="13" x14ac:dyDescent="0.15">
      <c r="A3545" s="2">
        <v>220178</v>
      </c>
      <c r="B3545" s="12" t="s">
        <v>10594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ht="13" x14ac:dyDescent="0.15">
      <c r="A3546" s="2">
        <v>144724</v>
      </c>
      <c r="B3546" s="12" t="s">
        <v>10595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ht="13" x14ac:dyDescent="0.15">
      <c r="A3547" s="2">
        <v>169516</v>
      </c>
      <c r="B3547" s="12" t="s">
        <v>10596</v>
      </c>
      <c r="C3547">
        <v>1</v>
      </c>
      <c r="D3547">
        <v>0</v>
      </c>
      <c r="E3547">
        <v>0</v>
      </c>
      <c r="F3547">
        <v>0</v>
      </c>
      <c r="G3547">
        <v>0</v>
      </c>
    </row>
    <row r="3548" spans="1:7" ht="13" x14ac:dyDescent="0.15">
      <c r="A3548" s="2">
        <v>1641384</v>
      </c>
      <c r="B3548" s="12" t="s">
        <v>10597</v>
      </c>
      <c r="C3548">
        <v>0</v>
      </c>
      <c r="D3548">
        <v>1</v>
      </c>
      <c r="E3548">
        <v>0</v>
      </c>
      <c r="F3548">
        <v>0</v>
      </c>
      <c r="G3548">
        <v>0</v>
      </c>
    </row>
    <row r="3549" spans="1:7" ht="13" x14ac:dyDescent="0.15">
      <c r="A3549" s="2">
        <v>3288518</v>
      </c>
      <c r="B3549" s="12" t="s">
        <v>10598</v>
      </c>
      <c r="C3549">
        <v>0</v>
      </c>
      <c r="D3549">
        <v>1</v>
      </c>
      <c r="E3549">
        <v>0</v>
      </c>
      <c r="F3549">
        <v>0</v>
      </c>
      <c r="G3549">
        <v>0</v>
      </c>
    </row>
    <row r="3550" spans="1:7" ht="13" x14ac:dyDescent="0.15">
      <c r="A3550" s="2">
        <v>2362694</v>
      </c>
      <c r="B3550" s="12" t="s">
        <v>10599</v>
      </c>
      <c r="C3550">
        <v>0</v>
      </c>
      <c r="D3550">
        <v>0</v>
      </c>
      <c r="E3550">
        <v>0</v>
      </c>
      <c r="F3550">
        <v>0</v>
      </c>
      <c r="G3550">
        <v>0</v>
      </c>
    </row>
    <row r="3551" spans="1:7" ht="13" x14ac:dyDescent="0.15">
      <c r="A3551" s="2">
        <v>185133</v>
      </c>
      <c r="B3551" s="12" t="s">
        <v>10600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ht="13" x14ac:dyDescent="0.15">
      <c r="A3552" s="2">
        <v>1196094</v>
      </c>
      <c r="B3552" s="12" t="s">
        <v>10601</v>
      </c>
      <c r="C3552">
        <v>0</v>
      </c>
      <c r="D3552">
        <v>1</v>
      </c>
      <c r="E3552">
        <v>0</v>
      </c>
      <c r="F3552">
        <v>0</v>
      </c>
      <c r="G3552">
        <v>0</v>
      </c>
    </row>
    <row r="3553" spans="1:7" ht="13" x14ac:dyDescent="0.15">
      <c r="A3553" s="2">
        <v>3696476</v>
      </c>
      <c r="B3553" s="12" t="s">
        <v>10602</v>
      </c>
      <c r="C3553">
        <v>0</v>
      </c>
      <c r="D3553">
        <v>1</v>
      </c>
      <c r="E3553">
        <v>0</v>
      </c>
      <c r="F3553">
        <v>0</v>
      </c>
      <c r="G3553">
        <v>0</v>
      </c>
    </row>
    <row r="3554" spans="1:7" ht="13" x14ac:dyDescent="0.15">
      <c r="A3554" s="2">
        <v>493334</v>
      </c>
      <c r="B3554" s="12" t="s">
        <v>10603</v>
      </c>
      <c r="C3554">
        <v>0</v>
      </c>
      <c r="D3554">
        <v>1</v>
      </c>
      <c r="E3554">
        <v>0</v>
      </c>
      <c r="F3554">
        <v>0</v>
      </c>
      <c r="G3554">
        <v>0</v>
      </c>
    </row>
    <row r="3555" spans="1:7" ht="13" x14ac:dyDescent="0.15">
      <c r="A3555" s="2">
        <v>2363624</v>
      </c>
      <c r="B3555" s="12" t="s">
        <v>10604</v>
      </c>
      <c r="C3555">
        <v>0</v>
      </c>
      <c r="D3555">
        <v>1</v>
      </c>
      <c r="E3555">
        <v>0</v>
      </c>
      <c r="F3555">
        <v>0</v>
      </c>
      <c r="G3555">
        <v>0</v>
      </c>
    </row>
    <row r="3556" spans="1:7" ht="13" x14ac:dyDescent="0.15">
      <c r="A3556" s="2">
        <v>6112556</v>
      </c>
      <c r="B3556" s="12" t="s">
        <v>10605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ht="13" x14ac:dyDescent="0.15">
      <c r="A3557" s="2">
        <v>3843168</v>
      </c>
      <c r="B3557" s="12" t="s">
        <v>10606</v>
      </c>
      <c r="C3557">
        <v>0</v>
      </c>
      <c r="D3557">
        <v>0</v>
      </c>
      <c r="E3557">
        <v>0</v>
      </c>
      <c r="F3557">
        <v>0</v>
      </c>
      <c r="G3557">
        <v>0</v>
      </c>
    </row>
    <row r="3558" spans="1:7" ht="13" x14ac:dyDescent="0.15">
      <c r="A3558" s="2">
        <v>5821714</v>
      </c>
      <c r="B3558" s="12" t="s">
        <v>10607</v>
      </c>
      <c r="C3558">
        <v>0</v>
      </c>
      <c r="D3558">
        <v>0</v>
      </c>
      <c r="E3558">
        <v>0</v>
      </c>
      <c r="F3558">
        <v>0</v>
      </c>
      <c r="G3558">
        <v>0</v>
      </c>
    </row>
    <row r="3559" spans="1:7" ht="13" x14ac:dyDescent="0.15">
      <c r="A3559" s="2">
        <v>2088661</v>
      </c>
      <c r="B3559" s="12" t="s">
        <v>10608</v>
      </c>
      <c r="C3559">
        <v>0</v>
      </c>
      <c r="D3559">
        <v>0</v>
      </c>
      <c r="E3559">
        <v>0</v>
      </c>
      <c r="F3559">
        <v>0</v>
      </c>
      <c r="G3559">
        <v>0</v>
      </c>
    </row>
    <row r="3560" spans="1:7" ht="13" x14ac:dyDescent="0.15">
      <c r="A3560" s="2">
        <v>2046005</v>
      </c>
      <c r="B3560" s="12" t="s">
        <v>10609</v>
      </c>
      <c r="C3560">
        <v>0</v>
      </c>
      <c r="D3560">
        <v>0</v>
      </c>
      <c r="E3560">
        <v>0</v>
      </c>
      <c r="F3560">
        <v>0</v>
      </c>
      <c r="G3560">
        <v>0</v>
      </c>
    </row>
    <row r="3561" spans="1:7" ht="13" x14ac:dyDescent="0.15">
      <c r="A3561" s="2">
        <v>2828240</v>
      </c>
      <c r="B3561" s="12" t="s">
        <v>10610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ht="13" x14ac:dyDescent="0.15">
      <c r="A3562" s="2">
        <v>8464142</v>
      </c>
      <c r="B3562" s="12" t="s">
        <v>10611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ht="13" x14ac:dyDescent="0.15">
      <c r="A3563" s="2">
        <v>415463</v>
      </c>
      <c r="B3563" s="12" t="s">
        <v>10612</v>
      </c>
      <c r="C3563">
        <v>0</v>
      </c>
      <c r="D3563">
        <v>0</v>
      </c>
      <c r="E3563">
        <v>0</v>
      </c>
      <c r="F3563">
        <v>0</v>
      </c>
      <c r="G3563">
        <v>0</v>
      </c>
    </row>
    <row r="3564" spans="1:7" ht="13" x14ac:dyDescent="0.15">
      <c r="A3564" s="2">
        <v>4401768</v>
      </c>
      <c r="B3564" s="12" t="s">
        <v>10613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ht="13" x14ac:dyDescent="0.15">
      <c r="A3565" s="2">
        <v>9054354</v>
      </c>
      <c r="B3565" s="12" t="s">
        <v>10614</v>
      </c>
      <c r="C3565">
        <v>0</v>
      </c>
      <c r="D3565">
        <v>0</v>
      </c>
      <c r="E3565">
        <v>0</v>
      </c>
      <c r="F3565">
        <v>1</v>
      </c>
      <c r="G3565">
        <v>0</v>
      </c>
    </row>
    <row r="3566" spans="1:7" ht="13" x14ac:dyDescent="0.15">
      <c r="A3566" s="2">
        <v>3250026</v>
      </c>
      <c r="B3566" s="12" t="s">
        <v>10615</v>
      </c>
      <c r="C3566">
        <v>0</v>
      </c>
      <c r="D3566">
        <v>1</v>
      </c>
      <c r="E3566">
        <v>0</v>
      </c>
      <c r="F3566">
        <v>0</v>
      </c>
      <c r="G3566">
        <v>0</v>
      </c>
    </row>
    <row r="3567" spans="1:7" ht="13" x14ac:dyDescent="0.15">
      <c r="A3567" s="2">
        <v>98957</v>
      </c>
      <c r="B3567" s="12" t="s">
        <v>10616</v>
      </c>
      <c r="C3567">
        <v>0</v>
      </c>
      <c r="D3567">
        <v>1</v>
      </c>
      <c r="E3567">
        <v>0</v>
      </c>
      <c r="F3567">
        <v>1</v>
      </c>
      <c r="G3567">
        <v>0</v>
      </c>
    </row>
    <row r="3568" spans="1:7" ht="13" x14ac:dyDescent="0.15">
      <c r="A3568" s="2">
        <v>149548</v>
      </c>
      <c r="B3568" s="12" t="s">
        <v>10616</v>
      </c>
      <c r="C3568">
        <v>0</v>
      </c>
      <c r="D3568">
        <v>1</v>
      </c>
      <c r="E3568">
        <v>0</v>
      </c>
      <c r="F3568">
        <v>1</v>
      </c>
      <c r="G3568">
        <v>0</v>
      </c>
    </row>
    <row r="3569" spans="1:7" ht="13" x14ac:dyDescent="0.15">
      <c r="A3569" s="2">
        <v>1403039</v>
      </c>
      <c r="B3569" s="12" t="s">
        <v>10616</v>
      </c>
      <c r="C3569">
        <v>0</v>
      </c>
      <c r="D3569">
        <v>1</v>
      </c>
      <c r="E3569">
        <v>0</v>
      </c>
      <c r="F3569">
        <v>1</v>
      </c>
      <c r="G3569">
        <v>0</v>
      </c>
    </row>
    <row r="3570" spans="1:7" ht="13" x14ac:dyDescent="0.15">
      <c r="A3570" s="2">
        <v>11386498</v>
      </c>
      <c r="B3570" s="12" t="s">
        <v>10617</v>
      </c>
      <c r="C3570">
        <v>0</v>
      </c>
      <c r="D3570">
        <v>0</v>
      </c>
      <c r="E3570">
        <v>0</v>
      </c>
      <c r="F3570">
        <v>0</v>
      </c>
      <c r="G3570">
        <v>0</v>
      </c>
    </row>
    <row r="3571" spans="1:7" ht="13" x14ac:dyDescent="0.15">
      <c r="A3571" s="2">
        <v>454759</v>
      </c>
      <c r="B3571" s="12" t="s">
        <v>10618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ht="13" x14ac:dyDescent="0.15">
      <c r="B3572" s="12"/>
    </row>
    <row r="3573" spans="1:7" ht="13" x14ac:dyDescent="0.15">
      <c r="B3573" s="12"/>
    </row>
    <row r="3574" spans="1:7" ht="13" x14ac:dyDescent="0.15">
      <c r="A3574" s="12"/>
      <c r="B3574" s="12"/>
    </row>
    <row r="3575" spans="1:7" ht="13" x14ac:dyDescent="0.15">
      <c r="A3575" s="12"/>
      <c r="B3575" s="12"/>
    </row>
    <row r="3576" spans="1:7" ht="13" x14ac:dyDescent="0.15">
      <c r="A3576" s="12"/>
      <c r="B3576" s="12"/>
    </row>
    <row r="3577" spans="1:7" ht="13" x14ac:dyDescent="0.15">
      <c r="A3577" s="12"/>
      <c r="B3577" s="12"/>
    </row>
    <row r="3578" spans="1:7" ht="13" x14ac:dyDescent="0.15">
      <c r="A3578" s="12"/>
      <c r="B3578" s="12"/>
    </row>
    <row r="3579" spans="1:7" ht="13" x14ac:dyDescent="0.15">
      <c r="A3579" s="12"/>
      <c r="B3579" s="12"/>
    </row>
    <row r="3580" spans="1:7" ht="13" x14ac:dyDescent="0.15">
      <c r="A3580" s="12"/>
      <c r="B3580" s="12"/>
    </row>
    <row r="3581" spans="1:7" ht="13" x14ac:dyDescent="0.15">
      <c r="A3581" s="12"/>
      <c r="B3581" s="12"/>
    </row>
    <row r="3582" spans="1:7" ht="13" x14ac:dyDescent="0.15">
      <c r="A3582" s="12"/>
      <c r="B3582" s="12"/>
    </row>
    <row r="3583" spans="1:7" ht="13" x14ac:dyDescent="0.15">
      <c r="A3583" s="12"/>
      <c r="B3583" s="12"/>
    </row>
    <row r="3584" spans="1:7" ht="13" x14ac:dyDescent="0.15">
      <c r="A3584" s="12"/>
      <c r="B3584" s="12"/>
    </row>
    <row r="3585" spans="1:2" ht="13" x14ac:dyDescent="0.15">
      <c r="A3585" s="12"/>
      <c r="B3585" s="12"/>
    </row>
    <row r="3586" spans="1:2" ht="13" x14ac:dyDescent="0.15">
      <c r="A3586" s="12"/>
      <c r="B3586" s="12"/>
    </row>
    <row r="3587" spans="1:2" ht="13" x14ac:dyDescent="0.15">
      <c r="A3587" s="12"/>
      <c r="B3587" s="12"/>
    </row>
    <row r="3588" spans="1:2" ht="13" x14ac:dyDescent="0.15">
      <c r="A3588" s="12"/>
      <c r="B3588" s="12"/>
    </row>
    <row r="3589" spans="1:2" ht="13" x14ac:dyDescent="0.15">
      <c r="A3589" s="12"/>
      <c r="B3589" s="12"/>
    </row>
    <row r="3590" spans="1:2" ht="13" x14ac:dyDescent="0.15">
      <c r="A3590" s="12"/>
      <c r="B3590" s="12"/>
    </row>
    <row r="3591" spans="1:2" ht="13" x14ac:dyDescent="0.15">
      <c r="A3591" s="12"/>
      <c r="B3591" s="12"/>
    </row>
    <row r="3592" spans="1:2" ht="13" x14ac:dyDescent="0.15">
      <c r="A3592" s="12"/>
      <c r="B3592" s="12"/>
    </row>
    <row r="3593" spans="1:2" ht="13" x14ac:dyDescent="0.15">
      <c r="A3593" s="12"/>
      <c r="B3593" s="12"/>
    </row>
    <row r="3594" spans="1:2" ht="13" x14ac:dyDescent="0.15">
      <c r="A3594" s="12"/>
      <c r="B3594" s="12"/>
    </row>
    <row r="3595" spans="1:2" ht="13" x14ac:dyDescent="0.15">
      <c r="A3595" s="12"/>
      <c r="B3595" s="12"/>
    </row>
    <row r="3596" spans="1:2" ht="13" x14ac:dyDescent="0.15">
      <c r="A3596" s="12"/>
      <c r="B3596" s="12"/>
    </row>
    <row r="3597" spans="1:2" ht="13" x14ac:dyDescent="0.15">
      <c r="A3597" s="12"/>
      <c r="B3597" s="12"/>
    </row>
    <row r="3598" spans="1:2" ht="13" x14ac:dyDescent="0.15">
      <c r="A3598" s="12"/>
      <c r="B3598" s="12"/>
    </row>
    <row r="3599" spans="1:2" ht="13" x14ac:dyDescent="0.15">
      <c r="A3599" s="12"/>
      <c r="B3599" s="12"/>
    </row>
    <row r="3600" spans="1:2" ht="13" x14ac:dyDescent="0.15">
      <c r="A3600" s="12"/>
      <c r="B3600" s="12"/>
    </row>
    <row r="3601" spans="1:2" ht="13" x14ac:dyDescent="0.15">
      <c r="A3601" s="12"/>
      <c r="B3601" s="12"/>
    </row>
    <row r="3602" spans="1:2" ht="13" x14ac:dyDescent="0.15">
      <c r="A3602" s="12"/>
      <c r="B3602" s="12"/>
    </row>
    <row r="3603" spans="1:2" ht="13" x14ac:dyDescent="0.15">
      <c r="A3603" s="12"/>
      <c r="B3603" s="12"/>
    </row>
    <row r="3604" spans="1:2" ht="13" x14ac:dyDescent="0.15">
      <c r="A3604" s="12"/>
      <c r="B3604" s="12"/>
    </row>
    <row r="3605" spans="1:2" ht="13" x14ac:dyDescent="0.15">
      <c r="A3605" s="12"/>
      <c r="B3605" s="12"/>
    </row>
    <row r="3606" spans="1:2" ht="13" x14ac:dyDescent="0.15">
      <c r="A3606" s="12"/>
      <c r="B3606" s="12"/>
    </row>
    <row r="3607" spans="1:2" ht="13" x14ac:dyDescent="0.15">
      <c r="A3607" s="12"/>
      <c r="B3607" s="12"/>
    </row>
    <row r="3608" spans="1:2" ht="13" x14ac:dyDescent="0.15">
      <c r="A3608" s="12"/>
      <c r="B3608" s="12"/>
    </row>
    <row r="3609" spans="1:2" ht="13" x14ac:dyDescent="0.15">
      <c r="A3609" s="12"/>
      <c r="B3609" s="12"/>
    </row>
    <row r="3610" spans="1:2" ht="13" x14ac:dyDescent="0.15">
      <c r="A3610" s="12"/>
      <c r="B3610" s="12"/>
    </row>
    <row r="3611" spans="1:2" ht="13" x14ac:dyDescent="0.15">
      <c r="A3611" s="12"/>
      <c r="B3611" s="12"/>
    </row>
    <row r="3612" spans="1:2" ht="13" x14ac:dyDescent="0.15">
      <c r="A3612" s="12"/>
      <c r="B3612" s="12"/>
    </row>
    <row r="3613" spans="1:2" ht="13" x14ac:dyDescent="0.15">
      <c r="A3613" s="12"/>
      <c r="B3613" s="12"/>
    </row>
    <row r="3614" spans="1:2" ht="13" x14ac:dyDescent="0.15">
      <c r="A3614" s="12"/>
      <c r="B3614" s="12"/>
    </row>
    <row r="3615" spans="1:2" ht="13" x14ac:dyDescent="0.15">
      <c r="A3615" s="12"/>
      <c r="B3615" s="12"/>
    </row>
    <row r="3616" spans="1:2" ht="13" x14ac:dyDescent="0.15">
      <c r="A3616" s="12"/>
      <c r="B3616" s="12"/>
    </row>
    <row r="3617" spans="1:2" ht="13" x14ac:dyDescent="0.15">
      <c r="A3617" s="12"/>
      <c r="B3617" s="12"/>
    </row>
    <row r="3618" spans="1:2" ht="13" x14ac:dyDescent="0.15">
      <c r="A3618" s="12"/>
      <c r="B3618" s="12"/>
    </row>
    <row r="3619" spans="1:2" ht="13" x14ac:dyDescent="0.15">
      <c r="A3619" s="12"/>
      <c r="B3619" s="12"/>
    </row>
    <row r="3620" spans="1:2" ht="13" x14ac:dyDescent="0.15">
      <c r="A3620" s="12"/>
      <c r="B3620" s="12"/>
    </row>
    <row r="3621" spans="1:2" ht="13" x14ac:dyDescent="0.15">
      <c r="A3621" s="12"/>
      <c r="B3621" s="12"/>
    </row>
    <row r="3622" spans="1:2" ht="13" x14ac:dyDescent="0.15">
      <c r="A3622" s="12"/>
      <c r="B3622" s="12"/>
    </row>
    <row r="3623" spans="1:2" ht="13" x14ac:dyDescent="0.15">
      <c r="A3623" s="12"/>
      <c r="B3623" s="12"/>
    </row>
    <row r="3624" spans="1:2" ht="13" x14ac:dyDescent="0.15">
      <c r="A3624" s="12"/>
      <c r="B3624" s="12"/>
    </row>
    <row r="3625" spans="1:2" ht="13" x14ac:dyDescent="0.15">
      <c r="A3625" s="12"/>
      <c r="B3625" s="12"/>
    </row>
    <row r="3626" spans="1:2" ht="13" x14ac:dyDescent="0.15">
      <c r="A3626" s="12"/>
      <c r="B3626" s="12"/>
    </row>
    <row r="3627" spans="1:2" ht="13" x14ac:dyDescent="0.15">
      <c r="A3627" s="12"/>
      <c r="B3627" s="12"/>
    </row>
    <row r="3628" spans="1:2" ht="13" x14ac:dyDescent="0.15">
      <c r="A3628" s="12"/>
      <c r="B3628" s="12"/>
    </row>
    <row r="3629" spans="1:2" ht="13" x14ac:dyDescent="0.15">
      <c r="A3629" s="12"/>
      <c r="B3629" s="12"/>
    </row>
    <row r="3630" spans="1:2" ht="13" x14ac:dyDescent="0.15">
      <c r="A3630" s="12"/>
      <c r="B3630" s="12"/>
    </row>
    <row r="3631" spans="1:2" ht="13" x14ac:dyDescent="0.15">
      <c r="A3631" s="12"/>
      <c r="B3631" s="12"/>
    </row>
    <row r="3632" spans="1:2" ht="13" x14ac:dyDescent="0.15">
      <c r="A3632" s="12"/>
      <c r="B3632" s="12"/>
    </row>
    <row r="3633" spans="1:2" ht="13" x14ac:dyDescent="0.15">
      <c r="A3633" s="12"/>
      <c r="B3633" s="12"/>
    </row>
    <row r="3634" spans="1:2" ht="13" x14ac:dyDescent="0.15">
      <c r="A3634" s="12"/>
      <c r="B3634" s="12"/>
    </row>
    <row r="3635" spans="1:2" ht="13" x14ac:dyDescent="0.15">
      <c r="A3635" s="12"/>
      <c r="B3635" s="12"/>
    </row>
    <row r="3636" spans="1:2" ht="13" x14ac:dyDescent="0.15">
      <c r="A3636" s="12"/>
      <c r="B3636" s="12"/>
    </row>
    <row r="3637" spans="1:2" ht="13" x14ac:dyDescent="0.15">
      <c r="A3637" s="12"/>
      <c r="B3637" s="12"/>
    </row>
    <row r="3638" spans="1:2" ht="13" x14ac:dyDescent="0.15">
      <c r="A3638" s="12"/>
      <c r="B3638" s="12"/>
    </row>
    <row r="3639" spans="1:2" ht="13" x14ac:dyDescent="0.15">
      <c r="A3639" s="12"/>
      <c r="B3639" s="12"/>
    </row>
    <row r="3640" spans="1:2" ht="13" x14ac:dyDescent="0.15">
      <c r="A3640" s="12"/>
      <c r="B3640" s="12"/>
    </row>
    <row r="3641" spans="1:2" ht="13" x14ac:dyDescent="0.15">
      <c r="A3641" s="12"/>
      <c r="B3641" s="12"/>
    </row>
    <row r="3642" spans="1:2" ht="13" x14ac:dyDescent="0.15">
      <c r="A3642" s="12"/>
      <c r="B3642" s="12"/>
    </row>
    <row r="3643" spans="1:2" ht="13" x14ac:dyDescent="0.15">
      <c r="A3643" s="12"/>
      <c r="B3643" s="12"/>
    </row>
    <row r="3644" spans="1:2" ht="13" x14ac:dyDescent="0.15">
      <c r="A3644" s="12"/>
      <c r="B3644" s="12"/>
    </row>
    <row r="3645" spans="1:2" ht="13" x14ac:dyDescent="0.15">
      <c r="A3645" s="12"/>
      <c r="B3645" s="12"/>
    </row>
    <row r="3646" spans="1:2" ht="13" x14ac:dyDescent="0.15">
      <c r="A3646" s="12"/>
      <c r="B3646" s="12"/>
    </row>
    <row r="3647" spans="1:2" ht="13" x14ac:dyDescent="0.15">
      <c r="A3647" s="12"/>
      <c r="B3647" s="12"/>
    </row>
    <row r="3648" spans="1:2" ht="13" x14ac:dyDescent="0.15">
      <c r="A3648" s="12"/>
      <c r="B3648" s="12"/>
    </row>
    <row r="3649" spans="1:2" ht="13" x14ac:dyDescent="0.15">
      <c r="A3649" s="12"/>
      <c r="B3649" s="12"/>
    </row>
    <row r="3650" spans="1:2" ht="13" x14ac:dyDescent="0.15">
      <c r="A3650" s="12"/>
      <c r="B3650" s="12"/>
    </row>
    <row r="3651" spans="1:2" ht="13" x14ac:dyDescent="0.15">
      <c r="A3651" s="12"/>
      <c r="B3651" s="12"/>
    </row>
    <row r="3652" spans="1:2" ht="13" x14ac:dyDescent="0.15">
      <c r="A3652" s="12"/>
      <c r="B3652" s="12"/>
    </row>
    <row r="3653" spans="1:2" ht="13" x14ac:dyDescent="0.15">
      <c r="A3653" s="12"/>
      <c r="B3653" s="12"/>
    </row>
    <row r="3654" spans="1:2" ht="13" x14ac:dyDescent="0.15">
      <c r="A3654" s="12"/>
      <c r="B3654" s="12"/>
    </row>
    <row r="3655" spans="1:2" ht="13" x14ac:dyDescent="0.15">
      <c r="A3655" s="12"/>
      <c r="B3655" s="12"/>
    </row>
    <row r="3656" spans="1:2" ht="13" x14ac:dyDescent="0.15">
      <c r="A3656" s="12"/>
      <c r="B3656" s="12"/>
    </row>
    <row r="3657" spans="1:2" ht="13" x14ac:dyDescent="0.15">
      <c r="A3657" s="12"/>
      <c r="B3657" s="12"/>
    </row>
    <row r="3658" spans="1:2" ht="13" x14ac:dyDescent="0.15">
      <c r="A3658" s="12"/>
      <c r="B3658" s="12"/>
    </row>
    <row r="3659" spans="1:2" ht="13" x14ac:dyDescent="0.15">
      <c r="A3659" s="12"/>
      <c r="B3659" s="12"/>
    </row>
    <row r="3660" spans="1:2" ht="13" x14ac:dyDescent="0.15">
      <c r="A3660" s="12"/>
      <c r="B3660" s="12"/>
    </row>
    <row r="3661" spans="1:2" ht="13" x14ac:dyDescent="0.15">
      <c r="A3661" s="12"/>
      <c r="B3661" s="12"/>
    </row>
    <row r="3662" spans="1:2" ht="13" x14ac:dyDescent="0.15">
      <c r="A3662" s="12"/>
      <c r="B3662" s="12"/>
    </row>
    <row r="3663" spans="1:2" ht="13" x14ac:dyDescent="0.15">
      <c r="A3663" s="12"/>
      <c r="B3663" s="12"/>
    </row>
    <row r="3664" spans="1:2" ht="13" x14ac:dyDescent="0.15">
      <c r="A3664" s="12"/>
      <c r="B3664" s="12"/>
    </row>
    <row r="3665" spans="1:2" ht="13" x14ac:dyDescent="0.15">
      <c r="A3665" s="12"/>
      <c r="B3665" s="12"/>
    </row>
    <row r="3666" spans="1:2" ht="13" x14ac:dyDescent="0.15">
      <c r="A3666" s="12"/>
      <c r="B3666" s="12"/>
    </row>
    <row r="3667" spans="1:2" ht="13" x14ac:dyDescent="0.15">
      <c r="A3667" s="12"/>
      <c r="B3667" s="12"/>
    </row>
    <row r="3668" spans="1:2" ht="13" x14ac:dyDescent="0.15">
      <c r="A3668" s="12"/>
      <c r="B3668" s="12"/>
    </row>
    <row r="3669" spans="1:2" ht="13" x14ac:dyDescent="0.15">
      <c r="A3669" s="12"/>
      <c r="B3669" s="12"/>
    </row>
    <row r="3670" spans="1:2" ht="13" x14ac:dyDescent="0.15">
      <c r="A3670" s="12"/>
      <c r="B3670" s="12"/>
    </row>
    <row r="3671" spans="1:2" ht="13" x14ac:dyDescent="0.15">
      <c r="A3671" s="12"/>
      <c r="B3671" s="12"/>
    </row>
    <row r="3672" spans="1:2" ht="13" x14ac:dyDescent="0.15">
      <c r="A3672" s="12"/>
      <c r="B3672" s="12"/>
    </row>
    <row r="3673" spans="1:2" ht="13" x14ac:dyDescent="0.15">
      <c r="A3673" s="12"/>
      <c r="B3673" s="12"/>
    </row>
    <row r="3674" spans="1:2" ht="13" x14ac:dyDescent="0.15">
      <c r="A3674" s="12"/>
      <c r="B3674" s="12"/>
    </row>
    <row r="3675" spans="1:2" ht="13" x14ac:dyDescent="0.15">
      <c r="A3675" s="12"/>
      <c r="B3675" s="12"/>
    </row>
    <row r="3676" spans="1:2" ht="13" x14ac:dyDescent="0.15">
      <c r="A3676" s="12"/>
      <c r="B3676" s="12"/>
    </row>
    <row r="3677" spans="1:2" ht="13" x14ac:dyDescent="0.15">
      <c r="A3677" s="12"/>
      <c r="B3677" s="12"/>
    </row>
    <row r="3678" spans="1:2" ht="13" x14ac:dyDescent="0.15">
      <c r="A3678" s="12"/>
      <c r="B3678" s="12"/>
    </row>
    <row r="3679" spans="1:2" ht="13" x14ac:dyDescent="0.15">
      <c r="A3679" s="12"/>
      <c r="B3679" s="12"/>
    </row>
    <row r="3680" spans="1:2" ht="13" x14ac:dyDescent="0.15">
      <c r="A3680" s="12"/>
      <c r="B3680" s="12"/>
    </row>
    <row r="3681" spans="1:2" ht="13" x14ac:dyDescent="0.15">
      <c r="A3681" s="12"/>
      <c r="B3681" s="12"/>
    </row>
    <row r="3682" spans="1:2" ht="13" x14ac:dyDescent="0.15">
      <c r="A3682" s="12"/>
      <c r="B3682" s="12"/>
    </row>
    <row r="3683" spans="1:2" ht="13" x14ac:dyDescent="0.15">
      <c r="A3683" s="12"/>
      <c r="B3683" s="12"/>
    </row>
    <row r="3684" spans="1:2" ht="13" x14ac:dyDescent="0.15">
      <c r="A3684" s="12"/>
      <c r="B3684" s="12"/>
    </row>
    <row r="3685" spans="1:2" ht="13" x14ac:dyDescent="0.15">
      <c r="A3685" s="12"/>
      <c r="B3685" s="12"/>
    </row>
    <row r="3686" spans="1:2" ht="13" x14ac:dyDescent="0.15">
      <c r="A3686" s="12"/>
      <c r="B3686" s="12"/>
    </row>
    <row r="3687" spans="1:2" ht="13" x14ac:dyDescent="0.15">
      <c r="A3687" s="12"/>
      <c r="B3687" s="12"/>
    </row>
    <row r="3688" spans="1:2" ht="13" x14ac:dyDescent="0.15">
      <c r="A3688" s="12"/>
      <c r="B3688" s="12"/>
    </row>
    <row r="3689" spans="1:2" ht="13" x14ac:dyDescent="0.15">
      <c r="A3689" s="12"/>
      <c r="B3689" s="12"/>
    </row>
    <row r="3690" spans="1:2" ht="13" x14ac:dyDescent="0.15">
      <c r="A3690" s="12"/>
      <c r="B3690" s="12"/>
    </row>
    <row r="3691" spans="1:2" ht="13" x14ac:dyDescent="0.15">
      <c r="A3691" s="12"/>
      <c r="B3691" s="12"/>
    </row>
    <row r="3692" spans="1:2" ht="13" x14ac:dyDescent="0.15">
      <c r="A3692" s="12"/>
      <c r="B3692" s="12"/>
    </row>
    <row r="3693" spans="1:2" ht="13" x14ac:dyDescent="0.15">
      <c r="A3693" s="12"/>
      <c r="B3693" s="12"/>
    </row>
    <row r="3694" spans="1:2" ht="13" x14ac:dyDescent="0.15">
      <c r="A3694" s="12"/>
      <c r="B3694" s="12"/>
    </row>
    <row r="3695" spans="1:2" ht="13" x14ac:dyDescent="0.15">
      <c r="A3695" s="12"/>
      <c r="B3695" s="12"/>
    </row>
    <row r="3696" spans="1:2" ht="13" x14ac:dyDescent="0.15">
      <c r="A3696" s="12"/>
      <c r="B3696" s="12"/>
    </row>
    <row r="3697" spans="1:2" ht="13" x14ac:dyDescent="0.15">
      <c r="A3697" s="12"/>
      <c r="B3697" s="12"/>
    </row>
    <row r="3698" spans="1:2" ht="13" x14ac:dyDescent="0.15">
      <c r="A3698" s="12"/>
      <c r="B3698" s="12"/>
    </row>
    <row r="3699" spans="1:2" ht="13" x14ac:dyDescent="0.15">
      <c r="A3699" s="12"/>
      <c r="B3699" s="12"/>
    </row>
    <row r="3700" spans="1:2" ht="13" x14ac:dyDescent="0.15">
      <c r="A3700" s="12"/>
      <c r="B3700" s="12"/>
    </row>
    <row r="3701" spans="1:2" ht="13" x14ac:dyDescent="0.15">
      <c r="A3701" s="12"/>
      <c r="B3701" s="12"/>
    </row>
    <row r="3702" spans="1:2" ht="13" x14ac:dyDescent="0.15">
      <c r="A3702" s="12"/>
      <c r="B3702" s="12"/>
    </row>
    <row r="3703" spans="1:2" ht="13" x14ac:dyDescent="0.15">
      <c r="A3703" s="12"/>
      <c r="B3703" s="12"/>
    </row>
    <row r="3704" spans="1:2" ht="13" x14ac:dyDescent="0.15">
      <c r="A3704" s="12"/>
      <c r="B3704" s="12"/>
    </row>
    <row r="3705" spans="1:2" ht="13" x14ac:dyDescent="0.15">
      <c r="A3705" s="12"/>
      <c r="B3705" s="12"/>
    </row>
    <row r="3706" spans="1:2" ht="13" x14ac:dyDescent="0.15">
      <c r="A3706" s="12"/>
      <c r="B3706" s="12"/>
    </row>
    <row r="3707" spans="1:2" ht="13" x14ac:dyDescent="0.15">
      <c r="A3707" s="12"/>
      <c r="B3707" s="12"/>
    </row>
    <row r="3708" spans="1:2" ht="13" x14ac:dyDescent="0.15">
      <c r="A3708" s="12"/>
      <c r="B3708" s="12"/>
    </row>
    <row r="3709" spans="1:2" ht="13" x14ac:dyDescent="0.15">
      <c r="A3709" s="12"/>
      <c r="B3709" s="12"/>
    </row>
    <row r="3710" spans="1:2" ht="13" x14ac:dyDescent="0.15">
      <c r="A3710" s="12"/>
      <c r="B3710" s="12"/>
    </row>
    <row r="3711" spans="1:2" ht="13" x14ac:dyDescent="0.15">
      <c r="A3711" s="12"/>
      <c r="B3711" s="12"/>
    </row>
    <row r="3712" spans="1:2" ht="13" x14ac:dyDescent="0.15">
      <c r="A3712" s="12"/>
      <c r="B3712" s="12"/>
    </row>
    <row r="3713" spans="1:2" ht="13" x14ac:dyDescent="0.15">
      <c r="A3713" s="12"/>
      <c r="B3713" s="12"/>
    </row>
    <row r="3714" spans="1:2" ht="13" x14ac:dyDescent="0.15">
      <c r="A3714" s="12"/>
      <c r="B3714" s="12"/>
    </row>
    <row r="3715" spans="1:2" ht="13" x14ac:dyDescent="0.15">
      <c r="A3715" s="12"/>
      <c r="B3715" s="12"/>
    </row>
    <row r="3716" spans="1:2" ht="13" x14ac:dyDescent="0.15">
      <c r="A3716" s="12"/>
      <c r="B3716" s="12"/>
    </row>
    <row r="3717" spans="1:2" ht="13" x14ac:dyDescent="0.15">
      <c r="A3717" s="12"/>
      <c r="B3717" s="12"/>
    </row>
    <row r="3718" spans="1:2" ht="13" x14ac:dyDescent="0.15">
      <c r="A3718" s="12"/>
      <c r="B3718" s="12"/>
    </row>
    <row r="3719" spans="1:2" ht="13" x14ac:dyDescent="0.15">
      <c r="A3719" s="12"/>
      <c r="B3719" s="12"/>
    </row>
    <row r="3720" spans="1:2" ht="13" x14ac:dyDescent="0.15">
      <c r="A3720" s="12"/>
      <c r="B3720" s="12"/>
    </row>
    <row r="3721" spans="1:2" ht="13" x14ac:dyDescent="0.15">
      <c r="A3721" s="12"/>
      <c r="B3721" s="12"/>
    </row>
    <row r="3722" spans="1:2" ht="13" x14ac:dyDescent="0.15">
      <c r="A3722" s="12"/>
      <c r="B3722" s="12"/>
    </row>
    <row r="3723" spans="1:2" ht="13" x14ac:dyDescent="0.15">
      <c r="A3723" s="12"/>
      <c r="B3723" s="12"/>
    </row>
    <row r="3724" spans="1:2" ht="13" x14ac:dyDescent="0.15">
      <c r="A3724" s="12"/>
      <c r="B3724" s="12"/>
    </row>
    <row r="3725" spans="1:2" ht="13" x14ac:dyDescent="0.15">
      <c r="A3725" s="12"/>
      <c r="B3725" s="12"/>
    </row>
    <row r="3726" spans="1:2" ht="13" x14ac:dyDescent="0.15">
      <c r="A3726" s="12"/>
      <c r="B3726" s="12"/>
    </row>
    <row r="3727" spans="1:2" ht="13" x14ac:dyDescent="0.15">
      <c r="A3727" s="12"/>
      <c r="B3727" s="12"/>
    </row>
    <row r="3728" spans="1:2" ht="13" x14ac:dyDescent="0.15">
      <c r="A3728" s="12"/>
      <c r="B3728" s="12"/>
    </row>
    <row r="3729" spans="1:2" ht="13" x14ac:dyDescent="0.15">
      <c r="A3729" s="12"/>
      <c r="B3729" s="12"/>
    </row>
    <row r="3730" spans="1:2" ht="13" x14ac:dyDescent="0.15">
      <c r="A3730" s="12"/>
      <c r="B3730" s="12"/>
    </row>
    <row r="3731" spans="1:2" ht="13" x14ac:dyDescent="0.15">
      <c r="A3731" s="12"/>
      <c r="B3731" s="12"/>
    </row>
    <row r="3732" spans="1:2" ht="13" x14ac:dyDescent="0.15">
      <c r="A3732" s="12"/>
      <c r="B3732" s="12"/>
    </row>
    <row r="3733" spans="1:2" ht="13" x14ac:dyDescent="0.15">
      <c r="A3733" s="12"/>
      <c r="B3733" s="12"/>
    </row>
    <row r="3734" spans="1:2" ht="13" x14ac:dyDescent="0.15">
      <c r="A3734" s="12"/>
      <c r="B3734" s="12"/>
    </row>
    <row r="3735" spans="1:2" ht="13" x14ac:dyDescent="0.15">
      <c r="A3735" s="12"/>
      <c r="B3735" s="12"/>
    </row>
    <row r="3736" spans="1:2" ht="13" x14ac:dyDescent="0.15">
      <c r="A3736" s="12"/>
      <c r="B3736" s="12"/>
    </row>
    <row r="3737" spans="1:2" ht="13" x14ac:dyDescent="0.15">
      <c r="A3737" s="12"/>
      <c r="B3737" s="12"/>
    </row>
    <row r="3738" spans="1:2" ht="13" x14ac:dyDescent="0.15">
      <c r="A3738" s="12"/>
      <c r="B3738" s="12"/>
    </row>
    <row r="3739" spans="1:2" ht="13" x14ac:dyDescent="0.15">
      <c r="A3739" s="12"/>
      <c r="B3739" s="12"/>
    </row>
    <row r="3740" spans="1:2" ht="13" x14ac:dyDescent="0.15">
      <c r="A3740" s="12"/>
      <c r="B3740" s="12"/>
    </row>
    <row r="3741" spans="1:2" ht="13" x14ac:dyDescent="0.15">
      <c r="A3741" s="12"/>
      <c r="B3741" s="12"/>
    </row>
    <row r="3742" spans="1:2" ht="13" x14ac:dyDescent="0.15">
      <c r="A3742" s="12"/>
      <c r="B3742" s="12"/>
    </row>
    <row r="3743" spans="1:2" ht="13" x14ac:dyDescent="0.15">
      <c r="A3743" s="12"/>
      <c r="B3743" s="12"/>
    </row>
    <row r="3744" spans="1:2" ht="13" x14ac:dyDescent="0.15">
      <c r="A3744" s="12"/>
      <c r="B3744" s="12"/>
    </row>
    <row r="3745" spans="1:2" ht="13" x14ac:dyDescent="0.15">
      <c r="A3745" s="12"/>
      <c r="B3745" s="12"/>
    </row>
    <row r="3746" spans="1:2" ht="13" x14ac:dyDescent="0.15">
      <c r="A3746" s="12"/>
      <c r="B3746" s="12"/>
    </row>
    <row r="3747" spans="1:2" ht="13" x14ac:dyDescent="0.15">
      <c r="A3747" s="12"/>
      <c r="B3747" s="12"/>
    </row>
    <row r="3748" spans="1:2" ht="13" x14ac:dyDescent="0.15">
      <c r="A3748" s="12"/>
      <c r="B3748" s="12"/>
    </row>
    <row r="3749" spans="1:2" ht="13" x14ac:dyDescent="0.15">
      <c r="A3749" s="12"/>
      <c r="B3749" s="12"/>
    </row>
    <row r="3750" spans="1:2" ht="13" x14ac:dyDescent="0.15">
      <c r="A3750" s="12"/>
      <c r="B3750" s="12"/>
    </row>
    <row r="3751" spans="1:2" ht="13" x14ac:dyDescent="0.15">
      <c r="A3751" s="12"/>
      <c r="B3751" s="12"/>
    </row>
    <row r="3752" spans="1:2" ht="13" x14ac:dyDescent="0.15">
      <c r="A3752" s="12"/>
      <c r="B3752" s="12"/>
    </row>
    <row r="3753" spans="1:2" ht="13" x14ac:dyDescent="0.15">
      <c r="A3753" s="12"/>
      <c r="B3753" s="12"/>
    </row>
    <row r="3754" spans="1:2" ht="13" x14ac:dyDescent="0.15">
      <c r="A3754" s="12"/>
      <c r="B3754" s="12"/>
    </row>
    <row r="3755" spans="1:2" ht="13" x14ac:dyDescent="0.15">
      <c r="A3755" s="12"/>
      <c r="B3755" s="12"/>
    </row>
    <row r="3756" spans="1:2" ht="13" x14ac:dyDescent="0.15">
      <c r="A3756" s="12"/>
      <c r="B3756" s="12"/>
    </row>
    <row r="3757" spans="1:2" ht="13" x14ac:dyDescent="0.15">
      <c r="A3757" s="12"/>
      <c r="B3757" s="12"/>
    </row>
    <row r="3758" spans="1:2" ht="13" x14ac:dyDescent="0.15">
      <c r="A3758" s="12"/>
      <c r="B3758" s="12"/>
    </row>
    <row r="3759" spans="1:2" ht="13" x14ac:dyDescent="0.15">
      <c r="A3759" s="12"/>
      <c r="B3759" s="12"/>
    </row>
    <row r="3760" spans="1:2" ht="13" x14ac:dyDescent="0.15">
      <c r="A3760" s="12"/>
      <c r="B3760" s="12"/>
    </row>
    <row r="3761" spans="1:2" ht="13" x14ac:dyDescent="0.15">
      <c r="A3761" s="12"/>
      <c r="B3761" s="12"/>
    </row>
    <row r="3762" spans="1:2" ht="13" x14ac:dyDescent="0.15">
      <c r="A3762" s="12"/>
      <c r="B3762" s="12"/>
    </row>
    <row r="3763" spans="1:2" ht="13" x14ac:dyDescent="0.15">
      <c r="A3763" s="12"/>
      <c r="B3763" s="12"/>
    </row>
    <row r="3764" spans="1:2" ht="13" x14ac:dyDescent="0.15">
      <c r="A3764" s="12"/>
      <c r="B3764" s="12"/>
    </row>
    <row r="3765" spans="1:2" ht="13" x14ac:dyDescent="0.15">
      <c r="A3765" s="12"/>
      <c r="B3765" s="12"/>
    </row>
    <row r="3766" spans="1:2" ht="13" x14ac:dyDescent="0.15">
      <c r="A3766" s="12"/>
      <c r="B3766" s="12"/>
    </row>
    <row r="3767" spans="1:2" ht="13" x14ac:dyDescent="0.15">
      <c r="A3767" s="12"/>
      <c r="B3767" s="12"/>
    </row>
    <row r="3768" spans="1:2" ht="13" x14ac:dyDescent="0.15">
      <c r="A3768" s="12"/>
      <c r="B3768" s="12"/>
    </row>
    <row r="3769" spans="1:2" ht="13" x14ac:dyDescent="0.15">
      <c r="A3769" s="12"/>
      <c r="B3769" s="12"/>
    </row>
    <row r="3770" spans="1:2" ht="13" x14ac:dyDescent="0.15">
      <c r="A3770" s="12"/>
      <c r="B3770" s="12"/>
    </row>
    <row r="3771" spans="1:2" ht="13" x14ac:dyDescent="0.15">
      <c r="A3771" s="12"/>
      <c r="B3771" s="12"/>
    </row>
    <row r="3772" spans="1:2" ht="13" x14ac:dyDescent="0.15">
      <c r="A3772" s="12"/>
      <c r="B3772" s="12"/>
    </row>
    <row r="3773" spans="1:2" ht="13" x14ac:dyDescent="0.15">
      <c r="A3773" s="12"/>
      <c r="B3773" s="12"/>
    </row>
    <row r="3774" spans="1:2" ht="13" x14ac:dyDescent="0.15">
      <c r="A3774" s="12"/>
      <c r="B3774" s="12"/>
    </row>
    <row r="3775" spans="1:2" ht="13" x14ac:dyDescent="0.15">
      <c r="A3775" s="12"/>
      <c r="B3775" s="12"/>
    </row>
    <row r="3776" spans="1:2" ht="13" x14ac:dyDescent="0.15">
      <c r="A3776" s="12"/>
      <c r="B3776" s="12"/>
    </row>
    <row r="3777" spans="1:2" ht="13" x14ac:dyDescent="0.15">
      <c r="A3777" s="12"/>
      <c r="B3777" s="12"/>
    </row>
    <row r="3778" spans="1:2" ht="13" x14ac:dyDescent="0.15">
      <c r="A3778" s="12"/>
      <c r="B3778" s="12"/>
    </row>
    <row r="3779" spans="1:2" ht="13" x14ac:dyDescent="0.15">
      <c r="A3779" s="12"/>
      <c r="B3779" s="12"/>
    </row>
    <row r="3780" spans="1:2" ht="13" x14ac:dyDescent="0.15">
      <c r="A3780" s="12"/>
      <c r="B3780" s="12"/>
    </row>
    <row r="3781" spans="1:2" ht="13" x14ac:dyDescent="0.15">
      <c r="A3781" s="12"/>
      <c r="B3781" s="12"/>
    </row>
    <row r="3782" spans="1:2" ht="13" x14ac:dyDescent="0.15">
      <c r="A3782" s="12"/>
      <c r="B3782" s="12"/>
    </row>
    <row r="3783" spans="1:2" ht="13" x14ac:dyDescent="0.15">
      <c r="A3783" s="12"/>
      <c r="B3783" s="12"/>
    </row>
    <row r="3784" spans="1:2" ht="13" x14ac:dyDescent="0.15">
      <c r="A3784" s="12"/>
      <c r="B3784" s="12"/>
    </row>
    <row r="3785" spans="1:2" ht="13" x14ac:dyDescent="0.15">
      <c r="A3785" s="12"/>
      <c r="B3785" s="12"/>
    </row>
    <row r="3786" spans="1:2" ht="13" x14ac:dyDescent="0.15">
      <c r="A3786" s="12"/>
      <c r="B3786" s="12"/>
    </row>
    <row r="3787" spans="1:2" ht="13" x14ac:dyDescent="0.15">
      <c r="A3787" s="12"/>
      <c r="B3787" s="12"/>
    </row>
    <row r="3788" spans="1:2" ht="13" x14ac:dyDescent="0.15">
      <c r="A3788" s="12"/>
      <c r="B3788" s="12"/>
    </row>
    <row r="3789" spans="1:2" ht="13" x14ac:dyDescent="0.15">
      <c r="A3789" s="12"/>
      <c r="B3789" s="12"/>
    </row>
    <row r="3790" spans="1:2" ht="13" x14ac:dyDescent="0.15">
      <c r="A3790" s="12"/>
      <c r="B3790" s="12"/>
    </row>
    <row r="3791" spans="1:2" ht="13" x14ac:dyDescent="0.15">
      <c r="A3791" s="12"/>
      <c r="B3791" s="12"/>
    </row>
    <row r="3792" spans="1:2" ht="13" x14ac:dyDescent="0.15">
      <c r="A3792" s="12"/>
      <c r="B3792" s="12"/>
    </row>
    <row r="3793" spans="1:2" ht="13" x14ac:dyDescent="0.15">
      <c r="A3793" s="12"/>
      <c r="B3793" s="12"/>
    </row>
    <row r="3794" spans="1:2" ht="13" x14ac:dyDescent="0.15">
      <c r="A3794" s="12"/>
      <c r="B3794" s="12"/>
    </row>
    <row r="3795" spans="1:2" ht="13" x14ac:dyDescent="0.15">
      <c r="A3795" s="12"/>
      <c r="B3795" s="12"/>
    </row>
    <row r="3796" spans="1:2" ht="13" x14ac:dyDescent="0.15">
      <c r="A3796" s="12"/>
      <c r="B3796" s="12"/>
    </row>
    <row r="3797" spans="1:2" ht="13" x14ac:dyDescent="0.15">
      <c r="A3797" s="12"/>
      <c r="B3797" s="12"/>
    </row>
    <row r="3798" spans="1:2" ht="13" x14ac:dyDescent="0.15">
      <c r="A3798" s="12"/>
      <c r="B3798" s="12"/>
    </row>
    <row r="3799" spans="1:2" ht="13" x14ac:dyDescent="0.15">
      <c r="A3799" s="12"/>
      <c r="B3799" s="12"/>
    </row>
    <row r="3800" spans="1:2" ht="13" x14ac:dyDescent="0.15">
      <c r="A3800" s="12"/>
      <c r="B3800" s="12"/>
    </row>
    <row r="3801" spans="1:2" ht="13" x14ac:dyDescent="0.15">
      <c r="A3801" s="12"/>
      <c r="B3801" s="12"/>
    </row>
    <row r="3802" spans="1:2" ht="13" x14ac:dyDescent="0.15">
      <c r="A3802" s="12"/>
      <c r="B3802" s="12"/>
    </row>
    <row r="3803" spans="1:2" ht="13" x14ac:dyDescent="0.15">
      <c r="A3803" s="12"/>
      <c r="B3803" s="12"/>
    </row>
    <row r="3804" spans="1:2" ht="13" x14ac:dyDescent="0.15">
      <c r="A3804" s="12"/>
      <c r="B3804" s="12"/>
    </row>
    <row r="3805" spans="1:2" ht="13" x14ac:dyDescent="0.15">
      <c r="A3805" s="12"/>
      <c r="B3805" s="12"/>
    </row>
    <row r="3806" spans="1:2" ht="13" x14ac:dyDescent="0.15">
      <c r="A3806" s="12"/>
      <c r="B3806" s="12"/>
    </row>
    <row r="3807" spans="1:2" ht="13" x14ac:dyDescent="0.15">
      <c r="A3807" s="12"/>
      <c r="B3807" s="12"/>
    </row>
    <row r="3808" spans="1:2" ht="13" x14ac:dyDescent="0.15">
      <c r="A3808" s="12"/>
      <c r="B3808" s="12"/>
    </row>
    <row r="3809" spans="1:2" ht="13" x14ac:dyDescent="0.15">
      <c r="A3809" s="12"/>
      <c r="B3809" s="12"/>
    </row>
    <row r="3810" spans="1:2" ht="13" x14ac:dyDescent="0.15">
      <c r="A3810" s="12"/>
      <c r="B3810" s="12"/>
    </row>
    <row r="3811" spans="1:2" ht="13" x14ac:dyDescent="0.15">
      <c r="A3811" s="12"/>
      <c r="B3811" s="12"/>
    </row>
    <row r="3812" spans="1:2" ht="13" x14ac:dyDescent="0.15">
      <c r="A3812" s="12"/>
      <c r="B3812" s="12"/>
    </row>
    <row r="3813" spans="1:2" ht="13" x14ac:dyDescent="0.15">
      <c r="A3813" s="12"/>
      <c r="B3813" s="12"/>
    </row>
    <row r="3814" spans="1:2" ht="13" x14ac:dyDescent="0.15">
      <c r="A3814" s="12"/>
      <c r="B3814" s="12"/>
    </row>
    <row r="3815" spans="1:2" ht="13" x14ac:dyDescent="0.15">
      <c r="A3815" s="12"/>
      <c r="B3815" s="12"/>
    </row>
    <row r="3816" spans="1:2" ht="13" x14ac:dyDescent="0.15">
      <c r="A3816" s="12"/>
      <c r="B3816" s="12"/>
    </row>
    <row r="3817" spans="1:2" ht="13" x14ac:dyDescent="0.15">
      <c r="A3817" s="12"/>
      <c r="B3817" s="12"/>
    </row>
    <row r="3818" spans="1:2" ht="13" x14ac:dyDescent="0.15">
      <c r="A3818" s="12"/>
      <c r="B3818" s="12"/>
    </row>
    <row r="3819" spans="1:2" ht="13" x14ac:dyDescent="0.15">
      <c r="A3819" s="12"/>
      <c r="B3819" s="12"/>
    </row>
    <row r="3820" spans="1:2" ht="13" x14ac:dyDescent="0.15">
      <c r="A3820" s="12"/>
      <c r="B3820" s="12"/>
    </row>
    <row r="3821" spans="1:2" ht="13" x14ac:dyDescent="0.15">
      <c r="A3821" s="12"/>
      <c r="B3821" s="12"/>
    </row>
    <row r="3822" spans="1:2" ht="13" x14ac:dyDescent="0.15">
      <c r="A3822" s="12"/>
      <c r="B3822" s="12"/>
    </row>
    <row r="3823" spans="1:2" ht="13" x14ac:dyDescent="0.15">
      <c r="A3823" s="12"/>
      <c r="B3823" s="12"/>
    </row>
    <row r="3824" spans="1:2" ht="13" x14ac:dyDescent="0.15">
      <c r="A3824" s="12"/>
      <c r="B3824" s="12"/>
    </row>
    <row r="3825" spans="1:2" ht="13" x14ac:dyDescent="0.15">
      <c r="A3825" s="12"/>
      <c r="B3825" s="12"/>
    </row>
    <row r="3826" spans="1:2" ht="13" x14ac:dyDescent="0.15">
      <c r="A3826" s="12"/>
      <c r="B3826" s="12"/>
    </row>
    <row r="3827" spans="1:2" ht="13" x14ac:dyDescent="0.15">
      <c r="A3827" s="12"/>
      <c r="B3827" s="12"/>
    </row>
    <row r="3828" spans="1:2" ht="13" x14ac:dyDescent="0.15">
      <c r="A3828" s="12"/>
      <c r="B3828" s="12"/>
    </row>
    <row r="3829" spans="1:2" ht="13" x14ac:dyDescent="0.15">
      <c r="A3829" s="12"/>
      <c r="B3829" s="12"/>
    </row>
    <row r="3830" spans="1:2" ht="13" x14ac:dyDescent="0.15">
      <c r="A3830" s="12"/>
      <c r="B3830" s="12"/>
    </row>
    <row r="3831" spans="1:2" ht="13" x14ac:dyDescent="0.15">
      <c r="A3831" s="12"/>
      <c r="B3831" s="12"/>
    </row>
    <row r="3832" spans="1:2" ht="13" x14ac:dyDescent="0.15">
      <c r="A3832" s="12"/>
      <c r="B3832" s="12"/>
    </row>
    <row r="3833" spans="1:2" ht="13" x14ac:dyDescent="0.15">
      <c r="A3833" s="12"/>
      <c r="B3833" s="12"/>
    </row>
    <row r="3834" spans="1:2" ht="13" x14ac:dyDescent="0.15">
      <c r="A3834" s="12"/>
      <c r="B3834" s="12"/>
    </row>
    <row r="3835" spans="1:2" ht="13" x14ac:dyDescent="0.15">
      <c r="A3835" s="12"/>
      <c r="B3835" s="12"/>
    </row>
    <row r="3836" spans="1:2" ht="13" x14ac:dyDescent="0.15">
      <c r="A3836" s="12"/>
      <c r="B3836" s="12"/>
    </row>
    <row r="3837" spans="1:2" ht="13" x14ac:dyDescent="0.15">
      <c r="A3837" s="12"/>
      <c r="B3837" s="12"/>
    </row>
    <row r="3838" spans="1:2" ht="13" x14ac:dyDescent="0.15">
      <c r="A3838" s="12"/>
      <c r="B3838" s="12"/>
    </row>
    <row r="3839" spans="1:2" ht="13" x14ac:dyDescent="0.15">
      <c r="A3839" s="12"/>
      <c r="B3839" s="12"/>
    </row>
    <row r="3840" spans="1:2" ht="13" x14ac:dyDescent="0.15">
      <c r="A3840" s="12"/>
      <c r="B3840" s="12"/>
    </row>
    <row r="3841" spans="1:2" ht="13" x14ac:dyDescent="0.15">
      <c r="A3841" s="12"/>
      <c r="B3841" s="12"/>
    </row>
    <row r="3842" spans="1:2" ht="13" x14ac:dyDescent="0.15">
      <c r="A3842" s="12"/>
      <c r="B3842" s="12"/>
    </row>
    <row r="3843" spans="1:2" ht="13" x14ac:dyDescent="0.15">
      <c r="A3843" s="12"/>
      <c r="B3843" s="12"/>
    </row>
    <row r="3844" spans="1:2" ht="13" x14ac:dyDescent="0.15">
      <c r="A3844" s="12"/>
      <c r="B3844" s="12"/>
    </row>
    <row r="3845" spans="1:2" ht="13" x14ac:dyDescent="0.15">
      <c r="A3845" s="12"/>
      <c r="B3845" s="12"/>
    </row>
    <row r="3846" spans="1:2" ht="13" x14ac:dyDescent="0.15">
      <c r="A3846" s="12"/>
      <c r="B3846" s="12"/>
    </row>
    <row r="3847" spans="1:2" ht="13" x14ac:dyDescent="0.15">
      <c r="A3847" s="12"/>
      <c r="B3847" s="12"/>
    </row>
    <row r="3848" spans="1:2" ht="13" x14ac:dyDescent="0.15">
      <c r="A3848" s="12"/>
      <c r="B3848" s="12"/>
    </row>
    <row r="3849" spans="1:2" ht="13" x14ac:dyDescent="0.15">
      <c r="A3849" s="12"/>
      <c r="B3849" s="12"/>
    </row>
    <row r="3850" spans="1:2" ht="13" x14ac:dyDescent="0.15">
      <c r="A3850" s="12"/>
      <c r="B3850" s="12"/>
    </row>
    <row r="3851" spans="1:2" ht="13" x14ac:dyDescent="0.15">
      <c r="A3851" s="12"/>
      <c r="B3851" s="12"/>
    </row>
    <row r="3852" spans="1:2" ht="13" x14ac:dyDescent="0.15">
      <c r="A3852" s="12"/>
      <c r="B3852" s="12"/>
    </row>
    <row r="3853" spans="1:2" ht="13" x14ac:dyDescent="0.15">
      <c r="A3853" s="12"/>
      <c r="B3853" s="12"/>
    </row>
    <row r="3854" spans="1:2" ht="13" x14ac:dyDescent="0.15">
      <c r="A3854" s="12"/>
      <c r="B3854" s="12"/>
    </row>
    <row r="3855" spans="1:2" ht="13" x14ac:dyDescent="0.15">
      <c r="A3855" s="12"/>
      <c r="B3855" s="12"/>
    </row>
    <row r="3856" spans="1:2" ht="13" x14ac:dyDescent="0.15">
      <c r="A3856" s="12"/>
      <c r="B3856" s="12"/>
    </row>
    <row r="3857" spans="1:2" ht="13" x14ac:dyDescent="0.15">
      <c r="A3857" s="12"/>
      <c r="B3857" s="12"/>
    </row>
    <row r="3858" spans="1:2" ht="13" x14ac:dyDescent="0.15">
      <c r="A3858" s="12"/>
      <c r="B3858" s="12"/>
    </row>
    <row r="3859" spans="1:2" ht="13" x14ac:dyDescent="0.15">
      <c r="A3859" s="12"/>
      <c r="B3859" s="12"/>
    </row>
    <row r="3860" spans="1:2" ht="13" x14ac:dyDescent="0.15">
      <c r="A3860" s="12"/>
      <c r="B3860" s="12"/>
    </row>
    <row r="3861" spans="1:2" ht="13" x14ac:dyDescent="0.15">
      <c r="A3861" s="12"/>
      <c r="B3861" s="12"/>
    </row>
    <row r="3862" spans="1:2" ht="13" x14ac:dyDescent="0.15">
      <c r="A3862" s="12"/>
      <c r="B3862" s="12"/>
    </row>
    <row r="3863" spans="1:2" ht="13" x14ac:dyDescent="0.15">
      <c r="A3863" s="12"/>
      <c r="B3863" s="12"/>
    </row>
    <row r="3864" spans="1:2" ht="13" x14ac:dyDescent="0.15">
      <c r="A3864" s="12"/>
      <c r="B3864" s="12"/>
    </row>
    <row r="3865" spans="1:2" ht="13" x14ac:dyDescent="0.15">
      <c r="A3865" s="12"/>
      <c r="B3865" s="12"/>
    </row>
    <row r="3866" spans="1:2" ht="13" x14ac:dyDescent="0.15">
      <c r="A3866" s="12"/>
      <c r="B3866" s="12"/>
    </row>
    <row r="3867" spans="1:2" ht="13" x14ac:dyDescent="0.15">
      <c r="A3867" s="12"/>
      <c r="B3867" s="12"/>
    </row>
    <row r="3868" spans="1:2" ht="13" x14ac:dyDescent="0.15">
      <c r="A3868" s="12"/>
      <c r="B3868" s="12"/>
    </row>
    <row r="3869" spans="1:2" ht="13" x14ac:dyDescent="0.15">
      <c r="A3869" s="12"/>
      <c r="B3869" s="12"/>
    </row>
    <row r="3870" spans="1:2" ht="13" x14ac:dyDescent="0.15">
      <c r="A3870" s="12"/>
      <c r="B3870" s="12"/>
    </row>
    <row r="3871" spans="1:2" ht="13" x14ac:dyDescent="0.15">
      <c r="A3871" s="12"/>
      <c r="B3871" s="12"/>
    </row>
    <row r="3872" spans="1:2" ht="13" x14ac:dyDescent="0.15">
      <c r="A3872" s="12"/>
      <c r="B3872" s="12"/>
    </row>
    <row r="3873" spans="1:2" ht="13" x14ac:dyDescent="0.15">
      <c r="A3873" s="12"/>
      <c r="B3873" s="12"/>
    </row>
    <row r="3874" spans="1:2" ht="13" x14ac:dyDescent="0.15">
      <c r="A3874" s="12"/>
      <c r="B3874" s="12"/>
    </row>
    <row r="3875" spans="1:2" ht="13" x14ac:dyDescent="0.15">
      <c r="A3875" s="12"/>
      <c r="B3875" s="12"/>
    </row>
    <row r="3876" spans="1:2" ht="13" x14ac:dyDescent="0.15">
      <c r="A3876" s="12"/>
      <c r="B3876" s="12"/>
    </row>
    <row r="3877" spans="1:2" ht="13" x14ac:dyDescent="0.15">
      <c r="A3877" s="12"/>
      <c r="B3877" s="12"/>
    </row>
    <row r="3878" spans="1:2" ht="13" x14ac:dyDescent="0.15">
      <c r="A3878" s="12"/>
      <c r="B3878" s="12"/>
    </row>
    <row r="3879" spans="1:2" ht="13" x14ac:dyDescent="0.15">
      <c r="A3879" s="12"/>
      <c r="B3879" s="12"/>
    </row>
    <row r="3880" spans="1:2" ht="13" x14ac:dyDescent="0.15">
      <c r="A3880" s="12"/>
      <c r="B3880" s="12"/>
    </row>
    <row r="3881" spans="1:2" ht="13" x14ac:dyDescent="0.15">
      <c r="A3881" s="12"/>
      <c r="B3881" s="12"/>
    </row>
    <row r="3882" spans="1:2" ht="13" x14ac:dyDescent="0.15">
      <c r="A3882" s="12"/>
      <c r="B3882" s="12"/>
    </row>
    <row r="3883" spans="1:2" ht="13" x14ac:dyDescent="0.15">
      <c r="A3883" s="12"/>
      <c r="B3883" s="12"/>
    </row>
    <row r="3884" spans="1:2" ht="13" x14ac:dyDescent="0.15">
      <c r="A3884" s="12"/>
      <c r="B3884" s="12"/>
    </row>
    <row r="3885" spans="1:2" ht="13" x14ac:dyDescent="0.15">
      <c r="A3885" s="12"/>
      <c r="B3885" s="12"/>
    </row>
    <row r="3886" spans="1:2" ht="13" x14ac:dyDescent="0.15">
      <c r="A3886" s="12"/>
      <c r="B3886" s="12"/>
    </row>
    <row r="3887" spans="1:2" ht="13" x14ac:dyDescent="0.15">
      <c r="A3887" s="12"/>
      <c r="B3887" s="12"/>
    </row>
    <row r="3888" spans="1:2" ht="13" x14ac:dyDescent="0.15">
      <c r="A3888" s="12"/>
      <c r="B3888" s="12"/>
    </row>
    <row r="3889" spans="1:2" ht="13" x14ac:dyDescent="0.15">
      <c r="A3889" s="12"/>
      <c r="B3889" s="12"/>
    </row>
    <row r="3890" spans="1:2" ht="13" x14ac:dyDescent="0.15">
      <c r="A3890" s="12"/>
      <c r="B3890" s="12"/>
    </row>
    <row r="3891" spans="1:2" ht="13" x14ac:dyDescent="0.15">
      <c r="A3891" s="12"/>
      <c r="B3891" s="12"/>
    </row>
    <row r="3892" spans="1:2" ht="13" x14ac:dyDescent="0.15">
      <c r="A3892" s="12"/>
      <c r="B3892" s="12"/>
    </row>
    <row r="3893" spans="1:2" ht="13" x14ac:dyDescent="0.15">
      <c r="A3893" s="12"/>
      <c r="B3893" s="12"/>
    </row>
    <row r="3894" spans="1:2" ht="13" x14ac:dyDescent="0.15">
      <c r="A3894" s="12"/>
      <c r="B3894" s="12"/>
    </row>
    <row r="3895" spans="1:2" ht="13" x14ac:dyDescent="0.15">
      <c r="A3895" s="12"/>
      <c r="B3895" s="12"/>
    </row>
    <row r="3896" spans="1:2" ht="13" x14ac:dyDescent="0.15">
      <c r="A3896" s="12"/>
      <c r="B3896" s="12"/>
    </row>
    <row r="3897" spans="1:2" ht="13" x14ac:dyDescent="0.15">
      <c r="A3897" s="12"/>
      <c r="B3897" s="12"/>
    </row>
    <row r="3898" spans="1:2" ht="13" x14ac:dyDescent="0.15">
      <c r="A3898" s="12"/>
      <c r="B3898" s="12"/>
    </row>
    <row r="3899" spans="1:2" ht="13" x14ac:dyDescent="0.15">
      <c r="A3899" s="12"/>
      <c r="B3899" s="12"/>
    </row>
    <row r="3900" spans="1:2" ht="13" x14ac:dyDescent="0.15">
      <c r="A3900" s="12"/>
      <c r="B3900" s="12"/>
    </row>
    <row r="3901" spans="1:2" ht="13" x14ac:dyDescent="0.15">
      <c r="A3901" s="12"/>
      <c r="B3901" s="12"/>
    </row>
    <row r="3902" spans="1:2" ht="13" x14ac:dyDescent="0.15">
      <c r="A3902" s="12"/>
      <c r="B3902" s="12"/>
    </row>
    <row r="3903" spans="1:2" ht="13" x14ac:dyDescent="0.15">
      <c r="A3903" s="12"/>
      <c r="B3903" s="12"/>
    </row>
    <row r="3904" spans="1:2" ht="13" x14ac:dyDescent="0.15">
      <c r="A3904" s="12"/>
      <c r="B3904" s="12"/>
    </row>
    <row r="3905" spans="1:2" ht="13" x14ac:dyDescent="0.15">
      <c r="A3905" s="12"/>
      <c r="B3905" s="12"/>
    </row>
    <row r="3906" spans="1:2" ht="13" x14ac:dyDescent="0.15">
      <c r="A3906" s="12"/>
      <c r="B3906" s="12"/>
    </row>
    <row r="3907" spans="1:2" ht="13" x14ac:dyDescent="0.15">
      <c r="A3907" s="12"/>
      <c r="B3907" s="12"/>
    </row>
    <row r="3908" spans="1:2" ht="13" x14ac:dyDescent="0.15">
      <c r="A3908" s="12"/>
      <c r="B3908" s="12"/>
    </row>
    <row r="3909" spans="1:2" ht="13" x14ac:dyDescent="0.15">
      <c r="A3909" s="12"/>
      <c r="B3909" s="12"/>
    </row>
    <row r="3910" spans="1:2" ht="13" x14ac:dyDescent="0.15">
      <c r="A3910" s="12"/>
      <c r="B3910" s="12"/>
    </row>
    <row r="3911" spans="1:2" ht="13" x14ac:dyDescent="0.15">
      <c r="A3911" s="12"/>
      <c r="B3911" s="12"/>
    </row>
    <row r="3912" spans="1:2" ht="13" x14ac:dyDescent="0.15">
      <c r="A3912" s="12"/>
      <c r="B3912" s="12"/>
    </row>
    <row r="3913" spans="1:2" ht="13" x14ac:dyDescent="0.15">
      <c r="A3913" s="12"/>
      <c r="B3913" s="12"/>
    </row>
    <row r="3914" spans="1:2" ht="13" x14ac:dyDescent="0.15">
      <c r="A3914" s="12"/>
      <c r="B3914" s="12"/>
    </row>
    <row r="3915" spans="1:2" ht="13" x14ac:dyDescent="0.15">
      <c r="A3915" s="12"/>
      <c r="B3915" s="12"/>
    </row>
    <row r="3916" spans="1:2" ht="13" x14ac:dyDescent="0.15">
      <c r="A3916" s="12"/>
      <c r="B3916" s="12"/>
    </row>
    <row r="3917" spans="1:2" ht="13" x14ac:dyDescent="0.15">
      <c r="A3917" s="12"/>
      <c r="B3917" s="12"/>
    </row>
    <row r="3918" spans="1:2" ht="13" x14ac:dyDescent="0.15">
      <c r="A3918" s="12"/>
      <c r="B3918" s="12"/>
    </row>
    <row r="3919" spans="1:2" ht="13" x14ac:dyDescent="0.15">
      <c r="A3919" s="12"/>
      <c r="B3919" s="12"/>
    </row>
    <row r="3920" spans="1:2" ht="13" x14ac:dyDescent="0.15">
      <c r="A3920" s="12"/>
      <c r="B3920" s="12"/>
    </row>
    <row r="3921" spans="1:2" ht="13" x14ac:dyDescent="0.15">
      <c r="A3921" s="12"/>
      <c r="B3921" s="12"/>
    </row>
    <row r="3922" spans="1:2" ht="13" x14ac:dyDescent="0.15">
      <c r="A3922" s="12"/>
      <c r="B3922" s="12"/>
    </row>
    <row r="3923" spans="1:2" ht="13" x14ac:dyDescent="0.15">
      <c r="A3923" s="12"/>
      <c r="B3923" s="12"/>
    </row>
    <row r="3924" spans="1:2" ht="13" x14ac:dyDescent="0.15">
      <c r="A3924" s="12"/>
      <c r="B3924" s="12"/>
    </row>
    <row r="3925" spans="1:2" ht="13" x14ac:dyDescent="0.15">
      <c r="A3925" s="12"/>
      <c r="B3925" s="12"/>
    </row>
    <row r="3926" spans="1:2" ht="13" x14ac:dyDescent="0.15">
      <c r="A3926" s="12"/>
      <c r="B3926" s="12"/>
    </row>
    <row r="3927" spans="1:2" ht="13" x14ac:dyDescent="0.15">
      <c r="A3927" s="12"/>
      <c r="B3927" s="12"/>
    </row>
    <row r="3928" spans="1:2" ht="13" x14ac:dyDescent="0.15">
      <c r="A3928" s="12"/>
      <c r="B3928" s="12"/>
    </row>
    <row r="3929" spans="1:2" ht="13" x14ac:dyDescent="0.15">
      <c r="A3929" s="12"/>
      <c r="B3929" s="12"/>
    </row>
    <row r="3930" spans="1:2" ht="13" x14ac:dyDescent="0.15">
      <c r="A3930" s="12"/>
      <c r="B3930" s="12"/>
    </row>
    <row r="3931" spans="1:2" ht="13" x14ac:dyDescent="0.15">
      <c r="A3931" s="12"/>
      <c r="B3931" s="12"/>
    </row>
    <row r="3932" spans="1:2" ht="13" x14ac:dyDescent="0.15">
      <c r="A3932" s="12"/>
      <c r="B3932" s="12"/>
    </row>
    <row r="3933" spans="1:2" ht="13" x14ac:dyDescent="0.15">
      <c r="A3933" s="12"/>
      <c r="B3933" s="12"/>
    </row>
    <row r="3934" spans="1:2" ht="13" x14ac:dyDescent="0.15">
      <c r="A3934" s="12"/>
      <c r="B3934" s="12"/>
    </row>
    <row r="3935" spans="1:2" ht="13" x14ac:dyDescent="0.15">
      <c r="A3935" s="12"/>
      <c r="B3935" s="12"/>
    </row>
    <row r="3936" spans="1:2" ht="13" x14ac:dyDescent="0.15">
      <c r="A3936" s="12"/>
      <c r="B3936" s="12"/>
    </row>
    <row r="3937" spans="1:2" ht="13" x14ac:dyDescent="0.15">
      <c r="A3937" s="12"/>
      <c r="B3937" s="12"/>
    </row>
    <row r="3938" spans="1:2" ht="13" x14ac:dyDescent="0.15">
      <c r="A3938" s="12"/>
      <c r="B3938" s="12"/>
    </row>
    <row r="3939" spans="1:2" ht="13" x14ac:dyDescent="0.15">
      <c r="A3939" s="12"/>
      <c r="B3939" s="12"/>
    </row>
    <row r="3940" spans="1:2" ht="13" x14ac:dyDescent="0.15">
      <c r="A3940" s="12"/>
      <c r="B3940" s="12"/>
    </row>
    <row r="3941" spans="1:2" ht="13" x14ac:dyDescent="0.15">
      <c r="A3941" s="12"/>
      <c r="B3941" s="12"/>
    </row>
    <row r="3942" spans="1:2" ht="13" x14ac:dyDescent="0.15">
      <c r="A3942" s="12"/>
      <c r="B3942" s="12"/>
    </row>
    <row r="3943" spans="1:2" ht="13" x14ac:dyDescent="0.15">
      <c r="A3943" s="12"/>
      <c r="B3943" s="12"/>
    </row>
    <row r="3944" spans="1:2" ht="13" x14ac:dyDescent="0.15">
      <c r="A3944" s="12"/>
      <c r="B3944" s="12"/>
    </row>
    <row r="3945" spans="1:2" ht="13" x14ac:dyDescent="0.15">
      <c r="A3945" s="12"/>
      <c r="B3945" s="12"/>
    </row>
    <row r="3946" spans="1:2" ht="13" x14ac:dyDescent="0.15">
      <c r="A3946" s="12"/>
      <c r="B3946" s="12"/>
    </row>
    <row r="3947" spans="1:2" ht="13" x14ac:dyDescent="0.15">
      <c r="A3947" s="12"/>
      <c r="B3947" s="12"/>
    </row>
    <row r="3948" spans="1:2" ht="13" x14ac:dyDescent="0.15">
      <c r="A3948" s="12"/>
      <c r="B3948" s="12"/>
    </row>
    <row r="3949" spans="1:2" ht="13" x14ac:dyDescent="0.15">
      <c r="A3949" s="12"/>
      <c r="B3949" s="12"/>
    </row>
    <row r="3950" spans="1:2" ht="13" x14ac:dyDescent="0.15">
      <c r="A3950" s="12"/>
      <c r="B3950" s="12"/>
    </row>
    <row r="3951" spans="1:2" ht="13" x14ac:dyDescent="0.15">
      <c r="A3951" s="12"/>
      <c r="B3951" s="12"/>
    </row>
    <row r="3952" spans="1:2" ht="13" x14ac:dyDescent="0.15">
      <c r="A3952" s="12"/>
      <c r="B3952" s="12"/>
    </row>
    <row r="3953" spans="1:2" ht="13" x14ac:dyDescent="0.15">
      <c r="A3953" s="12"/>
      <c r="B3953" s="12"/>
    </row>
    <row r="3954" spans="1:2" ht="13" x14ac:dyDescent="0.15">
      <c r="A3954" s="12"/>
      <c r="B3954" s="12"/>
    </row>
    <row r="3955" spans="1:2" ht="13" x14ac:dyDescent="0.15">
      <c r="A3955" s="12"/>
      <c r="B3955" s="12"/>
    </row>
    <row r="3956" spans="1:2" ht="13" x14ac:dyDescent="0.15">
      <c r="A3956" s="12"/>
      <c r="B3956" s="12"/>
    </row>
    <row r="3957" spans="1:2" ht="13" x14ac:dyDescent="0.15">
      <c r="A3957" s="12"/>
      <c r="B3957" s="12"/>
    </row>
    <row r="3958" spans="1:2" ht="13" x14ac:dyDescent="0.15">
      <c r="A3958" s="12"/>
      <c r="B3958" s="12"/>
    </row>
    <row r="3959" spans="1:2" ht="13" x14ac:dyDescent="0.15">
      <c r="A3959" s="12"/>
      <c r="B3959" s="12"/>
    </row>
    <row r="3960" spans="1:2" ht="13" x14ac:dyDescent="0.15">
      <c r="A3960" s="12"/>
      <c r="B3960" s="12"/>
    </row>
    <row r="3961" spans="1:2" ht="13" x14ac:dyDescent="0.15">
      <c r="A3961" s="12"/>
      <c r="B3961" s="12"/>
    </row>
    <row r="3962" spans="1:2" ht="13" x14ac:dyDescent="0.15">
      <c r="A3962" s="12"/>
      <c r="B3962" s="12"/>
    </row>
    <row r="3963" spans="1:2" ht="13" x14ac:dyDescent="0.15">
      <c r="A3963" s="12"/>
      <c r="B3963" s="12"/>
    </row>
    <row r="3964" spans="1:2" ht="13" x14ac:dyDescent="0.15">
      <c r="A3964" s="12"/>
      <c r="B3964" s="12"/>
    </row>
    <row r="3965" spans="1:2" ht="13" x14ac:dyDescent="0.15">
      <c r="A3965" s="12"/>
      <c r="B3965" s="12"/>
    </row>
    <row r="3966" spans="1:2" ht="13" x14ac:dyDescent="0.15">
      <c r="A3966" s="12"/>
      <c r="B3966" s="12"/>
    </row>
    <row r="3967" spans="1:2" ht="13" x14ac:dyDescent="0.15">
      <c r="A3967" s="12"/>
      <c r="B3967" s="12"/>
    </row>
    <row r="3968" spans="1:2" ht="13" x14ac:dyDescent="0.15">
      <c r="A3968" s="12"/>
      <c r="B3968" s="12"/>
    </row>
    <row r="3969" spans="1:2" ht="13" x14ac:dyDescent="0.15">
      <c r="A3969" s="12"/>
      <c r="B3969" s="12"/>
    </row>
    <row r="3970" spans="1:2" ht="13" x14ac:dyDescent="0.15">
      <c r="A3970" s="12"/>
      <c r="B3970" s="12"/>
    </row>
    <row r="3971" spans="1:2" ht="13" x14ac:dyDescent="0.15">
      <c r="A3971" s="12"/>
      <c r="B3971" s="12"/>
    </row>
    <row r="3972" spans="1:2" ht="13" x14ac:dyDescent="0.15">
      <c r="A3972" s="12"/>
      <c r="B3972" s="12"/>
    </row>
    <row r="3973" spans="1:2" ht="13" x14ac:dyDescent="0.15">
      <c r="A3973" s="12"/>
      <c r="B3973" s="12"/>
    </row>
    <row r="3974" spans="1:2" ht="13" x14ac:dyDescent="0.15">
      <c r="A3974" s="12"/>
      <c r="B3974" s="12"/>
    </row>
    <row r="3975" spans="1:2" ht="13" x14ac:dyDescent="0.15">
      <c r="A3975" s="12"/>
      <c r="B3975" s="12"/>
    </row>
    <row r="3976" spans="1:2" ht="13" x14ac:dyDescent="0.15">
      <c r="A3976" s="12"/>
      <c r="B3976" s="12"/>
    </row>
    <row r="3977" spans="1:2" ht="13" x14ac:dyDescent="0.15">
      <c r="A3977" s="12"/>
      <c r="B3977" s="12"/>
    </row>
    <row r="3978" spans="1:2" ht="13" x14ac:dyDescent="0.15">
      <c r="A3978" s="12"/>
      <c r="B3978" s="12"/>
    </row>
    <row r="3979" spans="1:2" ht="13" x14ac:dyDescent="0.15">
      <c r="A3979" s="12"/>
      <c r="B3979" s="12"/>
    </row>
    <row r="3980" spans="1:2" ht="13" x14ac:dyDescent="0.15">
      <c r="A3980" s="12"/>
      <c r="B3980" s="12"/>
    </row>
    <row r="3981" spans="1:2" ht="13" x14ac:dyDescent="0.15">
      <c r="A3981" s="12"/>
      <c r="B3981" s="12"/>
    </row>
    <row r="3982" spans="1:2" ht="13" x14ac:dyDescent="0.15">
      <c r="A3982" s="12"/>
      <c r="B3982" s="12"/>
    </row>
    <row r="3983" spans="1:2" ht="13" x14ac:dyDescent="0.15">
      <c r="A3983" s="12"/>
      <c r="B3983" s="12"/>
    </row>
    <row r="3984" spans="1:2" ht="13" x14ac:dyDescent="0.15">
      <c r="A3984" s="12"/>
      <c r="B3984" s="12"/>
    </row>
    <row r="3985" spans="1:2" ht="13" x14ac:dyDescent="0.15">
      <c r="A3985" s="12"/>
      <c r="B3985" s="12"/>
    </row>
    <row r="3986" spans="1:2" ht="13" x14ac:dyDescent="0.15">
      <c r="A3986" s="12"/>
      <c r="B3986" s="12"/>
    </row>
    <row r="3987" spans="1:2" ht="13" x14ac:dyDescent="0.15">
      <c r="A3987" s="12"/>
      <c r="B3987" s="12"/>
    </row>
    <row r="3988" spans="1:2" ht="13" x14ac:dyDescent="0.15">
      <c r="A3988" s="12"/>
      <c r="B3988" s="12"/>
    </row>
    <row r="3989" spans="1:2" ht="13" x14ac:dyDescent="0.15">
      <c r="A3989" s="12"/>
      <c r="B3989" s="12"/>
    </row>
    <row r="3990" spans="1:2" ht="13" x14ac:dyDescent="0.15">
      <c r="A3990" s="12"/>
      <c r="B3990" s="12"/>
    </row>
    <row r="3991" spans="1:2" ht="13" x14ac:dyDescent="0.15">
      <c r="A3991" s="12"/>
      <c r="B3991" s="12"/>
    </row>
    <row r="3992" spans="1:2" ht="13" x14ac:dyDescent="0.15">
      <c r="A3992" s="12"/>
      <c r="B3992" s="12"/>
    </row>
    <row r="3993" spans="1:2" ht="13" x14ac:dyDescent="0.15">
      <c r="A3993" s="12"/>
      <c r="B3993" s="12"/>
    </row>
    <row r="3994" spans="1:2" ht="13" x14ac:dyDescent="0.15">
      <c r="A3994" s="12"/>
      <c r="B3994" s="12"/>
    </row>
    <row r="3995" spans="1:2" ht="13" x14ac:dyDescent="0.15">
      <c r="A3995" s="12"/>
      <c r="B3995" s="12"/>
    </row>
    <row r="3996" spans="1:2" ht="13" x14ac:dyDescent="0.15">
      <c r="A3996" s="12"/>
      <c r="B3996" s="12"/>
    </row>
    <row r="3997" spans="1:2" ht="13" x14ac:dyDescent="0.15">
      <c r="A3997" s="12"/>
      <c r="B3997" s="12"/>
    </row>
    <row r="3998" spans="1:2" ht="13" x14ac:dyDescent="0.15">
      <c r="A3998" s="12"/>
      <c r="B3998" s="12"/>
    </row>
    <row r="3999" spans="1:2" ht="13" x14ac:dyDescent="0.15">
      <c r="A3999" s="12"/>
      <c r="B3999" s="12"/>
    </row>
    <row r="4000" spans="1:2" ht="13" x14ac:dyDescent="0.15">
      <c r="A4000" s="12"/>
      <c r="B4000" s="12"/>
    </row>
    <row r="4001" spans="1:2" ht="13" x14ac:dyDescent="0.15">
      <c r="A4001" s="12"/>
      <c r="B4001" s="12"/>
    </row>
    <row r="4002" spans="1:2" ht="13" x14ac:dyDescent="0.15">
      <c r="A4002" s="12"/>
      <c r="B4002" s="12"/>
    </row>
    <row r="4003" spans="1:2" ht="13" x14ac:dyDescent="0.15">
      <c r="A4003" s="12"/>
      <c r="B4003" s="12"/>
    </row>
    <row r="4004" spans="1:2" ht="13" x14ac:dyDescent="0.15">
      <c r="A4004" s="12"/>
      <c r="B4004" s="12"/>
    </row>
    <row r="4005" spans="1:2" ht="13" x14ac:dyDescent="0.15">
      <c r="A4005" s="12"/>
      <c r="B4005" s="12"/>
    </row>
    <row r="4006" spans="1:2" ht="13" x14ac:dyDescent="0.15">
      <c r="A4006" s="12"/>
      <c r="B4006" s="12"/>
    </row>
    <row r="4007" spans="1:2" ht="13" x14ac:dyDescent="0.15">
      <c r="A4007" s="12"/>
      <c r="B4007" s="12"/>
    </row>
    <row r="4008" spans="1:2" ht="13" x14ac:dyDescent="0.15">
      <c r="A4008" s="12"/>
      <c r="B4008" s="12"/>
    </row>
    <row r="4009" spans="1:2" ht="13" x14ac:dyDescent="0.15">
      <c r="A4009" s="12"/>
      <c r="B4009" s="12"/>
    </row>
    <row r="4010" spans="1:2" ht="13" x14ac:dyDescent="0.15">
      <c r="A4010" s="12"/>
      <c r="B4010" s="12"/>
    </row>
    <row r="4011" spans="1:2" ht="13" x14ac:dyDescent="0.15">
      <c r="A4011" s="12"/>
      <c r="B4011" s="12"/>
    </row>
    <row r="4012" spans="1:2" ht="13" x14ac:dyDescent="0.15">
      <c r="A4012" s="12"/>
      <c r="B4012" s="12"/>
    </row>
    <row r="4013" spans="1:2" ht="13" x14ac:dyDescent="0.15">
      <c r="A4013" s="12"/>
      <c r="B4013" s="12"/>
    </row>
    <row r="4014" spans="1:2" ht="13" x14ac:dyDescent="0.15">
      <c r="A4014" s="12"/>
      <c r="B4014" s="12"/>
    </row>
    <row r="4015" spans="1:2" ht="13" x14ac:dyDescent="0.15">
      <c r="A4015" s="12"/>
      <c r="B4015" s="12"/>
    </row>
    <row r="4016" spans="1:2" ht="13" x14ac:dyDescent="0.15">
      <c r="A4016" s="12"/>
      <c r="B4016" s="12"/>
    </row>
    <row r="4017" spans="1:2" ht="13" x14ac:dyDescent="0.15">
      <c r="A4017" s="12"/>
      <c r="B4017" s="12"/>
    </row>
    <row r="4018" spans="1:2" ht="13" x14ac:dyDescent="0.15">
      <c r="A4018" s="12"/>
      <c r="B4018" s="12"/>
    </row>
    <row r="4019" spans="1:2" ht="13" x14ac:dyDescent="0.15">
      <c r="A4019" s="12"/>
      <c r="B4019" s="12"/>
    </row>
    <row r="4020" spans="1:2" ht="13" x14ac:dyDescent="0.15">
      <c r="A4020" s="12"/>
      <c r="B4020" s="12"/>
    </row>
    <row r="4021" spans="1:2" ht="13" x14ac:dyDescent="0.15">
      <c r="A4021" s="12"/>
      <c r="B4021" s="12"/>
    </row>
    <row r="4022" spans="1:2" ht="13" x14ac:dyDescent="0.15">
      <c r="A4022" s="12"/>
      <c r="B4022" s="12"/>
    </row>
    <row r="4023" spans="1:2" ht="13" x14ac:dyDescent="0.15">
      <c r="A4023" s="12"/>
      <c r="B4023" s="12"/>
    </row>
    <row r="4024" spans="1:2" ht="13" x14ac:dyDescent="0.15">
      <c r="A4024" s="12"/>
      <c r="B4024" s="12"/>
    </row>
    <row r="4025" spans="1:2" ht="13" x14ac:dyDescent="0.15">
      <c r="A4025" s="12"/>
      <c r="B4025" s="12"/>
    </row>
    <row r="4026" spans="1:2" ht="13" x14ac:dyDescent="0.15">
      <c r="A4026" s="12"/>
      <c r="B4026" s="12"/>
    </row>
    <row r="4027" spans="1:2" ht="13" x14ac:dyDescent="0.15">
      <c r="A4027" s="12"/>
      <c r="B4027" s="12"/>
    </row>
    <row r="4028" spans="1:2" ht="13" x14ac:dyDescent="0.15">
      <c r="A4028" s="12"/>
      <c r="B4028" s="12"/>
    </row>
    <row r="4029" spans="1:2" ht="13" x14ac:dyDescent="0.15">
      <c r="A4029" s="12"/>
      <c r="B4029" s="12"/>
    </row>
    <row r="4030" spans="1:2" ht="13" x14ac:dyDescent="0.15">
      <c r="A4030" s="12"/>
      <c r="B4030" s="12"/>
    </row>
    <row r="4031" spans="1:2" ht="13" x14ac:dyDescent="0.15">
      <c r="A4031" s="12"/>
      <c r="B4031" s="12"/>
    </row>
    <row r="4032" spans="1:2" ht="13" x14ac:dyDescent="0.15">
      <c r="A4032" s="12"/>
      <c r="B4032" s="12"/>
    </row>
    <row r="4033" spans="1:2" ht="13" x14ac:dyDescent="0.15">
      <c r="A4033" s="12"/>
      <c r="B4033" s="12"/>
    </row>
    <row r="4034" spans="1:2" ht="13" x14ac:dyDescent="0.15">
      <c r="A4034" s="12"/>
      <c r="B4034" s="12"/>
    </row>
    <row r="4035" spans="1:2" ht="13" x14ac:dyDescent="0.15">
      <c r="A4035" s="12"/>
      <c r="B4035" s="12"/>
    </row>
    <row r="4036" spans="1:2" ht="13" x14ac:dyDescent="0.15">
      <c r="A4036" s="12"/>
      <c r="B4036" s="12"/>
    </row>
    <row r="4037" spans="1:2" ht="13" x14ac:dyDescent="0.15">
      <c r="A4037" s="12"/>
      <c r="B4037" s="12"/>
    </row>
    <row r="4038" spans="1:2" ht="13" x14ac:dyDescent="0.15">
      <c r="A4038" s="12"/>
      <c r="B4038" s="12"/>
    </row>
    <row r="4039" spans="1:2" ht="13" x14ac:dyDescent="0.15">
      <c r="A4039" s="12"/>
      <c r="B4039" s="12"/>
    </row>
    <row r="4040" spans="1:2" ht="13" x14ac:dyDescent="0.15">
      <c r="A4040" s="12"/>
      <c r="B4040" s="12"/>
    </row>
    <row r="4041" spans="1:2" ht="13" x14ac:dyDescent="0.15">
      <c r="A4041" s="12"/>
      <c r="B4041" s="12"/>
    </row>
    <row r="4042" spans="1:2" ht="13" x14ac:dyDescent="0.15">
      <c r="A4042" s="12"/>
      <c r="B4042" s="12"/>
    </row>
    <row r="4043" spans="1:2" ht="13" x14ac:dyDescent="0.15">
      <c r="A4043" s="12"/>
      <c r="B4043" s="12"/>
    </row>
    <row r="4044" spans="1:2" ht="13" x14ac:dyDescent="0.15">
      <c r="A4044" s="12"/>
      <c r="B4044" s="12"/>
    </row>
    <row r="4045" spans="1:2" ht="13" x14ac:dyDescent="0.15">
      <c r="A4045" s="12"/>
      <c r="B4045" s="12"/>
    </row>
    <row r="4046" spans="1:2" ht="13" x14ac:dyDescent="0.15">
      <c r="A4046" s="12"/>
      <c r="B4046" s="12"/>
    </row>
    <row r="4047" spans="1:2" ht="13" x14ac:dyDescent="0.15">
      <c r="A4047" s="12"/>
      <c r="B4047" s="12"/>
    </row>
    <row r="4048" spans="1:2" ht="13" x14ac:dyDescent="0.15">
      <c r="A4048" s="12"/>
      <c r="B4048" s="12"/>
    </row>
    <row r="4049" spans="1:2" ht="13" x14ac:dyDescent="0.15">
      <c r="A4049" s="12"/>
      <c r="B4049" s="12"/>
    </row>
    <row r="4050" spans="1:2" ht="13" x14ac:dyDescent="0.15">
      <c r="A4050" s="12"/>
      <c r="B4050" s="12"/>
    </row>
    <row r="4051" spans="1:2" ht="13" x14ac:dyDescent="0.15">
      <c r="A4051" s="12"/>
      <c r="B4051" s="12"/>
    </row>
    <row r="4052" spans="1:2" ht="13" x14ac:dyDescent="0.15">
      <c r="A4052" s="12"/>
      <c r="B4052" s="12"/>
    </row>
    <row r="4053" spans="1:2" ht="13" x14ac:dyDescent="0.15">
      <c r="A4053" s="12"/>
      <c r="B4053" s="12"/>
    </row>
    <row r="4054" spans="1:2" ht="13" x14ac:dyDescent="0.15">
      <c r="A4054" s="12"/>
      <c r="B4054" s="12"/>
    </row>
    <row r="4055" spans="1:2" ht="13" x14ac:dyDescent="0.15">
      <c r="A4055" s="12"/>
      <c r="B4055" s="12"/>
    </row>
    <row r="4056" spans="1:2" ht="13" x14ac:dyDescent="0.15">
      <c r="A4056" s="12"/>
      <c r="B4056" s="12"/>
    </row>
    <row r="4057" spans="1:2" ht="13" x14ac:dyDescent="0.15">
      <c r="A4057" s="12"/>
      <c r="B4057" s="12"/>
    </row>
    <row r="4058" spans="1:2" ht="13" x14ac:dyDescent="0.15">
      <c r="A4058" s="12"/>
      <c r="B4058" s="12"/>
    </row>
    <row r="4059" spans="1:2" ht="13" x14ac:dyDescent="0.15">
      <c r="A4059" s="12"/>
      <c r="B4059" s="12"/>
    </row>
    <row r="4060" spans="1:2" ht="13" x14ac:dyDescent="0.15">
      <c r="A4060" s="12"/>
      <c r="B4060" s="12"/>
    </row>
    <row r="4061" spans="1:2" ht="13" x14ac:dyDescent="0.15">
      <c r="A4061" s="12"/>
      <c r="B4061" s="12"/>
    </row>
    <row r="4062" spans="1:2" ht="13" x14ac:dyDescent="0.15">
      <c r="A4062" s="12"/>
      <c r="B4062" s="12"/>
    </row>
    <row r="4063" spans="1:2" ht="13" x14ac:dyDescent="0.15">
      <c r="A4063" s="12"/>
      <c r="B4063" s="12"/>
    </row>
    <row r="4064" spans="1:2" ht="13" x14ac:dyDescent="0.15">
      <c r="A4064" s="12"/>
      <c r="B4064" s="12"/>
    </row>
    <row r="4065" spans="1:2" ht="13" x14ac:dyDescent="0.15">
      <c r="A4065" s="12"/>
      <c r="B4065" s="12"/>
    </row>
    <row r="4066" spans="1:2" ht="13" x14ac:dyDescent="0.15">
      <c r="A4066" s="12"/>
      <c r="B4066" s="12"/>
    </row>
    <row r="4067" spans="1:2" ht="13" x14ac:dyDescent="0.15">
      <c r="A4067" s="12"/>
      <c r="B4067" s="12"/>
    </row>
    <row r="4068" spans="1:2" ht="13" x14ac:dyDescent="0.15">
      <c r="A4068" s="12"/>
      <c r="B4068" s="12"/>
    </row>
    <row r="4069" spans="1:2" ht="13" x14ac:dyDescent="0.15">
      <c r="A4069" s="12"/>
      <c r="B4069" s="12"/>
    </row>
    <row r="4070" spans="1:2" ht="13" x14ac:dyDescent="0.15">
      <c r="A4070" s="12"/>
      <c r="B4070" s="12"/>
    </row>
    <row r="4071" spans="1:2" ht="13" x14ac:dyDescent="0.15">
      <c r="A4071" s="12"/>
      <c r="B4071" s="12"/>
    </row>
    <row r="4072" spans="1:2" ht="13" x14ac:dyDescent="0.15">
      <c r="A4072" s="12"/>
      <c r="B4072" s="12"/>
    </row>
    <row r="4073" spans="1:2" ht="13" x14ac:dyDescent="0.15">
      <c r="A4073" s="12"/>
      <c r="B4073" s="12"/>
    </row>
    <row r="4074" spans="1:2" ht="13" x14ac:dyDescent="0.15">
      <c r="A4074" s="12"/>
      <c r="B4074" s="12"/>
    </row>
    <row r="4075" spans="1:2" ht="13" x14ac:dyDescent="0.15">
      <c r="A4075" s="12"/>
      <c r="B4075" s="12"/>
    </row>
    <row r="4076" spans="1:2" ht="13" x14ac:dyDescent="0.15">
      <c r="A4076" s="12"/>
      <c r="B4076" s="12"/>
    </row>
    <row r="4077" spans="1:2" ht="13" x14ac:dyDescent="0.15">
      <c r="A4077" s="12"/>
      <c r="B4077" s="12"/>
    </row>
    <row r="4078" spans="1:2" ht="13" x14ac:dyDescent="0.15">
      <c r="A4078" s="12"/>
      <c r="B4078" s="12"/>
    </row>
    <row r="4079" spans="1:2" ht="13" x14ac:dyDescent="0.15">
      <c r="A4079" s="12"/>
      <c r="B4079" s="12"/>
    </row>
    <row r="4080" spans="1:2" ht="13" x14ac:dyDescent="0.15">
      <c r="A4080" s="12"/>
      <c r="B4080" s="12"/>
    </row>
    <row r="4081" spans="1:2" ht="13" x14ac:dyDescent="0.15">
      <c r="A4081" s="12"/>
      <c r="B4081" s="12"/>
    </row>
    <row r="4082" spans="1:2" ht="13" x14ac:dyDescent="0.15">
      <c r="A4082" s="12"/>
      <c r="B4082" s="12"/>
    </row>
    <row r="4083" spans="1:2" ht="13" x14ac:dyDescent="0.15">
      <c r="A4083" s="12"/>
      <c r="B4083" s="12"/>
    </row>
    <row r="4084" spans="1:2" ht="13" x14ac:dyDescent="0.15">
      <c r="A4084" s="12"/>
      <c r="B4084" s="12"/>
    </row>
    <row r="4085" spans="1:2" ht="13" x14ac:dyDescent="0.15">
      <c r="A4085" s="12"/>
      <c r="B4085" s="12"/>
    </row>
    <row r="4086" spans="1:2" ht="13" x14ac:dyDescent="0.15">
      <c r="A4086" s="12"/>
      <c r="B4086" s="12"/>
    </row>
    <row r="4087" spans="1:2" ht="13" x14ac:dyDescent="0.15">
      <c r="A4087" s="12"/>
      <c r="B4087" s="12"/>
    </row>
    <row r="4088" spans="1:2" ht="13" x14ac:dyDescent="0.15">
      <c r="A4088" s="12"/>
      <c r="B4088" s="12"/>
    </row>
    <row r="4089" spans="1:2" ht="13" x14ac:dyDescent="0.15">
      <c r="A4089" s="12"/>
      <c r="B4089" s="12"/>
    </row>
    <row r="4090" spans="1:2" ht="13" x14ac:dyDescent="0.15">
      <c r="A4090" s="12"/>
      <c r="B4090" s="12"/>
    </row>
    <row r="4091" spans="1:2" ht="13" x14ac:dyDescent="0.15">
      <c r="A4091" s="12"/>
      <c r="B4091" s="12"/>
    </row>
    <row r="4092" spans="1:2" ht="13" x14ac:dyDescent="0.15">
      <c r="A4092" s="12"/>
      <c r="B4092" s="12"/>
    </row>
    <row r="4093" spans="1:2" ht="13" x14ac:dyDescent="0.15">
      <c r="A4093" s="12"/>
      <c r="B4093" s="12"/>
    </row>
    <row r="4094" spans="1:2" ht="13" x14ac:dyDescent="0.15">
      <c r="A4094" s="12"/>
      <c r="B4094" s="12"/>
    </row>
    <row r="4095" spans="1:2" ht="13" x14ac:dyDescent="0.15">
      <c r="A4095" s="12"/>
      <c r="B4095" s="12"/>
    </row>
    <row r="4096" spans="1:2" ht="13" x14ac:dyDescent="0.15">
      <c r="A4096" s="12"/>
      <c r="B4096" s="12"/>
    </row>
    <row r="4097" spans="1:2" ht="13" x14ac:dyDescent="0.15">
      <c r="A4097" s="12"/>
      <c r="B4097" s="12"/>
    </row>
    <row r="4098" spans="1:2" ht="13" x14ac:dyDescent="0.15">
      <c r="A4098" s="12"/>
      <c r="B4098" s="12"/>
    </row>
    <row r="4099" spans="1:2" ht="13" x14ac:dyDescent="0.15">
      <c r="A4099" s="12"/>
      <c r="B4099" s="12"/>
    </row>
    <row r="4100" spans="1:2" ht="13" x14ac:dyDescent="0.15">
      <c r="A4100" s="12"/>
      <c r="B4100" s="12"/>
    </row>
    <row r="4101" spans="1:2" ht="13" x14ac:dyDescent="0.15">
      <c r="A4101" s="12"/>
      <c r="B4101" s="12"/>
    </row>
    <row r="4102" spans="1:2" ht="13" x14ac:dyDescent="0.15">
      <c r="A4102" s="12"/>
      <c r="B4102" s="12"/>
    </row>
    <row r="4103" spans="1:2" ht="13" x14ac:dyDescent="0.15">
      <c r="A4103" s="12"/>
      <c r="B4103" s="12"/>
    </row>
    <row r="4104" spans="1:2" ht="13" x14ac:dyDescent="0.15">
      <c r="A4104" s="12"/>
      <c r="B4104" s="12"/>
    </row>
    <row r="4105" spans="1:2" ht="13" x14ac:dyDescent="0.15">
      <c r="A4105" s="12"/>
      <c r="B4105" s="12"/>
    </row>
    <row r="4106" spans="1:2" ht="13" x14ac:dyDescent="0.15">
      <c r="A4106" s="12"/>
      <c r="B4106" s="12"/>
    </row>
    <row r="4107" spans="1:2" ht="13" x14ac:dyDescent="0.15">
      <c r="A4107" s="12"/>
      <c r="B4107" s="12"/>
    </row>
    <row r="4108" spans="1:2" ht="13" x14ac:dyDescent="0.15">
      <c r="A4108" s="12"/>
      <c r="B4108" s="12"/>
    </row>
    <row r="4109" spans="1:2" ht="13" x14ac:dyDescent="0.15">
      <c r="A4109" s="12"/>
      <c r="B4109" s="12"/>
    </row>
    <row r="4110" spans="1:2" ht="13" x14ac:dyDescent="0.15">
      <c r="A4110" s="12"/>
      <c r="B4110" s="12"/>
    </row>
    <row r="4111" spans="1:2" ht="13" x14ac:dyDescent="0.15">
      <c r="A4111" s="12"/>
      <c r="B4111" s="12"/>
    </row>
    <row r="4112" spans="1:2" ht="13" x14ac:dyDescent="0.15">
      <c r="A4112" s="12"/>
      <c r="B4112" s="12"/>
    </row>
    <row r="4113" spans="1:2" ht="13" x14ac:dyDescent="0.15">
      <c r="A4113" s="12"/>
      <c r="B4113" s="12"/>
    </row>
    <row r="4114" spans="1:2" ht="13" x14ac:dyDescent="0.15">
      <c r="A4114" s="12"/>
      <c r="B4114" s="12"/>
    </row>
    <row r="4115" spans="1:2" ht="13" x14ac:dyDescent="0.15">
      <c r="A4115" s="12"/>
      <c r="B4115" s="12"/>
    </row>
    <row r="4116" spans="1:2" ht="13" x14ac:dyDescent="0.15">
      <c r="A4116" s="12"/>
      <c r="B4116" s="12"/>
    </row>
    <row r="4117" spans="1:2" ht="13" x14ac:dyDescent="0.15">
      <c r="A4117" s="12"/>
      <c r="B4117" s="12"/>
    </row>
    <row r="4118" spans="1:2" ht="13" x14ac:dyDescent="0.15">
      <c r="A4118" s="12"/>
      <c r="B4118" s="12"/>
    </row>
    <row r="4119" spans="1:2" ht="13" x14ac:dyDescent="0.15">
      <c r="A4119" s="12"/>
      <c r="B4119" s="12"/>
    </row>
    <row r="4120" spans="1:2" ht="13" x14ac:dyDescent="0.15">
      <c r="A4120" s="12"/>
      <c r="B4120" s="12"/>
    </row>
    <row r="4121" spans="1:2" ht="13" x14ac:dyDescent="0.15">
      <c r="A4121" s="12"/>
      <c r="B4121" s="12"/>
    </row>
    <row r="4122" spans="1:2" ht="13" x14ac:dyDescent="0.15">
      <c r="A4122" s="12"/>
      <c r="B4122" s="12"/>
    </row>
    <row r="4123" spans="1:2" ht="13" x14ac:dyDescent="0.15">
      <c r="A4123" s="12"/>
      <c r="B4123" s="12"/>
    </row>
    <row r="4124" spans="1:2" ht="13" x14ac:dyDescent="0.15">
      <c r="A4124" s="12"/>
      <c r="B4124" s="12"/>
    </row>
    <row r="4125" spans="1:2" ht="13" x14ac:dyDescent="0.15">
      <c r="A4125" s="12"/>
      <c r="B4125" s="12"/>
    </row>
    <row r="4126" spans="1:2" ht="13" x14ac:dyDescent="0.15">
      <c r="A4126" s="12"/>
      <c r="B4126" s="12"/>
    </row>
    <row r="4127" spans="1:2" ht="13" x14ac:dyDescent="0.15">
      <c r="A4127" s="12"/>
      <c r="B4127" s="12"/>
    </row>
    <row r="4128" spans="1:2" ht="13" x14ac:dyDescent="0.15">
      <c r="A4128" s="12"/>
      <c r="B4128" s="12"/>
    </row>
    <row r="4129" spans="1:2" ht="13" x14ac:dyDescent="0.15">
      <c r="A4129" s="12"/>
      <c r="B4129" s="12"/>
    </row>
    <row r="4130" spans="1:2" ht="13" x14ac:dyDescent="0.15">
      <c r="A4130" s="12"/>
      <c r="B4130" s="12"/>
    </row>
    <row r="4131" spans="1:2" ht="13" x14ac:dyDescent="0.15">
      <c r="A4131" s="12"/>
      <c r="B4131" s="12"/>
    </row>
    <row r="4132" spans="1:2" ht="13" x14ac:dyDescent="0.15">
      <c r="A4132" s="12"/>
      <c r="B4132" s="12"/>
    </row>
    <row r="4133" spans="1:2" ht="13" x14ac:dyDescent="0.15">
      <c r="A4133" s="12"/>
      <c r="B4133" s="12"/>
    </row>
    <row r="4134" spans="1:2" ht="13" x14ac:dyDescent="0.15">
      <c r="A4134" s="12"/>
      <c r="B4134" s="12"/>
    </row>
    <row r="4135" spans="1:2" ht="13" x14ac:dyDescent="0.15">
      <c r="A4135" s="12"/>
      <c r="B4135" s="12"/>
    </row>
    <row r="4136" spans="1:2" ht="13" x14ac:dyDescent="0.15">
      <c r="A4136" s="12"/>
      <c r="B4136" s="12"/>
    </row>
    <row r="4137" spans="1:2" ht="13" x14ac:dyDescent="0.15">
      <c r="A4137" s="12"/>
      <c r="B4137" s="12"/>
    </row>
    <row r="4138" spans="1:2" ht="13" x14ac:dyDescent="0.15">
      <c r="A4138" s="12"/>
      <c r="B4138" s="12"/>
    </row>
    <row r="4139" spans="1:2" ht="13" x14ac:dyDescent="0.15">
      <c r="A4139" s="12"/>
      <c r="B4139" s="12"/>
    </row>
    <row r="4140" spans="1:2" ht="13" x14ac:dyDescent="0.15">
      <c r="A4140" s="12"/>
      <c r="B4140" s="12"/>
    </row>
    <row r="4141" spans="1:2" ht="13" x14ac:dyDescent="0.15">
      <c r="A4141" s="12"/>
      <c r="B4141" s="12"/>
    </row>
    <row r="4142" spans="1:2" ht="13" x14ac:dyDescent="0.15">
      <c r="A4142" s="12"/>
      <c r="B4142" s="12"/>
    </row>
    <row r="4143" spans="1:2" ht="13" x14ac:dyDescent="0.15">
      <c r="A4143" s="12"/>
      <c r="B4143" s="12"/>
    </row>
    <row r="4144" spans="1:2" ht="13" x14ac:dyDescent="0.15">
      <c r="A4144" s="12"/>
      <c r="B4144" s="12"/>
    </row>
    <row r="4145" spans="1:2" ht="13" x14ac:dyDescent="0.15">
      <c r="A4145" s="12"/>
      <c r="B4145" s="12"/>
    </row>
    <row r="4146" spans="1:2" ht="13" x14ac:dyDescent="0.15">
      <c r="A4146" s="12"/>
      <c r="B4146" s="12"/>
    </row>
    <row r="4147" spans="1:2" ht="13" x14ac:dyDescent="0.15">
      <c r="A4147" s="12"/>
      <c r="B4147" s="12"/>
    </row>
    <row r="4148" spans="1:2" ht="13" x14ac:dyDescent="0.15">
      <c r="A4148" s="12"/>
      <c r="B4148" s="12"/>
    </row>
    <row r="4149" spans="1:2" ht="13" x14ac:dyDescent="0.15">
      <c r="A4149" s="12"/>
      <c r="B4149" s="12"/>
    </row>
    <row r="4150" spans="1:2" ht="13" x14ac:dyDescent="0.15">
      <c r="A4150" s="12"/>
      <c r="B4150" s="12"/>
    </row>
    <row r="4151" spans="1:2" ht="13" x14ac:dyDescent="0.15">
      <c r="A4151" s="12"/>
      <c r="B4151" s="12"/>
    </row>
    <row r="4152" spans="1:2" ht="13" x14ac:dyDescent="0.15">
      <c r="A4152" s="12"/>
      <c r="B4152" s="12"/>
    </row>
    <row r="4153" spans="1:2" ht="13" x14ac:dyDescent="0.15">
      <c r="A4153" s="12"/>
      <c r="B4153" s="12"/>
    </row>
    <row r="4154" spans="1:2" ht="13" x14ac:dyDescent="0.15">
      <c r="A4154" s="12"/>
      <c r="B4154" s="12"/>
    </row>
    <row r="4155" spans="1:2" ht="13" x14ac:dyDescent="0.15">
      <c r="A4155" s="12"/>
      <c r="B4155" s="12"/>
    </row>
    <row r="4156" spans="1:2" ht="13" x14ac:dyDescent="0.15">
      <c r="A4156" s="12"/>
      <c r="B4156" s="12"/>
    </row>
    <row r="4157" spans="1:2" ht="13" x14ac:dyDescent="0.15">
      <c r="A4157" s="12"/>
      <c r="B4157" s="12"/>
    </row>
    <row r="4158" spans="1:2" ht="13" x14ac:dyDescent="0.15">
      <c r="A4158" s="12"/>
      <c r="B4158" s="12"/>
    </row>
    <row r="4159" spans="1:2" ht="13" x14ac:dyDescent="0.15">
      <c r="A4159" s="12"/>
      <c r="B4159" s="12"/>
    </row>
    <row r="4160" spans="1:2" ht="13" x14ac:dyDescent="0.15">
      <c r="A4160" s="12"/>
      <c r="B4160" s="12"/>
    </row>
    <row r="4161" spans="1:2" ht="13" x14ac:dyDescent="0.15">
      <c r="A4161" s="12"/>
      <c r="B4161" s="12"/>
    </row>
    <row r="4162" spans="1:2" ht="13" x14ac:dyDescent="0.15">
      <c r="A4162" s="12"/>
      <c r="B4162" s="12"/>
    </row>
    <row r="4163" spans="1:2" ht="13" x14ac:dyDescent="0.15">
      <c r="A4163" s="12"/>
      <c r="B4163" s="12"/>
    </row>
    <row r="4164" spans="1:2" ht="13" x14ac:dyDescent="0.15">
      <c r="A4164" s="12"/>
      <c r="B4164" s="12"/>
    </row>
    <row r="4165" spans="1:2" ht="13" x14ac:dyDescent="0.15">
      <c r="A4165" s="12"/>
      <c r="B4165" s="12"/>
    </row>
    <row r="4166" spans="1:2" ht="13" x14ac:dyDescent="0.15">
      <c r="A4166" s="12"/>
      <c r="B4166" s="12"/>
    </row>
    <row r="4167" spans="1:2" ht="13" x14ac:dyDescent="0.15">
      <c r="A4167" s="12"/>
      <c r="B4167" s="12"/>
    </row>
    <row r="4168" spans="1:2" ht="13" x14ac:dyDescent="0.15">
      <c r="A4168" s="12"/>
      <c r="B4168" s="12"/>
    </row>
    <row r="4169" spans="1:2" ht="13" x14ac:dyDescent="0.15">
      <c r="A4169" s="12"/>
      <c r="B4169" s="12"/>
    </row>
    <row r="4170" spans="1:2" ht="13" x14ac:dyDescent="0.15">
      <c r="A4170" s="12"/>
      <c r="B4170" s="12"/>
    </row>
    <row r="4171" spans="1:2" ht="13" x14ac:dyDescent="0.15">
      <c r="A4171" s="12"/>
      <c r="B4171" s="12"/>
    </row>
    <row r="4172" spans="1:2" ht="13" x14ac:dyDescent="0.15">
      <c r="A4172" s="12"/>
      <c r="B4172" s="12"/>
    </row>
    <row r="4173" spans="1:2" ht="13" x14ac:dyDescent="0.15">
      <c r="A4173" s="12"/>
      <c r="B4173" s="12"/>
    </row>
    <row r="4174" spans="1:2" ht="13" x14ac:dyDescent="0.15">
      <c r="A4174" s="12"/>
      <c r="B4174" s="12"/>
    </row>
    <row r="4175" spans="1:2" ht="13" x14ac:dyDescent="0.15">
      <c r="A4175" s="12"/>
      <c r="B4175" s="12"/>
    </row>
    <row r="4176" spans="1:2" ht="13" x14ac:dyDescent="0.15">
      <c r="A4176" s="12"/>
      <c r="B4176" s="12"/>
    </row>
    <row r="4177" spans="1:2" ht="13" x14ac:dyDescent="0.15">
      <c r="A4177" s="12"/>
      <c r="B4177" s="12"/>
    </row>
    <row r="4178" spans="1:2" ht="13" x14ac:dyDescent="0.15">
      <c r="A4178" s="12"/>
      <c r="B4178" s="12"/>
    </row>
    <row r="4179" spans="1:2" ht="13" x14ac:dyDescent="0.15">
      <c r="A4179" s="12"/>
      <c r="B4179" s="12"/>
    </row>
    <row r="4180" spans="1:2" ht="13" x14ac:dyDescent="0.15">
      <c r="A4180" s="12"/>
      <c r="B4180" s="12"/>
    </row>
    <row r="4181" spans="1:2" ht="13" x14ac:dyDescent="0.15">
      <c r="A4181" s="12"/>
      <c r="B4181" s="12"/>
    </row>
    <row r="4182" spans="1:2" ht="13" x14ac:dyDescent="0.15">
      <c r="A4182" s="12"/>
      <c r="B4182" s="12"/>
    </row>
    <row r="4183" spans="1:2" ht="13" x14ac:dyDescent="0.15">
      <c r="A4183" s="12"/>
      <c r="B4183" s="12"/>
    </row>
    <row r="4184" spans="1:2" ht="13" x14ac:dyDescent="0.15">
      <c r="A4184" s="12"/>
      <c r="B4184" s="12"/>
    </row>
    <row r="4185" spans="1:2" ht="13" x14ac:dyDescent="0.15">
      <c r="A4185" s="12"/>
      <c r="B4185" s="12"/>
    </row>
    <row r="4186" spans="1:2" ht="13" x14ac:dyDescent="0.15">
      <c r="A4186" s="12"/>
      <c r="B4186" s="12"/>
    </row>
    <row r="4187" spans="1:2" ht="13" x14ac:dyDescent="0.15">
      <c r="A4187" s="12"/>
      <c r="B4187" s="12"/>
    </row>
    <row r="4188" spans="1:2" ht="13" x14ac:dyDescent="0.15">
      <c r="A4188" s="12"/>
      <c r="B4188" s="12"/>
    </row>
    <row r="4189" spans="1:2" ht="13" x14ac:dyDescent="0.15">
      <c r="A4189" s="12"/>
      <c r="B4189" s="12"/>
    </row>
    <row r="4190" spans="1:2" ht="13" x14ac:dyDescent="0.15">
      <c r="A4190" s="12"/>
      <c r="B4190" s="12"/>
    </row>
    <row r="4191" spans="1:2" ht="13" x14ac:dyDescent="0.15">
      <c r="A4191" s="12"/>
      <c r="B4191" s="12"/>
    </row>
    <row r="4192" spans="1:2" ht="13" x14ac:dyDescent="0.15">
      <c r="A4192" s="12"/>
      <c r="B4192" s="12"/>
    </row>
    <row r="4193" spans="1:2" ht="13" x14ac:dyDescent="0.15">
      <c r="A4193" s="12"/>
      <c r="B4193" s="12"/>
    </row>
    <row r="4194" spans="1:2" ht="13" x14ac:dyDescent="0.15">
      <c r="A4194" s="12"/>
      <c r="B4194" s="12"/>
    </row>
    <row r="4195" spans="1:2" ht="13" x14ac:dyDescent="0.15">
      <c r="A4195" s="12"/>
      <c r="B4195" s="12"/>
    </row>
    <row r="4196" spans="1:2" ht="13" x14ac:dyDescent="0.15">
      <c r="A4196" s="12"/>
      <c r="B4196" s="12"/>
    </row>
    <row r="4197" spans="1:2" ht="13" x14ac:dyDescent="0.15">
      <c r="A4197" s="12"/>
      <c r="B4197" s="12"/>
    </row>
    <row r="4198" spans="1:2" ht="13" x14ac:dyDescent="0.15">
      <c r="A4198" s="12"/>
      <c r="B4198" s="12"/>
    </row>
    <row r="4199" spans="1:2" ht="13" x14ac:dyDescent="0.15">
      <c r="A4199" s="12"/>
      <c r="B4199" s="12"/>
    </row>
    <row r="4200" spans="1:2" ht="13" x14ac:dyDescent="0.15">
      <c r="A4200" s="12"/>
      <c r="B4200" s="12"/>
    </row>
    <row r="4201" spans="1:2" ht="13" x14ac:dyDescent="0.15">
      <c r="A4201" s="12"/>
      <c r="B4201" s="12"/>
    </row>
    <row r="4202" spans="1:2" ht="13" x14ac:dyDescent="0.15">
      <c r="A4202" s="12"/>
      <c r="B4202" s="12"/>
    </row>
    <row r="4203" spans="1:2" ht="13" x14ac:dyDescent="0.15">
      <c r="A4203" s="12"/>
      <c r="B4203" s="12"/>
    </row>
    <row r="4204" spans="1:2" ht="13" x14ac:dyDescent="0.15">
      <c r="A4204" s="12"/>
      <c r="B4204" s="12"/>
    </row>
    <row r="4205" spans="1:2" ht="13" x14ac:dyDescent="0.15">
      <c r="A4205" s="12"/>
      <c r="B4205" s="12"/>
    </row>
    <row r="4206" spans="1:2" ht="13" x14ac:dyDescent="0.15">
      <c r="A4206" s="12"/>
      <c r="B4206" s="12"/>
    </row>
    <row r="4207" spans="1:2" ht="13" x14ac:dyDescent="0.15">
      <c r="A4207" s="12"/>
      <c r="B4207" s="12"/>
    </row>
    <row r="4208" spans="1:2" ht="13" x14ac:dyDescent="0.15">
      <c r="A4208" s="12"/>
      <c r="B4208" s="12"/>
    </row>
    <row r="4209" spans="1:2" ht="13" x14ac:dyDescent="0.15">
      <c r="A4209" s="12"/>
      <c r="B4209" s="12"/>
    </row>
    <row r="4210" spans="1:2" ht="13" x14ac:dyDescent="0.15">
      <c r="A4210" s="12"/>
      <c r="B4210" s="12"/>
    </row>
    <row r="4211" spans="1:2" ht="13" x14ac:dyDescent="0.15">
      <c r="A4211" s="12"/>
      <c r="B4211" s="12"/>
    </row>
    <row r="4212" spans="1:2" ht="13" x14ac:dyDescent="0.15">
      <c r="A4212" s="12"/>
      <c r="B4212" s="12"/>
    </row>
    <row r="4213" spans="1:2" ht="13" x14ac:dyDescent="0.15">
      <c r="A4213" s="12"/>
      <c r="B4213" s="12"/>
    </row>
    <row r="4214" spans="1:2" ht="13" x14ac:dyDescent="0.15">
      <c r="A4214" s="12"/>
      <c r="B4214" s="12"/>
    </row>
    <row r="4215" spans="1:2" ht="13" x14ac:dyDescent="0.15">
      <c r="A4215" s="12"/>
      <c r="B4215" s="12"/>
    </row>
    <row r="4216" spans="1:2" ht="13" x14ac:dyDescent="0.15">
      <c r="A4216" s="12"/>
      <c r="B4216" s="12"/>
    </row>
    <row r="4217" spans="1:2" ht="13" x14ac:dyDescent="0.15">
      <c r="A4217" s="12"/>
      <c r="B4217" s="12"/>
    </row>
    <row r="4218" spans="1:2" ht="13" x14ac:dyDescent="0.15">
      <c r="A4218" s="12"/>
      <c r="B4218" s="12"/>
    </row>
    <row r="4219" spans="1:2" ht="13" x14ac:dyDescent="0.15">
      <c r="A4219" s="12"/>
      <c r="B4219" s="12"/>
    </row>
    <row r="4220" spans="1:2" ht="13" x14ac:dyDescent="0.15">
      <c r="A4220" s="12"/>
      <c r="B4220" s="12"/>
    </row>
    <row r="4221" spans="1:2" ht="13" x14ac:dyDescent="0.15">
      <c r="A4221" s="12"/>
      <c r="B4221" s="12"/>
    </row>
    <row r="4222" spans="1:2" ht="13" x14ac:dyDescent="0.15">
      <c r="A4222" s="12"/>
      <c r="B4222" s="12"/>
    </row>
    <row r="4223" spans="1:2" ht="13" x14ac:dyDescent="0.15">
      <c r="A4223" s="12"/>
      <c r="B4223" s="12"/>
    </row>
    <row r="4224" spans="1:2" ht="13" x14ac:dyDescent="0.15">
      <c r="A4224" s="12"/>
      <c r="B4224" s="12"/>
    </row>
    <row r="4225" spans="1:2" ht="13" x14ac:dyDescent="0.15">
      <c r="A4225" s="12"/>
      <c r="B4225" s="12"/>
    </row>
    <row r="4226" spans="1:2" ht="13" x14ac:dyDescent="0.15">
      <c r="A4226" s="12"/>
      <c r="B4226" s="12"/>
    </row>
    <row r="4227" spans="1:2" ht="13" x14ac:dyDescent="0.15">
      <c r="A4227" s="12"/>
      <c r="B4227" s="12"/>
    </row>
    <row r="4228" spans="1:2" ht="13" x14ac:dyDescent="0.15">
      <c r="A4228" s="12"/>
      <c r="B4228" s="12"/>
    </row>
    <row r="4229" spans="1:2" ht="13" x14ac:dyDescent="0.15">
      <c r="A4229" s="12"/>
      <c r="B4229" s="12"/>
    </row>
    <row r="4230" spans="1:2" ht="13" x14ac:dyDescent="0.15">
      <c r="A4230" s="12"/>
      <c r="B4230" s="12"/>
    </row>
    <row r="4231" spans="1:2" ht="13" x14ac:dyDescent="0.15">
      <c r="A4231" s="12"/>
      <c r="B4231" s="12"/>
    </row>
    <row r="4232" spans="1:2" ht="13" x14ac:dyDescent="0.15">
      <c r="A4232" s="12"/>
      <c r="B4232" s="12"/>
    </row>
    <row r="4233" spans="1:2" ht="13" x14ac:dyDescent="0.15">
      <c r="A4233" s="12"/>
      <c r="B4233" s="12"/>
    </row>
    <row r="4234" spans="1:2" ht="13" x14ac:dyDescent="0.15">
      <c r="A4234" s="12"/>
      <c r="B4234" s="12"/>
    </row>
    <row r="4235" spans="1:2" ht="13" x14ac:dyDescent="0.15">
      <c r="A4235" s="12"/>
      <c r="B4235" s="12"/>
    </row>
    <row r="4236" spans="1:2" ht="13" x14ac:dyDescent="0.15">
      <c r="A4236" s="12"/>
      <c r="B4236" s="12"/>
    </row>
    <row r="4237" spans="1:2" ht="13" x14ac:dyDescent="0.15">
      <c r="A4237" s="12"/>
      <c r="B4237" s="12"/>
    </row>
    <row r="4238" spans="1:2" ht="13" x14ac:dyDescent="0.15">
      <c r="A4238" s="12"/>
      <c r="B4238" s="12"/>
    </row>
    <row r="4239" spans="1:2" ht="13" x14ac:dyDescent="0.15">
      <c r="A4239" s="12"/>
      <c r="B4239" s="12"/>
    </row>
    <row r="4240" spans="1:2" ht="13" x14ac:dyDescent="0.15">
      <c r="A4240" s="12"/>
      <c r="B4240" s="12"/>
    </row>
    <row r="4241" spans="1:2" ht="13" x14ac:dyDescent="0.15">
      <c r="A4241" s="12"/>
      <c r="B4241" s="12"/>
    </row>
    <row r="4242" spans="1:2" ht="13" x14ac:dyDescent="0.15">
      <c r="A4242" s="12"/>
      <c r="B4242" s="12"/>
    </row>
    <row r="4243" spans="1:2" ht="13" x14ac:dyDescent="0.15">
      <c r="A4243" s="12"/>
      <c r="B4243" s="12"/>
    </row>
    <row r="4244" spans="1:2" ht="13" x14ac:dyDescent="0.15">
      <c r="A4244" s="12"/>
      <c r="B4244" s="12"/>
    </row>
    <row r="4245" spans="1:2" ht="13" x14ac:dyDescent="0.15">
      <c r="A4245" s="12"/>
      <c r="B4245" s="12"/>
    </row>
    <row r="4246" spans="1:2" ht="13" x14ac:dyDescent="0.15">
      <c r="A4246" s="12"/>
      <c r="B4246" s="12"/>
    </row>
    <row r="4247" spans="1:2" ht="13" x14ac:dyDescent="0.15">
      <c r="A4247" s="12"/>
      <c r="B4247" s="12"/>
    </row>
    <row r="4248" spans="1:2" ht="13" x14ac:dyDescent="0.15">
      <c r="A4248" s="12"/>
      <c r="B4248" s="12"/>
    </row>
    <row r="4249" spans="1:2" ht="13" x14ac:dyDescent="0.15">
      <c r="A4249" s="12"/>
      <c r="B4249" s="12"/>
    </row>
    <row r="4250" spans="1:2" ht="13" x14ac:dyDescent="0.15">
      <c r="A4250" s="12"/>
      <c r="B4250" s="12"/>
    </row>
    <row r="4251" spans="1:2" ht="13" x14ac:dyDescent="0.15">
      <c r="A4251" s="12"/>
      <c r="B4251" s="12"/>
    </row>
    <row r="4252" spans="1:2" ht="13" x14ac:dyDescent="0.15">
      <c r="A4252" s="12"/>
      <c r="B4252" s="12"/>
    </row>
    <row r="4253" spans="1:2" ht="13" x14ac:dyDescent="0.15">
      <c r="A4253" s="12"/>
      <c r="B4253" s="12"/>
    </row>
    <row r="4254" spans="1:2" ht="13" x14ac:dyDescent="0.15">
      <c r="A4254" s="12"/>
      <c r="B4254" s="12"/>
    </row>
    <row r="4255" spans="1:2" ht="13" x14ac:dyDescent="0.15">
      <c r="A4255" s="12"/>
      <c r="B4255" s="12"/>
    </row>
    <row r="4256" spans="1:2" ht="13" x14ac:dyDescent="0.15">
      <c r="A4256" s="12"/>
      <c r="B4256" s="12"/>
    </row>
    <row r="4257" spans="1:2" ht="13" x14ac:dyDescent="0.15">
      <c r="A4257" s="12"/>
      <c r="B4257" s="12"/>
    </row>
    <row r="4258" spans="1:2" ht="13" x14ac:dyDescent="0.15">
      <c r="A4258" s="12"/>
      <c r="B4258" s="12"/>
    </row>
    <row r="4259" spans="1:2" ht="13" x14ac:dyDescent="0.15">
      <c r="A4259" s="12"/>
      <c r="B4259" s="12"/>
    </row>
    <row r="4260" spans="1:2" ht="13" x14ac:dyDescent="0.15">
      <c r="A4260" s="12"/>
      <c r="B4260" s="12"/>
    </row>
    <row r="4261" spans="1:2" ht="13" x14ac:dyDescent="0.15">
      <c r="A4261" s="12"/>
      <c r="B4261" s="12"/>
    </row>
    <row r="4262" spans="1:2" ht="13" x14ac:dyDescent="0.15">
      <c r="A4262" s="12"/>
      <c r="B4262" s="12"/>
    </row>
    <row r="4263" spans="1:2" ht="13" x14ac:dyDescent="0.15">
      <c r="A4263" s="12"/>
      <c r="B4263" s="12"/>
    </row>
    <row r="4264" spans="1:2" ht="13" x14ac:dyDescent="0.15">
      <c r="A4264" s="12"/>
      <c r="B4264" s="12"/>
    </row>
    <row r="4265" spans="1:2" ht="13" x14ac:dyDescent="0.15">
      <c r="A4265" s="12"/>
      <c r="B4265" s="12"/>
    </row>
    <row r="4266" spans="1:2" ht="13" x14ac:dyDescent="0.15">
      <c r="A4266" s="12"/>
      <c r="B4266" s="12"/>
    </row>
    <row r="4267" spans="1:2" ht="13" x14ac:dyDescent="0.15">
      <c r="A4267" s="12"/>
      <c r="B4267" s="12"/>
    </row>
    <row r="4268" spans="1:2" ht="13" x14ac:dyDescent="0.15">
      <c r="A4268" s="12"/>
      <c r="B4268" s="12"/>
    </row>
    <row r="4269" spans="1:2" ht="13" x14ac:dyDescent="0.15">
      <c r="A4269" s="12"/>
      <c r="B4269" s="12"/>
    </row>
    <row r="4270" spans="1:2" ht="13" x14ac:dyDescent="0.15">
      <c r="A4270" s="12"/>
      <c r="B4270" s="12"/>
    </row>
    <row r="4271" spans="1:2" ht="13" x14ac:dyDescent="0.15">
      <c r="A4271" s="12"/>
      <c r="B4271" s="12"/>
    </row>
    <row r="4272" spans="1:2" ht="13" x14ac:dyDescent="0.15">
      <c r="A4272" s="12"/>
      <c r="B4272" s="12"/>
    </row>
    <row r="4273" spans="1:2" ht="13" x14ac:dyDescent="0.15">
      <c r="A4273" s="12"/>
      <c r="B4273" s="12"/>
    </row>
    <row r="4274" spans="1:2" ht="13" x14ac:dyDescent="0.15">
      <c r="A4274" s="12"/>
      <c r="B4274" s="12"/>
    </row>
    <row r="4275" spans="1:2" ht="13" x14ac:dyDescent="0.15">
      <c r="A4275" s="12"/>
      <c r="B4275" s="12"/>
    </row>
    <row r="4276" spans="1:2" ht="13" x14ac:dyDescent="0.15">
      <c r="A4276" s="12"/>
      <c r="B4276" s="12"/>
    </row>
    <row r="4277" spans="1:2" ht="13" x14ac:dyDescent="0.15">
      <c r="A4277" s="12"/>
      <c r="B4277" s="12"/>
    </row>
    <row r="4278" spans="1:2" ht="13" x14ac:dyDescent="0.15">
      <c r="A4278" s="12"/>
      <c r="B4278" s="12"/>
    </row>
    <row r="4279" spans="1:2" ht="13" x14ac:dyDescent="0.15">
      <c r="A4279" s="12"/>
      <c r="B4279" s="12"/>
    </row>
    <row r="4280" spans="1:2" ht="13" x14ac:dyDescent="0.15">
      <c r="A4280" s="12"/>
      <c r="B4280" s="12"/>
    </row>
    <row r="4281" spans="1:2" ht="13" x14ac:dyDescent="0.15">
      <c r="A4281" s="12"/>
      <c r="B4281" s="12"/>
    </row>
    <row r="4282" spans="1:2" ht="13" x14ac:dyDescent="0.15">
      <c r="A4282" s="12"/>
      <c r="B4282" s="12"/>
    </row>
    <row r="4283" spans="1:2" ht="13" x14ac:dyDescent="0.15">
      <c r="A4283" s="12"/>
      <c r="B4283" s="12"/>
    </row>
    <row r="4284" spans="1:2" ht="13" x14ac:dyDescent="0.15">
      <c r="A4284" s="12"/>
      <c r="B4284" s="12"/>
    </row>
    <row r="4285" spans="1:2" ht="13" x14ac:dyDescent="0.15">
      <c r="A4285" s="12"/>
      <c r="B4285" s="12"/>
    </row>
    <row r="4286" spans="1:2" ht="13" x14ac:dyDescent="0.15">
      <c r="A4286" s="12"/>
      <c r="B4286" s="12"/>
    </row>
    <row r="4287" spans="1:2" ht="13" x14ac:dyDescent="0.15">
      <c r="A4287" s="12"/>
      <c r="B4287" s="12"/>
    </row>
    <row r="4288" spans="1:2" ht="13" x14ac:dyDescent="0.15">
      <c r="A4288" s="12"/>
      <c r="B4288" s="12"/>
    </row>
    <row r="4289" spans="1:2" ht="13" x14ac:dyDescent="0.15">
      <c r="A4289" s="12"/>
      <c r="B4289" s="12"/>
    </row>
    <row r="4290" spans="1:2" ht="13" x14ac:dyDescent="0.15">
      <c r="A4290" s="12"/>
      <c r="B4290" s="12"/>
    </row>
    <row r="4291" spans="1:2" ht="13" x14ac:dyDescent="0.15">
      <c r="A4291" s="12"/>
      <c r="B4291" s="12"/>
    </row>
    <row r="4292" spans="1:2" ht="13" x14ac:dyDescent="0.15">
      <c r="A4292" s="12"/>
      <c r="B4292" s="12"/>
    </row>
    <row r="4293" spans="1:2" ht="13" x14ac:dyDescent="0.15">
      <c r="A4293" s="12"/>
      <c r="B4293" s="12"/>
    </row>
    <row r="4294" spans="1:2" ht="13" x14ac:dyDescent="0.15">
      <c r="A4294" s="12"/>
      <c r="B4294" s="12"/>
    </row>
    <row r="4295" spans="1:2" ht="13" x14ac:dyDescent="0.15">
      <c r="A4295" s="12"/>
      <c r="B4295" s="12"/>
    </row>
    <row r="4296" spans="1:2" ht="13" x14ac:dyDescent="0.15">
      <c r="A4296" s="12"/>
      <c r="B4296" s="12"/>
    </row>
    <row r="4297" spans="1:2" ht="13" x14ac:dyDescent="0.15">
      <c r="A4297" s="12"/>
      <c r="B4297" s="12"/>
    </row>
    <row r="4298" spans="1:2" ht="13" x14ac:dyDescent="0.15">
      <c r="A4298" s="12"/>
      <c r="B4298" s="12"/>
    </row>
    <row r="4299" spans="1:2" ht="13" x14ac:dyDescent="0.15">
      <c r="A4299" s="12"/>
      <c r="B4299" s="12"/>
    </row>
    <row r="4300" spans="1:2" ht="13" x14ac:dyDescent="0.15">
      <c r="A4300" s="12"/>
      <c r="B4300" s="12"/>
    </row>
    <row r="4301" spans="1:2" ht="13" x14ac:dyDescent="0.15">
      <c r="A4301" s="12"/>
      <c r="B4301" s="12"/>
    </row>
    <row r="4302" spans="1:2" ht="13" x14ac:dyDescent="0.15">
      <c r="A4302" s="12"/>
      <c r="B4302" s="12"/>
    </row>
    <row r="4303" spans="1:2" ht="13" x14ac:dyDescent="0.15">
      <c r="A4303" s="12"/>
      <c r="B4303" s="12"/>
    </row>
    <row r="4304" spans="1:2" ht="13" x14ac:dyDescent="0.15">
      <c r="A4304" s="12"/>
      <c r="B4304" s="12"/>
    </row>
    <row r="4305" spans="1:2" ht="13" x14ac:dyDescent="0.15">
      <c r="A4305" s="12"/>
      <c r="B4305" s="12"/>
    </row>
    <row r="4306" spans="1:2" ht="13" x14ac:dyDescent="0.15">
      <c r="A4306" s="12"/>
      <c r="B4306" s="12"/>
    </row>
    <row r="4307" spans="1:2" ht="13" x14ac:dyDescent="0.15">
      <c r="A4307" s="12"/>
      <c r="B4307" s="12"/>
    </row>
    <row r="4308" spans="1:2" ht="13" x14ac:dyDescent="0.15">
      <c r="A4308" s="12"/>
      <c r="B4308" s="12"/>
    </row>
    <row r="4309" spans="1:2" ht="13" x14ac:dyDescent="0.15">
      <c r="A4309" s="12"/>
      <c r="B4309" s="12"/>
    </row>
    <row r="4310" spans="1:2" ht="13" x14ac:dyDescent="0.15">
      <c r="A4310" s="12"/>
      <c r="B4310" s="12"/>
    </row>
    <row r="4311" spans="1:2" ht="13" x14ac:dyDescent="0.15">
      <c r="A4311" s="12"/>
      <c r="B4311" s="12"/>
    </row>
    <row r="4312" spans="1:2" ht="13" x14ac:dyDescent="0.15">
      <c r="A4312" s="12"/>
      <c r="B4312" s="12"/>
    </row>
    <row r="4313" spans="1:2" ht="13" x14ac:dyDescent="0.15">
      <c r="A4313" s="12"/>
      <c r="B4313" s="12"/>
    </row>
    <row r="4314" spans="1:2" ht="13" x14ac:dyDescent="0.15">
      <c r="A4314" s="12"/>
      <c r="B4314" s="12"/>
    </row>
    <row r="4315" spans="1:2" ht="13" x14ac:dyDescent="0.15">
      <c r="A4315" s="12"/>
      <c r="B4315" s="12"/>
    </row>
    <row r="4316" spans="1:2" ht="13" x14ac:dyDescent="0.15">
      <c r="A4316" s="12"/>
      <c r="B4316" s="12"/>
    </row>
    <row r="4317" spans="1:2" ht="13" x14ac:dyDescent="0.15">
      <c r="A4317" s="12"/>
      <c r="B4317" s="12"/>
    </row>
    <row r="4318" spans="1:2" ht="13" x14ac:dyDescent="0.15">
      <c r="A4318" s="12"/>
      <c r="B4318" s="12"/>
    </row>
    <row r="4319" spans="1:2" ht="13" x14ac:dyDescent="0.15">
      <c r="A4319" s="12"/>
      <c r="B4319" s="12"/>
    </row>
    <row r="4320" spans="1:2" ht="13" x14ac:dyDescent="0.15">
      <c r="A4320" s="12"/>
      <c r="B4320" s="12"/>
    </row>
    <row r="4321" spans="1:2" ht="13" x14ac:dyDescent="0.15">
      <c r="A4321" s="12"/>
      <c r="B4321" s="12"/>
    </row>
    <row r="4322" spans="1:2" ht="13" x14ac:dyDescent="0.15">
      <c r="A4322" s="12"/>
      <c r="B4322" s="12"/>
    </row>
    <row r="4323" spans="1:2" ht="13" x14ac:dyDescent="0.15">
      <c r="A4323" s="12"/>
      <c r="B4323" s="12"/>
    </row>
    <row r="4324" spans="1:2" ht="13" x14ac:dyDescent="0.15">
      <c r="A4324" s="12"/>
      <c r="B4324" s="12"/>
    </row>
    <row r="4325" spans="1:2" ht="13" x14ac:dyDescent="0.15">
      <c r="A4325" s="12"/>
      <c r="B4325" s="12"/>
    </row>
    <row r="4326" spans="1:2" ht="13" x14ac:dyDescent="0.15">
      <c r="A4326" s="12"/>
      <c r="B4326" s="12"/>
    </row>
    <row r="4327" spans="1:2" ht="13" x14ac:dyDescent="0.15">
      <c r="A4327" s="12"/>
      <c r="B4327" s="12"/>
    </row>
    <row r="4328" spans="1:2" ht="13" x14ac:dyDescent="0.15">
      <c r="A4328" s="12"/>
      <c r="B4328" s="12"/>
    </row>
    <row r="4329" spans="1:2" ht="13" x14ac:dyDescent="0.15">
      <c r="A4329" s="12"/>
      <c r="B4329" s="12"/>
    </row>
    <row r="4330" spans="1:2" ht="13" x14ac:dyDescent="0.15">
      <c r="A4330" s="12"/>
      <c r="B4330" s="12"/>
    </row>
    <row r="4331" spans="1:2" ht="13" x14ac:dyDescent="0.15">
      <c r="A4331" s="12"/>
      <c r="B4331" s="12"/>
    </row>
    <row r="4332" spans="1:2" ht="13" x14ac:dyDescent="0.15">
      <c r="A4332" s="12"/>
      <c r="B4332" s="12"/>
    </row>
    <row r="4333" spans="1:2" ht="13" x14ac:dyDescent="0.15">
      <c r="A4333" s="12"/>
      <c r="B4333" s="12"/>
    </row>
    <row r="4334" spans="1:2" ht="13" x14ac:dyDescent="0.15">
      <c r="A4334" s="12"/>
      <c r="B4334" s="12"/>
    </row>
    <row r="4335" spans="1:2" ht="13" x14ac:dyDescent="0.15">
      <c r="A4335" s="12"/>
      <c r="B4335" s="12"/>
    </row>
    <row r="4336" spans="1:2" ht="13" x14ac:dyDescent="0.15">
      <c r="A4336" s="12"/>
      <c r="B4336" s="12"/>
    </row>
    <row r="4337" spans="1:2" ht="13" x14ac:dyDescent="0.15">
      <c r="A4337" s="12"/>
      <c r="B4337" s="12"/>
    </row>
    <row r="4338" spans="1:2" ht="13" x14ac:dyDescent="0.15">
      <c r="A4338" s="12"/>
      <c r="B4338" s="12"/>
    </row>
    <row r="4339" spans="1:2" ht="13" x14ac:dyDescent="0.15">
      <c r="A4339" s="12"/>
      <c r="B4339" s="12"/>
    </row>
    <row r="4340" spans="1:2" ht="13" x14ac:dyDescent="0.15">
      <c r="A4340" s="12"/>
      <c r="B4340" s="12"/>
    </row>
    <row r="4341" spans="1:2" ht="13" x14ac:dyDescent="0.15">
      <c r="A4341" s="12"/>
      <c r="B4341" s="12"/>
    </row>
    <row r="4342" spans="1:2" ht="13" x14ac:dyDescent="0.15">
      <c r="A4342" s="12"/>
      <c r="B4342" s="12"/>
    </row>
    <row r="4343" spans="1:2" ht="13" x14ac:dyDescent="0.15">
      <c r="A4343" s="12"/>
      <c r="B4343" s="12"/>
    </row>
    <row r="4344" spans="1:2" ht="13" x14ac:dyDescent="0.15">
      <c r="A4344" s="12"/>
      <c r="B4344" s="12"/>
    </row>
    <row r="4345" spans="1:2" ht="13" x14ac:dyDescent="0.15">
      <c r="A4345" s="12"/>
      <c r="B4345" s="12"/>
    </row>
    <row r="4346" spans="1:2" ht="13" x14ac:dyDescent="0.15">
      <c r="A4346" s="12"/>
      <c r="B4346" s="12"/>
    </row>
    <row r="4347" spans="1:2" ht="13" x14ac:dyDescent="0.15">
      <c r="A4347" s="12"/>
      <c r="B4347" s="12"/>
    </row>
    <row r="4348" spans="1:2" ht="13" x14ac:dyDescent="0.15">
      <c r="A4348" s="12"/>
      <c r="B4348" s="12"/>
    </row>
    <row r="4349" spans="1:2" ht="13" x14ac:dyDescent="0.15">
      <c r="A4349" s="12"/>
      <c r="B4349" s="12"/>
    </row>
    <row r="4350" spans="1:2" ht="13" x14ac:dyDescent="0.15">
      <c r="A4350" s="12"/>
      <c r="B4350" s="12"/>
    </row>
    <row r="4351" spans="1:2" ht="13" x14ac:dyDescent="0.15">
      <c r="A4351" s="12"/>
      <c r="B4351" s="12"/>
    </row>
    <row r="4352" spans="1:2" ht="13" x14ac:dyDescent="0.15">
      <c r="A4352" s="12"/>
      <c r="B4352" s="12"/>
    </row>
    <row r="4353" spans="1:2" ht="13" x14ac:dyDescent="0.15">
      <c r="A4353" s="12"/>
      <c r="B4353" s="12"/>
    </row>
    <row r="4354" spans="1:2" ht="13" x14ac:dyDescent="0.15">
      <c r="A4354" s="12"/>
      <c r="B4354" s="12"/>
    </row>
    <row r="4355" spans="1:2" ht="13" x14ac:dyDescent="0.15">
      <c r="A4355" s="12"/>
      <c r="B4355" s="12"/>
    </row>
    <row r="4356" spans="1:2" ht="13" x14ac:dyDescent="0.15">
      <c r="A4356" s="12"/>
      <c r="B4356" s="12"/>
    </row>
    <row r="4357" spans="1:2" ht="13" x14ac:dyDescent="0.15">
      <c r="A4357" s="12"/>
      <c r="B4357" s="12"/>
    </row>
    <row r="4358" spans="1:2" ht="13" x14ac:dyDescent="0.15">
      <c r="A4358" s="12"/>
      <c r="B4358" s="12"/>
    </row>
    <row r="4359" spans="1:2" ht="13" x14ac:dyDescent="0.15">
      <c r="A4359" s="12"/>
      <c r="B4359" s="12"/>
    </row>
    <row r="4360" spans="1:2" ht="13" x14ac:dyDescent="0.15">
      <c r="A4360" s="12"/>
      <c r="B4360" s="12"/>
    </row>
    <row r="4361" spans="1:2" ht="13" x14ac:dyDescent="0.15">
      <c r="A4361" s="12"/>
      <c r="B4361" s="12"/>
    </row>
    <row r="4362" spans="1:2" ht="13" x14ac:dyDescent="0.15">
      <c r="A4362" s="12"/>
      <c r="B4362" s="12"/>
    </row>
    <row r="4363" spans="1:2" ht="13" x14ac:dyDescent="0.15">
      <c r="A4363" s="12"/>
      <c r="B4363" s="12"/>
    </row>
    <row r="4364" spans="1:2" ht="13" x14ac:dyDescent="0.15">
      <c r="A4364" s="12"/>
      <c r="B4364" s="12"/>
    </row>
    <row r="4365" spans="1:2" ht="13" x14ac:dyDescent="0.15">
      <c r="A4365" s="12"/>
      <c r="B4365" s="12"/>
    </row>
    <row r="4366" spans="1:2" ht="13" x14ac:dyDescent="0.15">
      <c r="A4366" s="12"/>
      <c r="B4366" s="12"/>
    </row>
    <row r="4367" spans="1:2" ht="13" x14ac:dyDescent="0.15">
      <c r="A4367" s="12"/>
      <c r="B4367" s="12"/>
    </row>
    <row r="4368" spans="1:2" ht="13" x14ac:dyDescent="0.15">
      <c r="A4368" s="12"/>
      <c r="B4368" s="12"/>
    </row>
    <row r="4369" spans="1:2" ht="13" x14ac:dyDescent="0.15">
      <c r="A4369" s="12"/>
      <c r="B4369" s="12"/>
    </row>
    <row r="4370" spans="1:2" ht="13" x14ac:dyDescent="0.15">
      <c r="A4370" s="12"/>
      <c r="B4370" s="12"/>
    </row>
    <row r="4371" spans="1:2" ht="13" x14ac:dyDescent="0.15">
      <c r="A4371" s="12"/>
      <c r="B4371" s="12"/>
    </row>
    <row r="4372" spans="1:2" ht="13" x14ac:dyDescent="0.15">
      <c r="A4372" s="12"/>
      <c r="B4372" s="12"/>
    </row>
    <row r="4373" spans="1:2" ht="13" x14ac:dyDescent="0.15">
      <c r="A4373" s="12"/>
      <c r="B4373" s="12"/>
    </row>
    <row r="4374" spans="1:2" ht="13" x14ac:dyDescent="0.15">
      <c r="A4374" s="12"/>
      <c r="B4374" s="12"/>
    </row>
    <row r="4375" spans="1:2" ht="13" x14ac:dyDescent="0.15">
      <c r="A4375" s="12"/>
      <c r="B4375" s="12"/>
    </row>
    <row r="4376" spans="1:2" ht="13" x14ac:dyDescent="0.15">
      <c r="A4376" s="12"/>
      <c r="B4376" s="12"/>
    </row>
    <row r="4377" spans="1:2" ht="13" x14ac:dyDescent="0.15">
      <c r="A4377" s="12"/>
      <c r="B4377" s="12"/>
    </row>
    <row r="4378" spans="1:2" ht="13" x14ac:dyDescent="0.15">
      <c r="A4378" s="12"/>
      <c r="B4378" s="12"/>
    </row>
    <row r="4379" spans="1:2" ht="13" x14ac:dyDescent="0.15">
      <c r="A4379" s="12"/>
      <c r="B4379" s="12"/>
    </row>
    <row r="4380" spans="1:2" ht="13" x14ac:dyDescent="0.15">
      <c r="A4380" s="12"/>
      <c r="B4380" s="12"/>
    </row>
    <row r="4381" spans="1:2" ht="13" x14ac:dyDescent="0.15">
      <c r="A4381" s="12"/>
      <c r="B4381" s="12"/>
    </row>
    <row r="4382" spans="1:2" ht="13" x14ac:dyDescent="0.15">
      <c r="A4382" s="12"/>
      <c r="B4382" s="12"/>
    </row>
    <row r="4383" spans="1:2" ht="13" x14ac:dyDescent="0.15">
      <c r="A4383" s="12"/>
      <c r="B4383" s="12"/>
    </row>
    <row r="4384" spans="1:2" ht="13" x14ac:dyDescent="0.15">
      <c r="A4384" s="12"/>
      <c r="B4384" s="12"/>
    </row>
    <row r="4385" spans="1:2" ht="13" x14ac:dyDescent="0.15">
      <c r="A4385" s="12"/>
      <c r="B4385" s="12"/>
    </row>
    <row r="4386" spans="1:2" ht="13" x14ac:dyDescent="0.15">
      <c r="A4386" s="12"/>
      <c r="B4386" s="12"/>
    </row>
    <row r="4387" spans="1:2" ht="13" x14ac:dyDescent="0.15">
      <c r="A4387" s="12"/>
      <c r="B4387" s="12"/>
    </row>
    <row r="4388" spans="1:2" ht="13" x14ac:dyDescent="0.15">
      <c r="A4388" s="12"/>
      <c r="B4388" s="12"/>
    </row>
    <row r="4389" spans="1:2" ht="13" x14ac:dyDescent="0.15">
      <c r="A4389" s="12"/>
      <c r="B4389" s="12"/>
    </row>
    <row r="4390" spans="1:2" ht="13" x14ac:dyDescent="0.15">
      <c r="A4390" s="12"/>
      <c r="B4390" s="12"/>
    </row>
    <row r="4391" spans="1:2" ht="13" x14ac:dyDescent="0.15">
      <c r="A4391" s="12"/>
      <c r="B4391" s="12"/>
    </row>
    <row r="4392" spans="1:2" ht="13" x14ac:dyDescent="0.15">
      <c r="A4392" s="12"/>
      <c r="B4392" s="12"/>
    </row>
    <row r="4393" spans="1:2" ht="13" x14ac:dyDescent="0.15">
      <c r="A4393" s="12"/>
      <c r="B4393" s="12"/>
    </row>
    <row r="4394" spans="1:2" ht="13" x14ac:dyDescent="0.15">
      <c r="A4394" s="12"/>
      <c r="B4394" s="12"/>
    </row>
    <row r="4395" spans="1:2" ht="13" x14ac:dyDescent="0.15">
      <c r="A4395" s="12"/>
      <c r="B4395" s="12"/>
    </row>
    <row r="4396" spans="1:2" ht="13" x14ac:dyDescent="0.15">
      <c r="A4396" s="12"/>
      <c r="B4396" s="12"/>
    </row>
    <row r="4397" spans="1:2" ht="13" x14ac:dyDescent="0.15">
      <c r="A4397" s="12"/>
      <c r="B4397" s="12"/>
    </row>
    <row r="4398" spans="1:2" ht="13" x14ac:dyDescent="0.15">
      <c r="A4398" s="12"/>
      <c r="B4398" s="12"/>
    </row>
    <row r="4399" spans="1:2" ht="13" x14ac:dyDescent="0.15">
      <c r="A4399" s="12"/>
      <c r="B4399" s="12"/>
    </row>
    <row r="4400" spans="1:2" ht="13" x14ac:dyDescent="0.15">
      <c r="A4400" s="12"/>
      <c r="B4400" s="12"/>
    </row>
    <row r="4401" spans="1:2" ht="13" x14ac:dyDescent="0.15">
      <c r="A4401" s="12"/>
      <c r="B4401" s="12"/>
    </row>
    <row r="4402" spans="1:2" ht="13" x14ac:dyDescent="0.15">
      <c r="A4402" s="12"/>
      <c r="B4402" s="12"/>
    </row>
    <row r="4403" spans="1:2" ht="13" x14ac:dyDescent="0.15">
      <c r="A4403" s="12"/>
      <c r="B4403" s="12"/>
    </row>
    <row r="4404" spans="1:2" ht="13" x14ac:dyDescent="0.15">
      <c r="A4404" s="12"/>
      <c r="B4404" s="12"/>
    </row>
    <row r="4405" spans="1:2" ht="13" x14ac:dyDescent="0.15">
      <c r="A4405" s="12"/>
      <c r="B4405" s="12"/>
    </row>
    <row r="4406" spans="1:2" ht="13" x14ac:dyDescent="0.15">
      <c r="A4406" s="12"/>
      <c r="B4406" s="12"/>
    </row>
    <row r="4407" spans="1:2" ht="13" x14ac:dyDescent="0.15">
      <c r="A4407" s="12"/>
      <c r="B4407" s="12"/>
    </row>
    <row r="4408" spans="1:2" ht="13" x14ac:dyDescent="0.15">
      <c r="A4408" s="12"/>
      <c r="B4408" s="12"/>
    </row>
    <row r="4409" spans="1:2" ht="13" x14ac:dyDescent="0.15">
      <c r="A4409" s="12"/>
      <c r="B4409" s="12"/>
    </row>
    <row r="4410" spans="1:2" ht="13" x14ac:dyDescent="0.15">
      <c r="A4410" s="12"/>
      <c r="B4410" s="12"/>
    </row>
    <row r="4411" spans="1:2" ht="13" x14ac:dyDescent="0.15">
      <c r="A4411" s="12"/>
      <c r="B4411" s="12"/>
    </row>
    <row r="4412" spans="1:2" ht="13" x14ac:dyDescent="0.15">
      <c r="A4412" s="12"/>
      <c r="B4412" s="12"/>
    </row>
    <row r="4413" spans="1:2" ht="13" x14ac:dyDescent="0.15">
      <c r="A4413" s="12"/>
      <c r="B4413" s="12"/>
    </row>
    <row r="4414" spans="1:2" ht="13" x14ac:dyDescent="0.15">
      <c r="A4414" s="12"/>
      <c r="B4414" s="12"/>
    </row>
    <row r="4415" spans="1:2" ht="13" x14ac:dyDescent="0.15">
      <c r="A4415" s="12"/>
      <c r="B4415" s="12"/>
    </row>
    <row r="4416" spans="1:2" ht="13" x14ac:dyDescent="0.15">
      <c r="A4416" s="12"/>
      <c r="B4416" s="12"/>
    </row>
    <row r="4417" spans="1:2" ht="13" x14ac:dyDescent="0.15">
      <c r="A4417" s="12"/>
      <c r="B4417" s="12"/>
    </row>
    <row r="4418" spans="1:2" ht="13" x14ac:dyDescent="0.15">
      <c r="A4418" s="12"/>
      <c r="B4418" s="12"/>
    </row>
    <row r="4419" spans="1:2" ht="13" x14ac:dyDescent="0.15">
      <c r="A4419" s="12"/>
      <c r="B4419" s="12"/>
    </row>
    <row r="4420" spans="1:2" ht="13" x14ac:dyDescent="0.15">
      <c r="A4420" s="12"/>
      <c r="B4420" s="12"/>
    </row>
    <row r="4421" spans="1:2" ht="13" x14ac:dyDescent="0.15">
      <c r="A4421" s="12"/>
      <c r="B4421" s="12"/>
    </row>
    <row r="4422" spans="1:2" ht="13" x14ac:dyDescent="0.15">
      <c r="A4422" s="12"/>
      <c r="B4422" s="12"/>
    </row>
    <row r="4423" spans="1:2" ht="13" x14ac:dyDescent="0.15">
      <c r="A4423" s="12"/>
      <c r="B4423" s="12"/>
    </row>
    <row r="4424" spans="1:2" ht="13" x14ac:dyDescent="0.15">
      <c r="A4424" s="12"/>
      <c r="B4424" s="12"/>
    </row>
    <row r="4425" spans="1:2" ht="13" x14ac:dyDescent="0.15">
      <c r="A4425" s="12"/>
      <c r="B4425" s="12"/>
    </row>
    <row r="4426" spans="1:2" ht="13" x14ac:dyDescent="0.15">
      <c r="A4426" s="12"/>
      <c r="B4426" s="12"/>
    </row>
    <row r="4427" spans="1:2" ht="13" x14ac:dyDescent="0.15">
      <c r="A4427" s="12"/>
      <c r="B4427" s="12"/>
    </row>
    <row r="4428" spans="1:2" ht="13" x14ac:dyDescent="0.15">
      <c r="A4428" s="12"/>
      <c r="B4428" s="12"/>
    </row>
    <row r="4429" spans="1:2" ht="13" x14ac:dyDescent="0.15">
      <c r="A4429" s="12"/>
      <c r="B4429" s="12"/>
    </row>
    <row r="4430" spans="1:2" ht="13" x14ac:dyDescent="0.15">
      <c r="A4430" s="12"/>
      <c r="B4430" s="12"/>
    </row>
    <row r="4431" spans="1:2" ht="13" x14ac:dyDescent="0.15">
      <c r="A4431" s="12"/>
      <c r="B4431" s="12"/>
    </row>
    <row r="4432" spans="1:2" ht="13" x14ac:dyDescent="0.15">
      <c r="A4432" s="12"/>
      <c r="B4432" s="12"/>
    </row>
    <row r="4433" spans="1:2" ht="13" x14ac:dyDescent="0.15">
      <c r="A4433" s="12"/>
      <c r="B4433" s="12"/>
    </row>
    <row r="4434" spans="1:2" ht="13" x14ac:dyDescent="0.15">
      <c r="A4434" s="12"/>
      <c r="B4434" s="12"/>
    </row>
    <row r="4435" spans="1:2" ht="13" x14ac:dyDescent="0.15">
      <c r="A4435" s="12"/>
      <c r="B4435" s="12"/>
    </row>
    <row r="4436" spans="1:2" ht="13" x14ac:dyDescent="0.15">
      <c r="A4436" s="12"/>
      <c r="B4436" s="12"/>
    </row>
    <row r="4437" spans="1:2" ht="13" x14ac:dyDescent="0.15">
      <c r="A4437" s="12"/>
      <c r="B4437" s="12"/>
    </row>
    <row r="4438" spans="1:2" ht="13" x14ac:dyDescent="0.15">
      <c r="A4438" s="12"/>
      <c r="B4438" s="12"/>
    </row>
    <row r="4439" spans="1:2" ht="13" x14ac:dyDescent="0.15">
      <c r="A4439" s="12"/>
      <c r="B4439" s="12"/>
    </row>
    <row r="4440" spans="1:2" ht="13" x14ac:dyDescent="0.15">
      <c r="A4440" s="12"/>
      <c r="B4440" s="12"/>
    </row>
    <row r="4441" spans="1:2" ht="13" x14ac:dyDescent="0.15">
      <c r="A4441" s="12"/>
      <c r="B4441" s="12"/>
    </row>
    <row r="4442" spans="1:2" ht="13" x14ac:dyDescent="0.15">
      <c r="A4442" s="12"/>
      <c r="B4442" s="12"/>
    </row>
    <row r="4443" spans="1:2" ht="13" x14ac:dyDescent="0.15">
      <c r="A4443" s="12"/>
      <c r="B4443" s="12"/>
    </row>
    <row r="4444" spans="1:2" ht="13" x14ac:dyDescent="0.15">
      <c r="A4444" s="12"/>
      <c r="B4444" s="12"/>
    </row>
    <row r="4445" spans="1:2" ht="13" x14ac:dyDescent="0.15">
      <c r="A4445" s="12"/>
      <c r="B4445" s="12"/>
    </row>
    <row r="4446" spans="1:2" ht="13" x14ac:dyDescent="0.15">
      <c r="A4446" s="12"/>
      <c r="B4446" s="12"/>
    </row>
    <row r="4447" spans="1:2" ht="13" x14ac:dyDescent="0.15">
      <c r="A4447" s="12"/>
      <c r="B4447" s="12"/>
    </row>
    <row r="4448" spans="1:2" ht="13" x14ac:dyDescent="0.15">
      <c r="A4448" s="12"/>
      <c r="B4448" s="12"/>
    </row>
    <row r="4449" spans="1:2" ht="13" x14ac:dyDescent="0.15">
      <c r="A4449" s="12"/>
      <c r="B4449" s="12"/>
    </row>
    <row r="4450" spans="1:2" ht="13" x14ac:dyDescent="0.15">
      <c r="A4450" s="12"/>
      <c r="B4450" s="12"/>
    </row>
    <row r="4451" spans="1:2" ht="13" x14ac:dyDescent="0.15">
      <c r="A4451" s="12"/>
      <c r="B4451" s="12"/>
    </row>
    <row r="4452" spans="1:2" ht="13" x14ac:dyDescent="0.15">
      <c r="A4452" s="12"/>
      <c r="B4452" s="12"/>
    </row>
    <row r="4453" spans="1:2" ht="13" x14ac:dyDescent="0.15">
      <c r="A4453" s="12"/>
      <c r="B4453" s="12"/>
    </row>
    <row r="4454" spans="1:2" ht="13" x14ac:dyDescent="0.15">
      <c r="A4454" s="12"/>
      <c r="B4454" s="12"/>
    </row>
    <row r="4455" spans="1:2" ht="13" x14ac:dyDescent="0.15">
      <c r="A4455" s="12"/>
      <c r="B4455" s="12"/>
    </row>
    <row r="4456" spans="1:2" ht="13" x14ac:dyDescent="0.15">
      <c r="A4456" s="12"/>
      <c r="B4456" s="12"/>
    </row>
    <row r="4457" spans="1:2" ht="13" x14ac:dyDescent="0.15">
      <c r="A4457" s="12"/>
      <c r="B4457" s="12"/>
    </row>
    <row r="4458" spans="1:2" ht="13" x14ac:dyDescent="0.15">
      <c r="A4458" s="12"/>
      <c r="B4458" s="12"/>
    </row>
    <row r="4459" spans="1:2" ht="13" x14ac:dyDescent="0.15">
      <c r="A4459" s="12"/>
      <c r="B4459" s="12"/>
    </row>
    <row r="4460" spans="1:2" ht="13" x14ac:dyDescent="0.15">
      <c r="A4460" s="12"/>
      <c r="B4460" s="12"/>
    </row>
    <row r="4461" spans="1:2" ht="13" x14ac:dyDescent="0.15">
      <c r="A4461" s="12"/>
      <c r="B4461" s="12"/>
    </row>
    <row r="4462" spans="1:2" ht="13" x14ac:dyDescent="0.15">
      <c r="A4462" s="12"/>
      <c r="B4462" s="12"/>
    </row>
    <row r="4463" spans="1:2" ht="13" x14ac:dyDescent="0.15">
      <c r="A4463" s="12"/>
      <c r="B4463" s="12"/>
    </row>
    <row r="4464" spans="1:2" ht="13" x14ac:dyDescent="0.15">
      <c r="A4464" s="12"/>
      <c r="B4464" s="12"/>
    </row>
    <row r="4465" spans="1:2" ht="13" x14ac:dyDescent="0.15">
      <c r="A4465" s="12"/>
      <c r="B4465" s="12"/>
    </row>
    <row r="4466" spans="1:2" ht="13" x14ac:dyDescent="0.15">
      <c r="A4466" s="12"/>
      <c r="B4466" s="12"/>
    </row>
    <row r="4467" spans="1:2" ht="13" x14ac:dyDescent="0.15">
      <c r="A4467" s="12"/>
      <c r="B4467" s="12"/>
    </row>
    <row r="4468" spans="1:2" ht="13" x14ac:dyDescent="0.15">
      <c r="A4468" s="12"/>
      <c r="B4468" s="12"/>
    </row>
    <row r="4469" spans="1:2" ht="13" x14ac:dyDescent="0.15">
      <c r="A4469" s="12"/>
      <c r="B4469" s="12"/>
    </row>
    <row r="4470" spans="1:2" ht="13" x14ac:dyDescent="0.15">
      <c r="A4470" s="12"/>
      <c r="B4470" s="12"/>
    </row>
    <row r="4471" spans="1:2" ht="13" x14ac:dyDescent="0.15">
      <c r="A4471" s="12"/>
      <c r="B4471" s="12"/>
    </row>
    <row r="4472" spans="1:2" ht="13" x14ac:dyDescent="0.15">
      <c r="A4472" s="12"/>
      <c r="B4472" s="12"/>
    </row>
    <row r="4473" spans="1:2" ht="13" x14ac:dyDescent="0.15">
      <c r="A4473" s="12"/>
      <c r="B4473" s="12"/>
    </row>
    <row r="4474" spans="1:2" ht="13" x14ac:dyDescent="0.15">
      <c r="A4474" s="12"/>
      <c r="B4474" s="12"/>
    </row>
    <row r="4475" spans="1:2" ht="13" x14ac:dyDescent="0.15">
      <c r="A4475" s="12"/>
      <c r="B4475" s="12"/>
    </row>
    <row r="4476" spans="1:2" ht="13" x14ac:dyDescent="0.15">
      <c r="A4476" s="12"/>
      <c r="B4476" s="12"/>
    </row>
    <row r="4477" spans="1:2" ht="13" x14ac:dyDescent="0.15">
      <c r="A4477" s="12"/>
      <c r="B4477" s="12"/>
    </row>
    <row r="4478" spans="1:2" ht="13" x14ac:dyDescent="0.15">
      <c r="A4478" s="12"/>
      <c r="B4478" s="12"/>
    </row>
    <row r="4479" spans="1:2" ht="13" x14ac:dyDescent="0.15">
      <c r="A4479" s="12"/>
      <c r="B4479" s="12"/>
    </row>
    <row r="4480" spans="1:2" ht="13" x14ac:dyDescent="0.15">
      <c r="A4480" s="12"/>
      <c r="B4480" s="12"/>
    </row>
    <row r="4481" spans="1:2" ht="13" x14ac:dyDescent="0.15">
      <c r="A4481" s="12"/>
      <c r="B4481" s="12"/>
    </row>
    <row r="4482" spans="1:2" ht="13" x14ac:dyDescent="0.15">
      <c r="A4482" s="12"/>
      <c r="B4482" s="12"/>
    </row>
    <row r="4483" spans="1:2" ht="13" x14ac:dyDescent="0.15">
      <c r="A4483" s="12"/>
      <c r="B4483" s="12"/>
    </row>
    <row r="4484" spans="1:2" ht="13" x14ac:dyDescent="0.15">
      <c r="A4484" s="12"/>
      <c r="B4484" s="12"/>
    </row>
    <row r="4485" spans="1:2" ht="13" x14ac:dyDescent="0.15">
      <c r="A4485" s="12"/>
      <c r="B4485" s="12"/>
    </row>
    <row r="4486" spans="1:2" ht="13" x14ac:dyDescent="0.15">
      <c r="A4486" s="12"/>
      <c r="B4486" s="12"/>
    </row>
    <row r="4487" spans="1:2" ht="13" x14ac:dyDescent="0.15">
      <c r="A4487" s="12"/>
      <c r="B4487" s="12"/>
    </row>
    <row r="4488" spans="1:2" ht="13" x14ac:dyDescent="0.15">
      <c r="A4488" s="12"/>
      <c r="B4488" s="12"/>
    </row>
    <row r="4489" spans="1:2" ht="13" x14ac:dyDescent="0.15">
      <c r="A4489" s="12"/>
      <c r="B4489" s="12"/>
    </row>
    <row r="4490" spans="1:2" ht="13" x14ac:dyDescent="0.15">
      <c r="A4490" s="12"/>
      <c r="B4490" s="12"/>
    </row>
    <row r="4491" spans="1:2" ht="13" x14ac:dyDescent="0.15">
      <c r="A4491" s="12"/>
      <c r="B4491" s="12"/>
    </row>
    <row r="4492" spans="1:2" ht="13" x14ac:dyDescent="0.15">
      <c r="A4492" s="12"/>
      <c r="B4492" s="12"/>
    </row>
    <row r="4493" spans="1:2" ht="13" x14ac:dyDescent="0.15">
      <c r="A4493" s="12"/>
      <c r="B4493" s="12"/>
    </row>
    <row r="4494" spans="1:2" ht="13" x14ac:dyDescent="0.15">
      <c r="A4494" s="12"/>
      <c r="B4494" s="12"/>
    </row>
    <row r="4495" spans="1:2" ht="13" x14ac:dyDescent="0.15">
      <c r="A4495" s="12"/>
      <c r="B4495" s="12"/>
    </row>
    <row r="4496" spans="1:2" ht="13" x14ac:dyDescent="0.15">
      <c r="A4496" s="12"/>
      <c r="B4496" s="12"/>
    </row>
    <row r="4497" spans="1:2" ht="13" x14ac:dyDescent="0.15">
      <c r="A4497" s="12"/>
      <c r="B4497" s="12"/>
    </row>
    <row r="4498" spans="1:2" ht="13" x14ac:dyDescent="0.15">
      <c r="A4498" s="12"/>
      <c r="B4498" s="12"/>
    </row>
    <row r="4499" spans="1:2" ht="13" x14ac:dyDescent="0.15">
      <c r="A4499" s="12"/>
      <c r="B4499" s="12"/>
    </row>
    <row r="4500" spans="1:2" ht="13" x14ac:dyDescent="0.15">
      <c r="A4500" s="12"/>
      <c r="B4500" s="12"/>
    </row>
    <row r="4501" spans="1:2" ht="13" x14ac:dyDescent="0.15">
      <c r="A4501" s="12"/>
      <c r="B4501" s="12"/>
    </row>
    <row r="4502" spans="1:2" ht="13" x14ac:dyDescent="0.15">
      <c r="A4502" s="12"/>
      <c r="B4502" s="12"/>
    </row>
    <row r="4503" spans="1:2" ht="13" x14ac:dyDescent="0.15">
      <c r="A4503" s="12"/>
      <c r="B4503" s="12"/>
    </row>
    <row r="4504" spans="1:2" ht="13" x14ac:dyDescent="0.15">
      <c r="A4504" s="12"/>
      <c r="B4504" s="12"/>
    </row>
    <row r="4505" spans="1:2" ht="13" x14ac:dyDescent="0.15">
      <c r="A4505" s="12"/>
      <c r="B4505" s="12"/>
    </row>
    <row r="4506" spans="1:2" ht="13" x14ac:dyDescent="0.15">
      <c r="A4506" s="12"/>
      <c r="B4506" s="12"/>
    </row>
    <row r="4507" spans="1:2" ht="13" x14ac:dyDescent="0.15">
      <c r="A4507" s="12"/>
      <c r="B4507" s="12"/>
    </row>
    <row r="4508" spans="1:2" ht="13" x14ac:dyDescent="0.15">
      <c r="A4508" s="12"/>
      <c r="B4508" s="12"/>
    </row>
    <row r="4509" spans="1:2" ht="13" x14ac:dyDescent="0.15">
      <c r="A4509" s="12"/>
      <c r="B4509" s="12"/>
    </row>
    <row r="4510" spans="1:2" ht="13" x14ac:dyDescent="0.15">
      <c r="A4510" s="12"/>
      <c r="B4510" s="12"/>
    </row>
    <row r="4511" spans="1:2" ht="13" x14ac:dyDescent="0.15">
      <c r="A4511" s="12"/>
      <c r="B4511" s="12"/>
    </row>
    <row r="4512" spans="1:2" ht="13" x14ac:dyDescent="0.15">
      <c r="A4512" s="12"/>
      <c r="B4512" s="12"/>
    </row>
    <row r="4513" spans="1:2" ht="13" x14ac:dyDescent="0.15">
      <c r="A4513" s="12"/>
      <c r="B4513" s="12"/>
    </row>
    <row r="4514" spans="1:2" ht="13" x14ac:dyDescent="0.15">
      <c r="A4514" s="12"/>
      <c r="B4514" s="12"/>
    </row>
    <row r="4515" spans="1:2" ht="13" x14ac:dyDescent="0.15">
      <c r="A4515" s="12"/>
      <c r="B4515" s="12"/>
    </row>
    <row r="4516" spans="1:2" ht="13" x14ac:dyDescent="0.15">
      <c r="A4516" s="12"/>
      <c r="B4516" s="12"/>
    </row>
    <row r="4517" spans="1:2" ht="13" x14ac:dyDescent="0.15">
      <c r="A4517" s="12"/>
      <c r="B4517" s="12"/>
    </row>
    <row r="4518" spans="1:2" ht="13" x14ac:dyDescent="0.15">
      <c r="A4518" s="12"/>
      <c r="B4518" s="12"/>
    </row>
    <row r="4519" spans="1:2" ht="13" x14ac:dyDescent="0.15">
      <c r="A4519" s="12"/>
      <c r="B4519" s="12"/>
    </row>
    <row r="4520" spans="1:2" ht="13" x14ac:dyDescent="0.15">
      <c r="A4520" s="12"/>
      <c r="B4520" s="12"/>
    </row>
    <row r="4521" spans="1:2" ht="13" x14ac:dyDescent="0.15">
      <c r="A4521" s="12"/>
      <c r="B4521" s="12"/>
    </row>
    <row r="4522" spans="1:2" ht="13" x14ac:dyDescent="0.15">
      <c r="A4522" s="12"/>
      <c r="B4522" s="12"/>
    </row>
    <row r="4523" spans="1:2" ht="13" x14ac:dyDescent="0.15">
      <c r="A4523" s="12"/>
      <c r="B4523" s="12"/>
    </row>
    <row r="4524" spans="1:2" ht="13" x14ac:dyDescent="0.15">
      <c r="A4524" s="12"/>
      <c r="B4524" s="12"/>
    </row>
    <row r="4525" spans="1:2" ht="13" x14ac:dyDescent="0.15">
      <c r="A4525" s="12"/>
      <c r="B4525" s="12"/>
    </row>
    <row r="4526" spans="1:2" ht="13" x14ac:dyDescent="0.15">
      <c r="A4526" s="12"/>
      <c r="B4526" s="12"/>
    </row>
    <row r="4527" spans="1:2" ht="13" x14ac:dyDescent="0.15">
      <c r="A4527" s="12"/>
      <c r="B4527" s="12"/>
    </row>
    <row r="4528" spans="1:2" ht="13" x14ac:dyDescent="0.15">
      <c r="A4528" s="12"/>
      <c r="B4528" s="12"/>
    </row>
    <row r="4529" spans="1:2" ht="13" x14ac:dyDescent="0.15">
      <c r="A4529" s="12"/>
      <c r="B4529" s="12"/>
    </row>
    <row r="4530" spans="1:2" ht="13" x14ac:dyDescent="0.15">
      <c r="A4530" s="12"/>
      <c r="B4530" s="12"/>
    </row>
    <row r="4531" spans="1:2" ht="13" x14ac:dyDescent="0.15">
      <c r="A4531" s="12"/>
      <c r="B4531" s="12"/>
    </row>
    <row r="4532" spans="1:2" ht="13" x14ac:dyDescent="0.15">
      <c r="A4532" s="12"/>
      <c r="B4532" s="12"/>
    </row>
    <row r="4533" spans="1:2" ht="13" x14ac:dyDescent="0.15">
      <c r="A4533" s="12"/>
      <c r="B4533" s="12"/>
    </row>
    <row r="4534" spans="1:2" ht="13" x14ac:dyDescent="0.15">
      <c r="A4534" s="12"/>
      <c r="B4534" s="12"/>
    </row>
    <row r="4535" spans="1:2" ht="13" x14ac:dyDescent="0.15">
      <c r="A4535" s="12"/>
      <c r="B4535" s="12"/>
    </row>
    <row r="4536" spans="1:2" ht="13" x14ac:dyDescent="0.15">
      <c r="A4536" s="12"/>
      <c r="B4536" s="12"/>
    </row>
    <row r="4537" spans="1:2" ht="13" x14ac:dyDescent="0.15">
      <c r="A4537" s="12"/>
      <c r="B4537" s="12"/>
    </row>
    <row r="4538" spans="1:2" ht="13" x14ac:dyDescent="0.15">
      <c r="A4538" s="12"/>
      <c r="B4538" s="12"/>
    </row>
    <row r="4539" spans="1:2" ht="13" x14ac:dyDescent="0.15">
      <c r="A4539" s="12"/>
      <c r="B4539" s="12"/>
    </row>
    <row r="4540" spans="1:2" ht="13" x14ac:dyDescent="0.15">
      <c r="A4540" s="12"/>
      <c r="B4540" s="12"/>
    </row>
    <row r="4541" spans="1:2" ht="13" x14ac:dyDescent="0.15">
      <c r="A4541" s="12"/>
      <c r="B4541" s="12"/>
    </row>
    <row r="4542" spans="1:2" ht="13" x14ac:dyDescent="0.15">
      <c r="A4542" s="12"/>
      <c r="B4542" s="12"/>
    </row>
    <row r="4543" spans="1:2" ht="13" x14ac:dyDescent="0.15">
      <c r="A4543" s="12"/>
      <c r="B4543" s="12"/>
    </row>
    <row r="4544" spans="1:2" ht="13" x14ac:dyDescent="0.15">
      <c r="A4544" s="12"/>
      <c r="B4544" s="12"/>
    </row>
    <row r="4545" spans="1:2" ht="13" x14ac:dyDescent="0.15">
      <c r="A4545" s="12"/>
      <c r="B4545" s="12"/>
    </row>
    <row r="4546" spans="1:2" ht="13" x14ac:dyDescent="0.15">
      <c r="A4546" s="12"/>
      <c r="B4546" s="12"/>
    </row>
    <row r="4547" spans="1:2" ht="13" x14ac:dyDescent="0.15">
      <c r="A4547" s="12"/>
      <c r="B4547" s="12"/>
    </row>
    <row r="4548" spans="1:2" ht="13" x14ac:dyDescent="0.15">
      <c r="A4548" s="12"/>
      <c r="B4548" s="12"/>
    </row>
    <row r="4549" spans="1:2" ht="13" x14ac:dyDescent="0.15">
      <c r="A4549" s="12"/>
      <c r="B4549" s="12"/>
    </row>
    <row r="4550" spans="1:2" ht="13" x14ac:dyDescent="0.15">
      <c r="A4550" s="12"/>
      <c r="B4550" s="12"/>
    </row>
    <row r="4551" spans="1:2" ht="13" x14ac:dyDescent="0.15">
      <c r="A4551" s="12"/>
      <c r="B4551" s="12"/>
    </row>
    <row r="4552" spans="1:2" ht="13" x14ac:dyDescent="0.15">
      <c r="A4552" s="12"/>
      <c r="B4552" s="12"/>
    </row>
    <row r="4553" spans="1:2" ht="13" x14ac:dyDescent="0.15">
      <c r="A4553" s="12"/>
      <c r="B4553" s="12"/>
    </row>
    <row r="4554" spans="1:2" ht="13" x14ac:dyDescent="0.15">
      <c r="A4554" s="12"/>
      <c r="B4554" s="12"/>
    </row>
    <row r="4555" spans="1:2" ht="13" x14ac:dyDescent="0.15">
      <c r="A4555" s="12"/>
      <c r="B4555" s="12"/>
    </row>
    <row r="4556" spans="1:2" ht="13" x14ac:dyDescent="0.15">
      <c r="A4556" s="12"/>
      <c r="B4556" s="12"/>
    </row>
    <row r="4557" spans="1:2" ht="13" x14ac:dyDescent="0.15">
      <c r="A4557" s="12"/>
      <c r="B4557" s="12"/>
    </row>
    <row r="4558" spans="1:2" ht="13" x14ac:dyDescent="0.15">
      <c r="A4558" s="12"/>
      <c r="B4558" s="12"/>
    </row>
    <row r="4559" spans="1:2" ht="13" x14ac:dyDescent="0.15">
      <c r="A4559" s="12"/>
      <c r="B4559" s="12"/>
    </row>
    <row r="4560" spans="1:2" ht="13" x14ac:dyDescent="0.15">
      <c r="A4560" s="12"/>
      <c r="B4560" s="12"/>
    </row>
    <row r="4561" spans="1:2" ht="13" x14ac:dyDescent="0.15">
      <c r="A4561" s="12"/>
      <c r="B4561" s="12"/>
    </row>
    <row r="4562" spans="1:2" ht="13" x14ac:dyDescent="0.15">
      <c r="A4562" s="12"/>
      <c r="B4562" s="12"/>
    </row>
    <row r="4563" spans="1:2" ht="13" x14ac:dyDescent="0.15">
      <c r="A4563" s="12"/>
      <c r="B4563" s="12"/>
    </row>
    <row r="4564" spans="1:2" ht="13" x14ac:dyDescent="0.15">
      <c r="A4564" s="12"/>
      <c r="B4564" s="12"/>
    </row>
    <row r="4565" spans="1:2" ht="13" x14ac:dyDescent="0.15">
      <c r="A4565" s="12"/>
      <c r="B4565" s="12"/>
    </row>
    <row r="4566" spans="1:2" ht="13" x14ac:dyDescent="0.15">
      <c r="A4566" s="12"/>
      <c r="B4566" s="12"/>
    </row>
    <row r="4567" spans="1:2" ht="13" x14ac:dyDescent="0.15">
      <c r="A4567" s="12"/>
      <c r="B4567" s="12"/>
    </row>
    <row r="4568" spans="1:2" ht="13" x14ac:dyDescent="0.15">
      <c r="A4568" s="12"/>
      <c r="B4568" s="12"/>
    </row>
    <row r="4569" spans="1:2" ht="13" x14ac:dyDescent="0.15">
      <c r="A4569" s="12"/>
      <c r="B4569" s="12"/>
    </row>
    <row r="4570" spans="1:2" ht="13" x14ac:dyDescent="0.15">
      <c r="A4570" s="12"/>
      <c r="B4570" s="12"/>
    </row>
    <row r="4571" spans="1:2" ht="13" x14ac:dyDescent="0.15">
      <c r="A4571" s="12"/>
      <c r="B4571" s="12"/>
    </row>
    <row r="4572" spans="1:2" ht="13" x14ac:dyDescent="0.15">
      <c r="A4572" s="12"/>
      <c r="B4572" s="12"/>
    </row>
    <row r="4573" spans="1:2" ht="13" x14ac:dyDescent="0.15">
      <c r="A4573" s="12"/>
      <c r="B4573" s="12"/>
    </row>
    <row r="4574" spans="1:2" ht="13" x14ac:dyDescent="0.15">
      <c r="A4574" s="12"/>
      <c r="B4574" s="12"/>
    </row>
    <row r="4575" spans="1:2" ht="13" x14ac:dyDescent="0.15">
      <c r="A4575" s="12"/>
      <c r="B4575" s="12"/>
    </row>
    <row r="4576" spans="1:2" ht="13" x14ac:dyDescent="0.15">
      <c r="A4576" s="12"/>
      <c r="B4576" s="12"/>
    </row>
    <row r="4577" spans="1:2" ht="13" x14ac:dyDescent="0.15">
      <c r="A4577" s="12"/>
      <c r="B4577" s="12"/>
    </row>
    <row r="4578" spans="1:2" ht="13" x14ac:dyDescent="0.15">
      <c r="A4578" s="12"/>
      <c r="B4578" s="12"/>
    </row>
    <row r="4579" spans="1:2" ht="13" x14ac:dyDescent="0.15">
      <c r="A4579" s="12"/>
      <c r="B4579" s="12"/>
    </row>
    <row r="4580" spans="1:2" ht="13" x14ac:dyDescent="0.15">
      <c r="A4580" s="12"/>
      <c r="B4580" s="12"/>
    </row>
    <row r="4581" spans="1:2" ht="13" x14ac:dyDescent="0.15">
      <c r="A4581" s="12"/>
      <c r="B4581" s="12"/>
    </row>
    <row r="4582" spans="1:2" ht="13" x14ac:dyDescent="0.15">
      <c r="A4582" s="12"/>
      <c r="B4582" s="12"/>
    </row>
    <row r="4583" spans="1:2" ht="13" x14ac:dyDescent="0.15">
      <c r="A4583" s="12"/>
      <c r="B4583" s="12"/>
    </row>
    <row r="4584" spans="1:2" ht="13" x14ac:dyDescent="0.15">
      <c r="A4584" s="12"/>
      <c r="B4584" s="12"/>
    </row>
    <row r="4585" spans="1:2" ht="13" x14ac:dyDescent="0.15">
      <c r="A4585" s="12"/>
      <c r="B4585" s="12"/>
    </row>
    <row r="4586" spans="1:2" ht="13" x14ac:dyDescent="0.15">
      <c r="A4586" s="12"/>
      <c r="B4586" s="12"/>
    </row>
    <row r="4587" spans="1:2" ht="13" x14ac:dyDescent="0.15">
      <c r="A4587" s="12"/>
      <c r="B4587" s="12"/>
    </row>
    <row r="4588" spans="1:2" ht="13" x14ac:dyDescent="0.15">
      <c r="A4588" s="12"/>
      <c r="B4588" s="12"/>
    </row>
    <row r="4589" spans="1:2" ht="13" x14ac:dyDescent="0.15">
      <c r="A4589" s="12"/>
      <c r="B4589" s="12"/>
    </row>
    <row r="4590" spans="1:2" ht="13" x14ac:dyDescent="0.15">
      <c r="A4590" s="12"/>
      <c r="B4590" s="12"/>
    </row>
    <row r="4591" spans="1:2" ht="13" x14ac:dyDescent="0.15">
      <c r="A4591" s="12"/>
      <c r="B4591" s="12"/>
    </row>
    <row r="4592" spans="1:2" ht="13" x14ac:dyDescent="0.15">
      <c r="A4592" s="12"/>
      <c r="B4592" s="12"/>
    </row>
    <row r="4593" spans="1:2" ht="13" x14ac:dyDescent="0.15">
      <c r="A4593" s="12"/>
      <c r="B4593" s="12"/>
    </row>
    <row r="4594" spans="1:2" ht="13" x14ac:dyDescent="0.15">
      <c r="A4594" s="12"/>
      <c r="B4594" s="12"/>
    </row>
    <row r="4595" spans="1:2" ht="13" x14ac:dyDescent="0.15">
      <c r="A4595" s="12"/>
      <c r="B4595" s="12"/>
    </row>
    <row r="4596" spans="1:2" ht="13" x14ac:dyDescent="0.15">
      <c r="A4596" s="12"/>
      <c r="B4596" s="12"/>
    </row>
    <row r="4597" spans="1:2" ht="13" x14ac:dyDescent="0.15">
      <c r="A4597" s="12"/>
      <c r="B4597" s="12"/>
    </row>
    <row r="4598" spans="1:2" ht="13" x14ac:dyDescent="0.15">
      <c r="A4598" s="12"/>
      <c r="B4598" s="12"/>
    </row>
    <row r="4599" spans="1:2" ht="13" x14ac:dyDescent="0.15">
      <c r="A4599" s="12"/>
      <c r="B4599" s="12"/>
    </row>
    <row r="4600" spans="1:2" ht="13" x14ac:dyDescent="0.15">
      <c r="A4600" s="12"/>
      <c r="B4600" s="12"/>
    </row>
    <row r="4601" spans="1:2" ht="13" x14ac:dyDescent="0.15">
      <c r="A4601" s="12"/>
      <c r="B4601" s="12"/>
    </row>
    <row r="4602" spans="1:2" ht="13" x14ac:dyDescent="0.15">
      <c r="A4602" s="12"/>
      <c r="B4602" s="12"/>
    </row>
    <row r="4603" spans="1:2" ht="13" x14ac:dyDescent="0.15">
      <c r="A4603" s="12"/>
      <c r="B4603" s="12"/>
    </row>
    <row r="4604" spans="1:2" ht="13" x14ac:dyDescent="0.15">
      <c r="A4604" s="12"/>
      <c r="B4604" s="12"/>
    </row>
    <row r="4605" spans="1:2" ht="13" x14ac:dyDescent="0.15">
      <c r="A4605" s="12"/>
      <c r="B4605" s="12"/>
    </row>
    <row r="4606" spans="1:2" ht="13" x14ac:dyDescent="0.15">
      <c r="A4606" s="12"/>
      <c r="B4606" s="12"/>
    </row>
    <row r="4607" spans="1:2" ht="13" x14ac:dyDescent="0.15">
      <c r="A4607" s="12"/>
      <c r="B4607" s="12"/>
    </row>
    <row r="4608" spans="1:2" ht="13" x14ac:dyDescent="0.15">
      <c r="A4608" s="12"/>
      <c r="B4608" s="12"/>
    </row>
    <row r="4609" spans="1:2" ht="13" x14ac:dyDescent="0.15">
      <c r="A4609" s="12"/>
      <c r="B4609" s="12"/>
    </row>
    <row r="4610" spans="1:2" ht="13" x14ac:dyDescent="0.15">
      <c r="A4610" s="12"/>
      <c r="B4610" s="12"/>
    </row>
    <row r="4611" spans="1:2" ht="13" x14ac:dyDescent="0.15">
      <c r="A4611" s="12"/>
      <c r="B4611" s="12"/>
    </row>
    <row r="4612" spans="1:2" ht="13" x14ac:dyDescent="0.15">
      <c r="A4612" s="12"/>
      <c r="B4612" s="12"/>
    </row>
    <row r="4613" spans="1:2" ht="13" x14ac:dyDescent="0.15">
      <c r="A4613" s="12"/>
      <c r="B4613" s="12"/>
    </row>
    <row r="4614" spans="1:2" ht="13" x14ac:dyDescent="0.15">
      <c r="A4614" s="12"/>
      <c r="B4614" s="12"/>
    </row>
    <row r="4615" spans="1:2" ht="13" x14ac:dyDescent="0.15">
      <c r="A4615" s="12"/>
      <c r="B4615" s="12"/>
    </row>
    <row r="4616" spans="1:2" ht="13" x14ac:dyDescent="0.15">
      <c r="A4616" s="12"/>
      <c r="B4616" s="12"/>
    </row>
    <row r="4617" spans="1:2" ht="13" x14ac:dyDescent="0.15">
      <c r="A4617" s="12"/>
      <c r="B4617" s="12"/>
    </row>
    <row r="4618" spans="1:2" ht="13" x14ac:dyDescent="0.15">
      <c r="A4618" s="12"/>
      <c r="B4618" s="12"/>
    </row>
    <row r="4619" spans="1:2" ht="13" x14ac:dyDescent="0.15">
      <c r="A4619" s="12"/>
      <c r="B4619" s="12"/>
    </row>
    <row r="4620" spans="1:2" ht="13" x14ac:dyDescent="0.15">
      <c r="A4620" s="12"/>
      <c r="B4620" s="12"/>
    </row>
    <row r="4621" spans="1:2" ht="13" x14ac:dyDescent="0.15">
      <c r="A4621" s="12"/>
      <c r="B4621" s="12"/>
    </row>
    <row r="4622" spans="1:2" ht="13" x14ac:dyDescent="0.15">
      <c r="A4622" s="12"/>
      <c r="B4622" s="12"/>
    </row>
    <row r="4623" spans="1:2" ht="13" x14ac:dyDescent="0.15">
      <c r="A4623" s="12"/>
      <c r="B4623" s="12"/>
    </row>
    <row r="4624" spans="1:2" ht="13" x14ac:dyDescent="0.15">
      <c r="A4624" s="12"/>
      <c r="B4624" s="12"/>
    </row>
    <row r="4625" spans="1:2" ht="13" x14ac:dyDescent="0.15">
      <c r="A4625" s="12"/>
      <c r="B4625" s="12"/>
    </row>
    <row r="4626" spans="1:2" ht="13" x14ac:dyDescent="0.15">
      <c r="A4626" s="12"/>
      <c r="B4626" s="12"/>
    </row>
    <row r="4627" spans="1:2" ht="13" x14ac:dyDescent="0.15">
      <c r="A4627" s="12"/>
      <c r="B4627" s="12"/>
    </row>
    <row r="4628" spans="1:2" ht="13" x14ac:dyDescent="0.15">
      <c r="A4628" s="12"/>
      <c r="B4628" s="12"/>
    </row>
    <row r="4629" spans="1:2" ht="13" x14ac:dyDescent="0.15">
      <c r="A4629" s="12"/>
      <c r="B4629" s="12"/>
    </row>
    <row r="4630" spans="1:2" ht="13" x14ac:dyDescent="0.15">
      <c r="A4630" s="12"/>
      <c r="B4630" s="12"/>
    </row>
    <row r="4631" spans="1:2" ht="13" x14ac:dyDescent="0.15">
      <c r="A4631" s="12"/>
      <c r="B4631" s="12"/>
    </row>
    <row r="4632" spans="1:2" ht="13" x14ac:dyDescent="0.15">
      <c r="A4632" s="12"/>
      <c r="B4632" s="12"/>
    </row>
    <row r="4633" spans="1:2" ht="13" x14ac:dyDescent="0.15">
      <c r="A4633" s="12"/>
      <c r="B4633" s="12"/>
    </row>
    <row r="4634" spans="1:2" ht="13" x14ac:dyDescent="0.15">
      <c r="A4634" s="12"/>
      <c r="B4634" s="12"/>
    </row>
    <row r="4635" spans="1:2" ht="13" x14ac:dyDescent="0.15">
      <c r="A4635" s="12"/>
      <c r="B4635" s="12"/>
    </row>
    <row r="4636" spans="1:2" ht="13" x14ac:dyDescent="0.15">
      <c r="A4636" s="12"/>
      <c r="B4636" s="12"/>
    </row>
    <row r="4637" spans="1:2" ht="13" x14ac:dyDescent="0.15">
      <c r="A4637" s="12"/>
      <c r="B4637" s="12"/>
    </row>
    <row r="4638" spans="1:2" ht="13" x14ac:dyDescent="0.15">
      <c r="A4638" s="12"/>
      <c r="B4638" s="12"/>
    </row>
    <row r="4639" spans="1:2" ht="13" x14ac:dyDescent="0.15">
      <c r="A4639" s="12"/>
      <c r="B4639" s="12"/>
    </row>
    <row r="4640" spans="1:2" ht="13" x14ac:dyDescent="0.15">
      <c r="A4640" s="12"/>
      <c r="B4640" s="12"/>
    </row>
    <row r="4641" spans="1:2" ht="13" x14ac:dyDescent="0.15">
      <c r="A4641" s="12"/>
      <c r="B4641" s="12"/>
    </row>
    <row r="4642" spans="1:2" ht="13" x14ac:dyDescent="0.15">
      <c r="A4642" s="12"/>
      <c r="B4642" s="12"/>
    </row>
    <row r="4643" spans="1:2" ht="13" x14ac:dyDescent="0.15">
      <c r="A4643" s="12"/>
      <c r="B4643" s="12"/>
    </row>
    <row r="4644" spans="1:2" ht="13" x14ac:dyDescent="0.15">
      <c r="A4644" s="12"/>
      <c r="B4644" s="12"/>
    </row>
    <row r="4645" spans="1:2" ht="13" x14ac:dyDescent="0.15">
      <c r="A4645" s="12"/>
      <c r="B4645" s="12"/>
    </row>
    <row r="4646" spans="1:2" ht="13" x14ac:dyDescent="0.15">
      <c r="A4646" s="12"/>
      <c r="B4646" s="12"/>
    </row>
    <row r="4647" spans="1:2" ht="13" x14ac:dyDescent="0.15">
      <c r="A4647" s="12"/>
      <c r="B4647" s="12"/>
    </row>
    <row r="4648" spans="1:2" ht="13" x14ac:dyDescent="0.15">
      <c r="A4648" s="12"/>
      <c r="B4648" s="12"/>
    </row>
    <row r="4649" spans="1:2" ht="13" x14ac:dyDescent="0.15">
      <c r="A4649" s="12"/>
      <c r="B4649" s="12"/>
    </row>
    <row r="4650" spans="1:2" ht="13" x14ac:dyDescent="0.15">
      <c r="A4650" s="12"/>
      <c r="B4650" s="12"/>
    </row>
    <row r="4651" spans="1:2" ht="13" x14ac:dyDescent="0.15">
      <c r="A4651" s="12"/>
      <c r="B4651" s="12"/>
    </row>
    <row r="4652" spans="1:2" ht="13" x14ac:dyDescent="0.15">
      <c r="A4652" s="12"/>
      <c r="B4652" s="12"/>
    </row>
    <row r="4653" spans="1:2" ht="13" x14ac:dyDescent="0.15">
      <c r="A4653" s="12"/>
      <c r="B4653" s="12"/>
    </row>
    <row r="4654" spans="1:2" ht="13" x14ac:dyDescent="0.15">
      <c r="A4654" s="12"/>
      <c r="B4654" s="12"/>
    </row>
    <row r="4655" spans="1:2" ht="13" x14ac:dyDescent="0.15">
      <c r="A4655" s="12"/>
      <c r="B4655" s="12"/>
    </row>
    <row r="4656" spans="1:2" ht="13" x14ac:dyDescent="0.15">
      <c r="A4656" s="12"/>
      <c r="B4656" s="12"/>
    </row>
    <row r="4657" spans="1:2" ht="13" x14ac:dyDescent="0.15">
      <c r="A4657" s="12"/>
      <c r="B4657" s="12"/>
    </row>
    <row r="4658" spans="1:2" ht="13" x14ac:dyDescent="0.15">
      <c r="A4658" s="12"/>
      <c r="B4658" s="12"/>
    </row>
    <row r="4659" spans="1:2" ht="13" x14ac:dyDescent="0.15">
      <c r="A4659" s="12"/>
      <c r="B4659" s="12"/>
    </row>
    <row r="4660" spans="1:2" ht="13" x14ac:dyDescent="0.15">
      <c r="A4660" s="12"/>
      <c r="B4660" s="12"/>
    </row>
    <row r="4661" spans="1:2" ht="13" x14ac:dyDescent="0.15">
      <c r="A4661" s="12"/>
      <c r="B4661" s="12"/>
    </row>
    <row r="4662" spans="1:2" ht="13" x14ac:dyDescent="0.15">
      <c r="A4662" s="12"/>
      <c r="B4662" s="12"/>
    </row>
    <row r="4663" spans="1:2" ht="13" x14ac:dyDescent="0.15">
      <c r="A4663" s="12"/>
      <c r="B4663" s="12"/>
    </row>
    <row r="4664" spans="1:2" ht="13" x14ac:dyDescent="0.15">
      <c r="A4664" s="12"/>
      <c r="B4664" s="12"/>
    </row>
    <row r="4665" spans="1:2" ht="13" x14ac:dyDescent="0.15">
      <c r="A4665" s="12"/>
      <c r="B4665" s="12"/>
    </row>
    <row r="4666" spans="1:2" ht="13" x14ac:dyDescent="0.15">
      <c r="A4666" s="12"/>
      <c r="B4666" s="12"/>
    </row>
    <row r="4667" spans="1:2" ht="13" x14ac:dyDescent="0.15">
      <c r="A4667" s="12"/>
      <c r="B4667" s="12"/>
    </row>
    <row r="4668" spans="1:2" ht="13" x14ac:dyDescent="0.15">
      <c r="A4668" s="12"/>
      <c r="B4668" s="12"/>
    </row>
    <row r="4669" spans="1:2" ht="13" x14ac:dyDescent="0.15">
      <c r="A4669" s="12"/>
      <c r="B4669" s="12"/>
    </row>
    <row r="4670" spans="1:2" ht="13" x14ac:dyDescent="0.15">
      <c r="A4670" s="12"/>
      <c r="B4670" s="12"/>
    </row>
    <row r="4671" spans="1:2" ht="13" x14ac:dyDescent="0.15">
      <c r="A4671" s="12"/>
      <c r="B4671" s="12"/>
    </row>
    <row r="4672" spans="1:2" ht="13" x14ac:dyDescent="0.15">
      <c r="A4672" s="12"/>
      <c r="B4672" s="12"/>
    </row>
    <row r="4673" spans="1:2" ht="13" x14ac:dyDescent="0.15">
      <c r="A4673" s="12"/>
      <c r="B4673" s="12"/>
    </row>
    <row r="4674" spans="1:2" ht="13" x14ac:dyDescent="0.15">
      <c r="A4674" s="12"/>
      <c r="B4674" s="12"/>
    </row>
    <row r="4675" spans="1:2" ht="13" x14ac:dyDescent="0.15">
      <c r="A4675" s="12"/>
      <c r="B4675" s="12"/>
    </row>
    <row r="4676" spans="1:2" ht="13" x14ac:dyDescent="0.15">
      <c r="A4676" s="12"/>
      <c r="B4676" s="12"/>
    </row>
    <row r="4677" spans="1:2" ht="13" x14ac:dyDescent="0.15">
      <c r="A4677" s="12"/>
      <c r="B4677" s="12"/>
    </row>
    <row r="4678" spans="1:2" ht="13" x14ac:dyDescent="0.15">
      <c r="A4678" s="12"/>
      <c r="B4678" s="12"/>
    </row>
    <row r="4679" spans="1:2" ht="13" x14ac:dyDescent="0.15">
      <c r="A4679" s="12"/>
      <c r="B4679" s="12"/>
    </row>
    <row r="4680" spans="1:2" ht="13" x14ac:dyDescent="0.15">
      <c r="A4680" s="12"/>
      <c r="B4680" s="12"/>
    </row>
    <row r="4681" spans="1:2" ht="13" x14ac:dyDescent="0.15">
      <c r="A4681" s="12"/>
      <c r="B4681" s="12"/>
    </row>
    <row r="4682" spans="1:2" ht="13" x14ac:dyDescent="0.15">
      <c r="A4682" s="12"/>
      <c r="B4682" s="12"/>
    </row>
    <row r="4683" spans="1:2" ht="13" x14ac:dyDescent="0.15">
      <c r="A4683" s="12"/>
      <c r="B4683" s="12"/>
    </row>
    <row r="4684" spans="1:2" ht="13" x14ac:dyDescent="0.15">
      <c r="A4684" s="12"/>
      <c r="B4684" s="12"/>
    </row>
    <row r="4685" spans="1:2" ht="13" x14ac:dyDescent="0.15">
      <c r="A4685" s="12"/>
      <c r="B4685" s="12"/>
    </row>
    <row r="4686" spans="1:2" ht="13" x14ac:dyDescent="0.15">
      <c r="A4686" s="12"/>
      <c r="B4686" s="12"/>
    </row>
    <row r="4687" spans="1:2" ht="13" x14ac:dyDescent="0.15">
      <c r="A4687" s="12"/>
      <c r="B4687" s="12"/>
    </row>
    <row r="4688" spans="1:2" ht="13" x14ac:dyDescent="0.15">
      <c r="A4688" s="12"/>
      <c r="B4688" s="12"/>
    </row>
    <row r="4689" spans="1:2" ht="13" x14ac:dyDescent="0.15">
      <c r="A4689" s="12"/>
      <c r="B4689" s="12"/>
    </row>
    <row r="4690" spans="1:2" ht="13" x14ac:dyDescent="0.15">
      <c r="A4690" s="12"/>
      <c r="B4690" s="12"/>
    </row>
    <row r="4691" spans="1:2" ht="13" x14ac:dyDescent="0.15">
      <c r="A4691" s="12"/>
      <c r="B4691" s="12"/>
    </row>
    <row r="4692" spans="1:2" ht="13" x14ac:dyDescent="0.15">
      <c r="A4692" s="12"/>
      <c r="B4692" s="12"/>
    </row>
    <row r="4693" spans="1:2" ht="13" x14ac:dyDescent="0.15">
      <c r="A4693" s="12"/>
      <c r="B4693" s="12"/>
    </row>
    <row r="4694" spans="1:2" ht="13" x14ac:dyDescent="0.15">
      <c r="A4694" s="12"/>
      <c r="B4694" s="12"/>
    </row>
    <row r="4695" spans="1:2" ht="13" x14ac:dyDescent="0.15">
      <c r="A4695" s="12"/>
      <c r="B4695" s="12"/>
    </row>
    <row r="4696" spans="1:2" ht="13" x14ac:dyDescent="0.15">
      <c r="A4696" s="12"/>
      <c r="B4696" s="12"/>
    </row>
    <row r="4697" spans="1:2" ht="13" x14ac:dyDescent="0.15">
      <c r="A4697" s="12"/>
      <c r="B4697" s="12"/>
    </row>
    <row r="4698" spans="1:2" ht="13" x14ac:dyDescent="0.15">
      <c r="A4698" s="12"/>
      <c r="B4698" s="12"/>
    </row>
    <row r="4699" spans="1:2" ht="13" x14ac:dyDescent="0.15">
      <c r="A4699" s="12"/>
      <c r="B4699" s="12"/>
    </row>
    <row r="4700" spans="1:2" ht="13" x14ac:dyDescent="0.15">
      <c r="A4700" s="12"/>
      <c r="B4700" s="12"/>
    </row>
    <row r="4701" spans="1:2" ht="13" x14ac:dyDescent="0.15">
      <c r="A4701" s="12"/>
      <c r="B4701" s="12"/>
    </row>
    <row r="4702" spans="1:2" ht="13" x14ac:dyDescent="0.15">
      <c r="A4702" s="12"/>
      <c r="B4702" s="12"/>
    </row>
    <row r="4703" spans="1:2" ht="13" x14ac:dyDescent="0.15">
      <c r="A4703" s="12"/>
      <c r="B4703" s="12"/>
    </row>
    <row r="4704" spans="1:2" ht="13" x14ac:dyDescent="0.15">
      <c r="A4704" s="12"/>
      <c r="B4704" s="12"/>
    </row>
    <row r="4705" spans="1:2" ht="13" x14ac:dyDescent="0.15">
      <c r="A4705" s="12"/>
      <c r="B4705" s="12"/>
    </row>
    <row r="4706" spans="1:2" ht="13" x14ac:dyDescent="0.15">
      <c r="A4706" s="12"/>
      <c r="B4706" s="12"/>
    </row>
    <row r="4707" spans="1:2" ht="13" x14ac:dyDescent="0.15">
      <c r="A4707" s="12"/>
      <c r="B4707" s="12"/>
    </row>
    <row r="4708" spans="1:2" ht="13" x14ac:dyDescent="0.15">
      <c r="A4708" s="12"/>
      <c r="B4708" s="12"/>
    </row>
    <row r="4709" spans="1:2" ht="13" x14ac:dyDescent="0.15">
      <c r="A4709" s="12"/>
      <c r="B4709" s="12"/>
    </row>
    <row r="4710" spans="1:2" ht="13" x14ac:dyDescent="0.15">
      <c r="A4710" s="12"/>
      <c r="B4710" s="12"/>
    </row>
    <row r="4711" spans="1:2" ht="13" x14ac:dyDescent="0.15">
      <c r="A4711" s="12"/>
      <c r="B4711" s="12"/>
    </row>
    <row r="4712" spans="1:2" ht="13" x14ac:dyDescent="0.15">
      <c r="A4712" s="12"/>
      <c r="B4712" s="12"/>
    </row>
    <row r="4713" spans="1:2" ht="13" x14ac:dyDescent="0.15">
      <c r="A4713" s="12"/>
      <c r="B4713" s="12"/>
    </row>
    <row r="4714" spans="1:2" ht="13" x14ac:dyDescent="0.15">
      <c r="A4714" s="12"/>
      <c r="B4714" s="12"/>
    </row>
    <row r="4715" spans="1:2" ht="13" x14ac:dyDescent="0.15">
      <c r="A4715" s="12"/>
      <c r="B4715" s="12"/>
    </row>
    <row r="4716" spans="1:2" ht="13" x14ac:dyDescent="0.15">
      <c r="A4716" s="12"/>
      <c r="B4716" s="12"/>
    </row>
    <row r="4717" spans="1:2" ht="13" x14ac:dyDescent="0.15">
      <c r="A4717" s="12"/>
      <c r="B4717" s="12"/>
    </row>
    <row r="4718" spans="1:2" ht="13" x14ac:dyDescent="0.15">
      <c r="A4718" s="12"/>
      <c r="B4718" s="12"/>
    </row>
    <row r="4719" spans="1:2" ht="13" x14ac:dyDescent="0.15">
      <c r="A4719" s="12"/>
      <c r="B4719" s="12"/>
    </row>
    <row r="4720" spans="1:2" ht="13" x14ac:dyDescent="0.15">
      <c r="A4720" s="12"/>
      <c r="B4720" s="12"/>
    </row>
    <row r="4721" spans="1:2" ht="13" x14ac:dyDescent="0.15">
      <c r="A4721" s="12"/>
      <c r="B4721" s="12"/>
    </row>
    <row r="4722" spans="1:2" ht="13" x14ac:dyDescent="0.15">
      <c r="A4722" s="12"/>
      <c r="B4722" s="12"/>
    </row>
    <row r="4723" spans="1:2" ht="13" x14ac:dyDescent="0.15">
      <c r="A4723" s="12"/>
      <c r="B4723" s="12"/>
    </row>
    <row r="4724" spans="1:2" ht="13" x14ac:dyDescent="0.15">
      <c r="A4724" s="12"/>
      <c r="B4724" s="12"/>
    </row>
    <row r="4725" spans="1:2" ht="13" x14ac:dyDescent="0.15">
      <c r="A4725" s="12"/>
      <c r="B4725" s="12"/>
    </row>
    <row r="4726" spans="1:2" ht="13" x14ac:dyDescent="0.15">
      <c r="A4726" s="12"/>
      <c r="B4726" s="12"/>
    </row>
    <row r="4727" spans="1:2" ht="13" x14ac:dyDescent="0.15">
      <c r="A4727" s="12"/>
      <c r="B4727" s="12"/>
    </row>
    <row r="4728" spans="1:2" ht="13" x14ac:dyDescent="0.15">
      <c r="A4728" s="12"/>
      <c r="B4728" s="12"/>
    </row>
    <row r="4729" spans="1:2" ht="13" x14ac:dyDescent="0.15">
      <c r="A4729" s="12"/>
      <c r="B4729" s="12"/>
    </row>
    <row r="4730" spans="1:2" ht="13" x14ac:dyDescent="0.15">
      <c r="A4730" s="12"/>
      <c r="B4730" s="12"/>
    </row>
    <row r="4731" spans="1:2" ht="13" x14ac:dyDescent="0.15">
      <c r="A4731" s="12"/>
      <c r="B4731" s="12"/>
    </row>
    <row r="4732" spans="1:2" ht="13" x14ac:dyDescent="0.15">
      <c r="A4732" s="12"/>
      <c r="B4732" s="12"/>
    </row>
    <row r="4733" spans="1:2" ht="13" x14ac:dyDescent="0.15">
      <c r="A4733" s="12"/>
      <c r="B4733" s="12"/>
    </row>
    <row r="4734" spans="1:2" ht="13" x14ac:dyDescent="0.15">
      <c r="A4734" s="12"/>
      <c r="B4734" s="12"/>
    </row>
    <row r="4735" spans="1:2" ht="13" x14ac:dyDescent="0.15">
      <c r="A4735" s="12"/>
      <c r="B4735" s="12"/>
    </row>
    <row r="4736" spans="1:2" ht="13" x14ac:dyDescent="0.15">
      <c r="A4736" s="12"/>
      <c r="B4736" s="12"/>
    </row>
    <row r="4737" spans="1:2" ht="13" x14ac:dyDescent="0.15">
      <c r="A4737" s="12"/>
      <c r="B4737" s="12"/>
    </row>
    <row r="4738" spans="1:2" ht="13" x14ac:dyDescent="0.15">
      <c r="A4738" s="12"/>
      <c r="B4738" s="12"/>
    </row>
    <row r="4739" spans="1:2" ht="13" x14ac:dyDescent="0.15">
      <c r="A4739" s="12"/>
      <c r="B4739" s="12"/>
    </row>
    <row r="4740" spans="1:2" ht="13" x14ac:dyDescent="0.15">
      <c r="A4740" s="12"/>
      <c r="B4740" s="12"/>
    </row>
    <row r="4741" spans="1:2" ht="13" x14ac:dyDescent="0.15">
      <c r="A4741" s="12"/>
      <c r="B4741" s="12"/>
    </row>
    <row r="4742" spans="1:2" ht="13" x14ac:dyDescent="0.15">
      <c r="A4742" s="12"/>
      <c r="B4742" s="12"/>
    </row>
    <row r="4743" spans="1:2" ht="13" x14ac:dyDescent="0.15">
      <c r="A4743" s="12"/>
      <c r="B4743" s="12"/>
    </row>
    <row r="4744" spans="1:2" ht="13" x14ac:dyDescent="0.15">
      <c r="A4744" s="12"/>
      <c r="B4744" s="12"/>
    </row>
    <row r="4745" spans="1:2" ht="13" x14ac:dyDescent="0.15">
      <c r="A4745" s="12"/>
      <c r="B4745" s="12"/>
    </row>
    <row r="4746" spans="1:2" ht="13" x14ac:dyDescent="0.15">
      <c r="A4746" s="12"/>
      <c r="B4746" s="12"/>
    </row>
    <row r="4747" spans="1:2" ht="13" x14ac:dyDescent="0.15">
      <c r="A4747" s="12"/>
      <c r="B4747" s="12"/>
    </row>
    <row r="4748" spans="1:2" ht="13" x14ac:dyDescent="0.15">
      <c r="A4748" s="12"/>
      <c r="B4748" s="12"/>
    </row>
    <row r="4749" spans="1:2" ht="13" x14ac:dyDescent="0.15">
      <c r="A4749" s="12"/>
      <c r="B4749" s="12"/>
    </row>
    <row r="4750" spans="1:2" ht="13" x14ac:dyDescent="0.15">
      <c r="A4750" s="12"/>
      <c r="B4750" s="12"/>
    </row>
    <row r="4751" spans="1:2" ht="13" x14ac:dyDescent="0.15">
      <c r="A4751" s="12"/>
      <c r="B4751" s="12"/>
    </row>
    <row r="4752" spans="1:2" ht="13" x14ac:dyDescent="0.15">
      <c r="A4752" s="12"/>
      <c r="B4752" s="12"/>
    </row>
    <row r="4753" spans="1:2" ht="13" x14ac:dyDescent="0.15">
      <c r="A4753" s="12"/>
      <c r="B4753" s="12"/>
    </row>
    <row r="4754" spans="1:2" ht="13" x14ac:dyDescent="0.15">
      <c r="A4754" s="12"/>
      <c r="B4754" s="12"/>
    </row>
    <row r="4755" spans="1:2" ht="13" x14ac:dyDescent="0.15">
      <c r="A4755" s="12"/>
      <c r="B4755" s="12"/>
    </row>
    <row r="4756" spans="1:2" ht="13" x14ac:dyDescent="0.15">
      <c r="A4756" s="12"/>
      <c r="B4756" s="12"/>
    </row>
    <row r="4757" spans="1:2" ht="13" x14ac:dyDescent="0.15">
      <c r="A4757" s="12"/>
      <c r="B4757" s="12"/>
    </row>
    <row r="4758" spans="1:2" ht="13" x14ac:dyDescent="0.15">
      <c r="A4758" s="12"/>
      <c r="B4758" s="12"/>
    </row>
    <row r="4759" spans="1:2" ht="13" x14ac:dyDescent="0.15">
      <c r="A4759" s="12"/>
      <c r="B4759" s="12"/>
    </row>
    <row r="4760" spans="1:2" ht="13" x14ac:dyDescent="0.15">
      <c r="A4760" s="12"/>
      <c r="B4760" s="12"/>
    </row>
    <row r="4761" spans="1:2" ht="13" x14ac:dyDescent="0.15">
      <c r="A4761" s="12"/>
      <c r="B4761" s="12"/>
    </row>
    <row r="4762" spans="1:2" ht="13" x14ac:dyDescent="0.15">
      <c r="A4762" s="12"/>
      <c r="B4762" s="12"/>
    </row>
    <row r="4763" spans="1:2" ht="13" x14ac:dyDescent="0.15">
      <c r="A4763" s="12"/>
      <c r="B4763" s="12"/>
    </row>
    <row r="4764" spans="1:2" ht="13" x14ac:dyDescent="0.15">
      <c r="A4764" s="12"/>
      <c r="B4764" s="12"/>
    </row>
    <row r="4765" spans="1:2" ht="13" x14ac:dyDescent="0.15">
      <c r="A4765" s="12"/>
      <c r="B4765" s="12"/>
    </row>
    <row r="4766" spans="1:2" ht="13" x14ac:dyDescent="0.15">
      <c r="A4766" s="12"/>
      <c r="B4766" s="12"/>
    </row>
    <row r="4767" spans="1:2" ht="13" x14ac:dyDescent="0.15">
      <c r="A4767" s="12"/>
      <c r="B4767" s="12"/>
    </row>
    <row r="4768" spans="1:2" ht="13" x14ac:dyDescent="0.15">
      <c r="A4768" s="12"/>
      <c r="B4768" s="12"/>
    </row>
    <row r="4769" spans="1:2" ht="13" x14ac:dyDescent="0.15">
      <c r="A4769" s="12"/>
      <c r="B4769" s="12"/>
    </row>
    <row r="4770" spans="1:2" ht="13" x14ac:dyDescent="0.15">
      <c r="A4770" s="12"/>
      <c r="B4770" s="12"/>
    </row>
    <row r="4771" spans="1:2" ht="13" x14ac:dyDescent="0.15">
      <c r="A4771" s="12"/>
      <c r="B4771" s="12"/>
    </row>
    <row r="4772" spans="1:2" ht="13" x14ac:dyDescent="0.15">
      <c r="A4772" s="12"/>
      <c r="B4772" s="12"/>
    </row>
    <row r="4773" spans="1:2" ht="13" x14ac:dyDescent="0.15">
      <c r="A4773" s="12"/>
      <c r="B4773" s="12"/>
    </row>
    <row r="4774" spans="1:2" ht="13" x14ac:dyDescent="0.15">
      <c r="A4774" s="12"/>
      <c r="B4774" s="12"/>
    </row>
    <row r="4775" spans="1:2" ht="13" x14ac:dyDescent="0.15">
      <c r="A4775" s="12"/>
      <c r="B4775" s="12"/>
    </row>
    <row r="4776" spans="1:2" ht="13" x14ac:dyDescent="0.15">
      <c r="A4776" s="12"/>
      <c r="B4776" s="12"/>
    </row>
    <row r="4777" spans="1:2" ht="13" x14ac:dyDescent="0.15">
      <c r="A4777" s="12"/>
      <c r="B4777" s="12"/>
    </row>
    <row r="4778" spans="1:2" ht="13" x14ac:dyDescent="0.15">
      <c r="A4778" s="12"/>
      <c r="B4778" s="12"/>
    </row>
    <row r="4779" spans="1:2" ht="13" x14ac:dyDescent="0.15">
      <c r="A4779" s="12"/>
      <c r="B4779" s="12"/>
    </row>
    <row r="4780" spans="1:2" ht="13" x14ac:dyDescent="0.15">
      <c r="A4780" s="12"/>
      <c r="B4780" s="12"/>
    </row>
    <row r="4781" spans="1:2" ht="13" x14ac:dyDescent="0.15">
      <c r="A4781" s="12"/>
      <c r="B4781" s="12"/>
    </row>
    <row r="4782" spans="1:2" ht="13" x14ac:dyDescent="0.15">
      <c r="A4782" s="12"/>
      <c r="B4782" s="12"/>
    </row>
    <row r="4783" spans="1:2" ht="13" x14ac:dyDescent="0.15">
      <c r="A4783" s="12"/>
      <c r="B4783" s="12"/>
    </row>
    <row r="4784" spans="1:2" ht="13" x14ac:dyDescent="0.15">
      <c r="A4784" s="12"/>
      <c r="B4784" s="12"/>
    </row>
    <row r="4785" spans="1:2" ht="13" x14ac:dyDescent="0.15">
      <c r="A4785" s="12"/>
      <c r="B4785" s="12"/>
    </row>
    <row r="4786" spans="1:2" ht="13" x14ac:dyDescent="0.15">
      <c r="A4786" s="12"/>
      <c r="B4786" s="12"/>
    </row>
    <row r="4787" spans="1:2" ht="13" x14ac:dyDescent="0.15">
      <c r="A4787" s="12"/>
      <c r="B4787" s="12"/>
    </row>
    <row r="4788" spans="1:2" ht="13" x14ac:dyDescent="0.15">
      <c r="A4788" s="12"/>
      <c r="B4788" s="12"/>
    </row>
    <row r="4789" spans="1:2" ht="13" x14ac:dyDescent="0.15">
      <c r="A4789" s="12"/>
      <c r="B4789" s="12"/>
    </row>
    <row r="4790" spans="1:2" ht="13" x14ac:dyDescent="0.15">
      <c r="A4790" s="12"/>
      <c r="B4790" s="12"/>
    </row>
    <row r="4791" spans="1:2" ht="13" x14ac:dyDescent="0.15">
      <c r="A4791" s="12"/>
      <c r="B4791" s="12"/>
    </row>
    <row r="4792" spans="1:2" ht="13" x14ac:dyDescent="0.15">
      <c r="A4792" s="12"/>
      <c r="B4792" s="12"/>
    </row>
    <row r="4793" spans="1:2" ht="13" x14ac:dyDescent="0.15">
      <c r="A4793" s="12"/>
      <c r="B4793" s="12"/>
    </row>
    <row r="4794" spans="1:2" ht="13" x14ac:dyDescent="0.15">
      <c r="A4794" s="12"/>
      <c r="B4794" s="12"/>
    </row>
    <row r="4795" spans="1:2" ht="13" x14ac:dyDescent="0.15">
      <c r="A4795" s="12"/>
      <c r="B4795" s="12"/>
    </row>
    <row r="4796" spans="1:2" ht="13" x14ac:dyDescent="0.15">
      <c r="A4796" s="12"/>
      <c r="B4796" s="12"/>
    </row>
    <row r="4797" spans="1:2" ht="13" x14ac:dyDescent="0.15">
      <c r="A4797" s="12"/>
      <c r="B4797" s="12"/>
    </row>
    <row r="4798" spans="1:2" ht="13" x14ac:dyDescent="0.15">
      <c r="A4798" s="12"/>
      <c r="B4798" s="12"/>
    </row>
    <row r="4799" spans="1:2" ht="13" x14ac:dyDescent="0.15">
      <c r="A4799" s="12"/>
      <c r="B4799" s="12"/>
    </row>
    <row r="4800" spans="1:2" ht="13" x14ac:dyDescent="0.15">
      <c r="A4800" s="12"/>
      <c r="B4800" s="12"/>
    </row>
    <row r="4801" spans="1:2" ht="13" x14ac:dyDescent="0.15">
      <c r="A4801" s="12"/>
      <c r="B4801" s="12"/>
    </row>
    <row r="4802" spans="1:2" ht="13" x14ac:dyDescent="0.15">
      <c r="A4802" s="12"/>
      <c r="B4802" s="12"/>
    </row>
    <row r="4803" spans="1:2" ht="13" x14ac:dyDescent="0.15">
      <c r="A4803" s="12"/>
      <c r="B4803" s="12"/>
    </row>
    <row r="4804" spans="1:2" ht="13" x14ac:dyDescent="0.15">
      <c r="A4804" s="12"/>
      <c r="B4804" s="12"/>
    </row>
    <row r="4805" spans="1:2" ht="13" x14ac:dyDescent="0.15">
      <c r="A4805" s="12"/>
      <c r="B4805" s="12"/>
    </row>
    <row r="4806" spans="1:2" ht="13" x14ac:dyDescent="0.15">
      <c r="A4806" s="12"/>
      <c r="B4806" s="12"/>
    </row>
    <row r="4807" spans="1:2" ht="13" x14ac:dyDescent="0.15">
      <c r="A4807" s="12"/>
      <c r="B4807" s="12"/>
    </row>
    <row r="4808" spans="1:2" ht="13" x14ac:dyDescent="0.15">
      <c r="A4808" s="12"/>
      <c r="B4808" s="12"/>
    </row>
    <row r="4809" spans="1:2" ht="13" x14ac:dyDescent="0.15">
      <c r="A4809" s="12"/>
      <c r="B4809" s="12"/>
    </row>
    <row r="4810" spans="1:2" ht="13" x14ac:dyDescent="0.15">
      <c r="A4810" s="12"/>
      <c r="B4810" s="12"/>
    </row>
    <row r="4811" spans="1:2" ht="13" x14ac:dyDescent="0.15">
      <c r="A4811" s="12"/>
      <c r="B4811" s="12"/>
    </row>
    <row r="4812" spans="1:2" ht="13" x14ac:dyDescent="0.15">
      <c r="A4812" s="12"/>
      <c r="B4812" s="12"/>
    </row>
    <row r="4813" spans="1:2" ht="13" x14ac:dyDescent="0.15">
      <c r="A4813" s="12"/>
      <c r="B4813" s="12"/>
    </row>
    <row r="4814" spans="1:2" ht="13" x14ac:dyDescent="0.15">
      <c r="A4814" s="12"/>
      <c r="B4814" s="12"/>
    </row>
    <row r="4815" spans="1:2" ht="13" x14ac:dyDescent="0.15">
      <c r="A4815" s="12"/>
      <c r="B4815" s="12"/>
    </row>
    <row r="4816" spans="1:2" ht="13" x14ac:dyDescent="0.15">
      <c r="A4816" s="12"/>
      <c r="B4816" s="12"/>
    </row>
    <row r="4817" spans="1:2" ht="13" x14ac:dyDescent="0.15">
      <c r="A4817" s="12"/>
      <c r="B4817" s="12"/>
    </row>
    <row r="4818" spans="1:2" ht="13" x14ac:dyDescent="0.15">
      <c r="A4818" s="12"/>
      <c r="B4818" s="12"/>
    </row>
    <row r="4819" spans="1:2" ht="13" x14ac:dyDescent="0.15">
      <c r="A4819" s="12"/>
      <c r="B4819" s="12"/>
    </row>
    <row r="4820" spans="1:2" ht="13" x14ac:dyDescent="0.15">
      <c r="A4820" s="12"/>
      <c r="B4820" s="12"/>
    </row>
    <row r="4821" spans="1:2" ht="13" x14ac:dyDescent="0.15">
      <c r="A4821" s="12"/>
      <c r="B4821" s="12"/>
    </row>
    <row r="4822" spans="1:2" ht="13" x14ac:dyDescent="0.15">
      <c r="A4822" s="12"/>
      <c r="B4822" s="12"/>
    </row>
    <row r="4823" spans="1:2" ht="13" x14ac:dyDescent="0.15">
      <c r="A4823" s="12"/>
      <c r="B4823" s="12"/>
    </row>
    <row r="4824" spans="1:2" ht="13" x14ac:dyDescent="0.15">
      <c r="A4824" s="12"/>
      <c r="B4824" s="12"/>
    </row>
    <row r="4825" spans="1:2" ht="13" x14ac:dyDescent="0.15">
      <c r="A4825" s="12"/>
      <c r="B4825" s="12"/>
    </row>
    <row r="4826" spans="1:2" ht="13" x14ac:dyDescent="0.15">
      <c r="A4826" s="12"/>
      <c r="B4826" s="12"/>
    </row>
    <row r="4827" spans="1:2" ht="13" x14ac:dyDescent="0.15">
      <c r="A4827" s="12"/>
      <c r="B4827" s="12"/>
    </row>
    <row r="4828" spans="1:2" ht="13" x14ac:dyDescent="0.15">
      <c r="A4828" s="12"/>
      <c r="B4828" s="12"/>
    </row>
    <row r="4829" spans="1:2" ht="13" x14ac:dyDescent="0.15">
      <c r="A4829" s="12"/>
      <c r="B4829" s="12"/>
    </row>
    <row r="4830" spans="1:2" ht="13" x14ac:dyDescent="0.15">
      <c r="A4830" s="12"/>
      <c r="B4830" s="12"/>
    </row>
    <row r="4831" spans="1:2" ht="13" x14ac:dyDescent="0.15">
      <c r="A4831" s="12"/>
      <c r="B4831" s="12"/>
    </row>
    <row r="4832" spans="1:2" ht="13" x14ac:dyDescent="0.15">
      <c r="A4832" s="12"/>
      <c r="B4832" s="12"/>
    </row>
    <row r="4833" spans="1:2" ht="13" x14ac:dyDescent="0.15">
      <c r="A4833" s="12"/>
      <c r="B4833" s="12"/>
    </row>
    <row r="4834" spans="1:2" ht="13" x14ac:dyDescent="0.15">
      <c r="A4834" s="12"/>
      <c r="B4834" s="12"/>
    </row>
    <row r="4835" spans="1:2" ht="13" x14ac:dyDescent="0.15">
      <c r="A4835" s="12"/>
      <c r="B4835" s="12"/>
    </row>
    <row r="4836" spans="1:2" ht="13" x14ac:dyDescent="0.15">
      <c r="A4836" s="12"/>
      <c r="B4836" s="12"/>
    </row>
    <row r="4837" spans="1:2" ht="13" x14ac:dyDescent="0.15">
      <c r="A4837" s="12"/>
      <c r="B4837" s="12"/>
    </row>
    <row r="4838" spans="1:2" ht="13" x14ac:dyDescent="0.15">
      <c r="A4838" s="12"/>
      <c r="B4838" s="12"/>
    </row>
    <row r="4839" spans="1:2" ht="13" x14ac:dyDescent="0.15">
      <c r="A4839" s="12"/>
      <c r="B4839" s="12"/>
    </row>
    <row r="4840" spans="1:2" ht="13" x14ac:dyDescent="0.15">
      <c r="A4840" s="12"/>
      <c r="B4840" s="12"/>
    </row>
    <row r="4841" spans="1:2" ht="13" x14ac:dyDescent="0.15">
      <c r="A4841" s="12"/>
      <c r="B4841" s="12"/>
    </row>
    <row r="4842" spans="1:2" ht="13" x14ac:dyDescent="0.15">
      <c r="A4842" s="12"/>
      <c r="B4842" s="12"/>
    </row>
    <row r="4843" spans="1:2" ht="13" x14ac:dyDescent="0.15">
      <c r="A4843" s="12"/>
      <c r="B4843" s="12"/>
    </row>
    <row r="4844" spans="1:2" ht="13" x14ac:dyDescent="0.15">
      <c r="A4844" s="12"/>
      <c r="B4844" s="12"/>
    </row>
    <row r="4845" spans="1:2" ht="13" x14ac:dyDescent="0.15">
      <c r="A4845" s="12"/>
      <c r="B4845" s="12"/>
    </row>
    <row r="4846" spans="1:2" ht="13" x14ac:dyDescent="0.15">
      <c r="A4846" s="12"/>
      <c r="B4846" s="12"/>
    </row>
    <row r="4847" spans="1:2" ht="13" x14ac:dyDescent="0.15">
      <c r="A4847" s="12"/>
      <c r="B4847" s="12"/>
    </row>
    <row r="4848" spans="1:2" ht="13" x14ac:dyDescent="0.15">
      <c r="A4848" s="12"/>
      <c r="B4848" s="12"/>
    </row>
    <row r="4849" spans="1:2" ht="13" x14ac:dyDescent="0.15">
      <c r="A4849" s="12"/>
      <c r="B4849" s="12"/>
    </row>
    <row r="4850" spans="1:2" ht="13" x14ac:dyDescent="0.15">
      <c r="A4850" s="12"/>
      <c r="B4850" s="12"/>
    </row>
    <row r="4851" spans="1:2" ht="13" x14ac:dyDescent="0.15">
      <c r="A4851" s="12"/>
      <c r="B4851" s="12"/>
    </row>
    <row r="4852" spans="1:2" ht="13" x14ac:dyDescent="0.15">
      <c r="A4852" s="12"/>
      <c r="B4852" s="12"/>
    </row>
    <row r="4853" spans="1:2" ht="13" x14ac:dyDescent="0.15">
      <c r="A4853" s="12"/>
      <c r="B4853" s="12"/>
    </row>
    <row r="4854" spans="1:2" ht="13" x14ac:dyDescent="0.15">
      <c r="A4854" s="12"/>
      <c r="B4854" s="12"/>
    </row>
    <row r="4855" spans="1:2" ht="13" x14ac:dyDescent="0.15">
      <c r="A4855" s="12"/>
      <c r="B4855" s="12"/>
    </row>
    <row r="4856" spans="1:2" ht="13" x14ac:dyDescent="0.15">
      <c r="A4856" s="12"/>
      <c r="B4856" s="12"/>
    </row>
    <row r="4857" spans="1:2" ht="13" x14ac:dyDescent="0.15">
      <c r="A4857" s="12"/>
      <c r="B4857" s="12"/>
    </row>
    <row r="4858" spans="1:2" ht="13" x14ac:dyDescent="0.15">
      <c r="A4858" s="12"/>
      <c r="B4858" s="12"/>
    </row>
    <row r="4859" spans="1:2" ht="13" x14ac:dyDescent="0.15">
      <c r="A4859" s="12"/>
      <c r="B4859" s="12"/>
    </row>
    <row r="4860" spans="1:2" ht="13" x14ac:dyDescent="0.15">
      <c r="A4860" s="12"/>
      <c r="B4860" s="12"/>
    </row>
    <row r="4861" spans="1:2" ht="13" x14ac:dyDescent="0.15">
      <c r="A4861" s="12"/>
      <c r="B4861" s="12"/>
    </row>
    <row r="4862" spans="1:2" ht="13" x14ac:dyDescent="0.15">
      <c r="A4862" s="12"/>
      <c r="B4862" s="12"/>
    </row>
    <row r="4863" spans="1:2" ht="13" x14ac:dyDescent="0.15">
      <c r="A4863" s="12"/>
      <c r="B4863" s="12"/>
    </row>
    <row r="4864" spans="1:2" ht="13" x14ac:dyDescent="0.15">
      <c r="A4864" s="12"/>
      <c r="B4864" s="12"/>
    </row>
    <row r="4865" spans="1:2" ht="13" x14ac:dyDescent="0.15">
      <c r="A4865" s="12"/>
      <c r="B4865" s="12"/>
    </row>
    <row r="4866" spans="1:2" ht="13" x14ac:dyDescent="0.15">
      <c r="A4866" s="12"/>
      <c r="B4866" s="12"/>
    </row>
    <row r="4867" spans="1:2" ht="13" x14ac:dyDescent="0.15">
      <c r="A4867" s="12"/>
      <c r="B4867" s="12"/>
    </row>
    <row r="4868" spans="1:2" ht="13" x14ac:dyDescent="0.15">
      <c r="A4868" s="12"/>
      <c r="B4868" s="12"/>
    </row>
    <row r="4869" spans="1:2" ht="13" x14ac:dyDescent="0.15">
      <c r="A4869" s="12"/>
      <c r="B4869" s="12"/>
    </row>
    <row r="4870" spans="1:2" ht="13" x14ac:dyDescent="0.15">
      <c r="A4870" s="12"/>
      <c r="B4870" s="12"/>
    </row>
    <row r="4871" spans="1:2" ht="13" x14ac:dyDescent="0.15">
      <c r="A4871" s="12"/>
      <c r="B4871" s="12"/>
    </row>
    <row r="4872" spans="1:2" ht="13" x14ac:dyDescent="0.15">
      <c r="A4872" s="12"/>
      <c r="B4872" s="12"/>
    </row>
    <row r="4873" spans="1:2" ht="13" x14ac:dyDescent="0.15">
      <c r="A4873" s="12"/>
      <c r="B4873" s="12"/>
    </row>
    <row r="4874" spans="1:2" ht="13" x14ac:dyDescent="0.15">
      <c r="A4874" s="12"/>
      <c r="B4874" s="12"/>
    </row>
    <row r="4875" spans="1:2" ht="13" x14ac:dyDescent="0.15">
      <c r="A4875" s="12"/>
      <c r="B4875" s="12"/>
    </row>
    <row r="4876" spans="1:2" ht="13" x14ac:dyDescent="0.15">
      <c r="A4876" s="12"/>
      <c r="B4876" s="12"/>
    </row>
    <row r="4877" spans="1:2" ht="13" x14ac:dyDescent="0.15">
      <c r="A4877" s="12"/>
      <c r="B4877" s="12"/>
    </row>
    <row r="4878" spans="1:2" ht="13" x14ac:dyDescent="0.15">
      <c r="A4878" s="12"/>
      <c r="B4878" s="12"/>
    </row>
    <row r="4879" spans="1:2" ht="13" x14ac:dyDescent="0.15">
      <c r="A4879" s="12"/>
      <c r="B4879" s="12"/>
    </row>
    <row r="4880" spans="1:2" ht="13" x14ac:dyDescent="0.15">
      <c r="A4880" s="12"/>
      <c r="B4880" s="12"/>
    </row>
    <row r="4881" spans="1:2" ht="13" x14ac:dyDescent="0.15">
      <c r="A4881" s="12"/>
      <c r="B4881" s="12"/>
    </row>
    <row r="4882" spans="1:2" ht="13" x14ac:dyDescent="0.15">
      <c r="A4882" s="12"/>
      <c r="B4882" s="12"/>
    </row>
    <row r="4883" spans="1:2" ht="13" x14ac:dyDescent="0.15">
      <c r="A4883" s="12"/>
      <c r="B4883" s="12"/>
    </row>
    <row r="4884" spans="1:2" ht="13" x14ac:dyDescent="0.15">
      <c r="A4884" s="12"/>
      <c r="B4884" s="12"/>
    </row>
    <row r="4885" spans="1:2" ht="13" x14ac:dyDescent="0.15">
      <c r="A4885" s="12"/>
      <c r="B4885" s="12"/>
    </row>
    <row r="4886" spans="1:2" ht="13" x14ac:dyDescent="0.15">
      <c r="A4886" s="12"/>
      <c r="B4886" s="12"/>
    </row>
    <row r="4887" spans="1:2" ht="13" x14ac:dyDescent="0.15">
      <c r="A4887" s="12"/>
      <c r="B4887" s="12"/>
    </row>
    <row r="4888" spans="1:2" ht="13" x14ac:dyDescent="0.15">
      <c r="A4888" s="12"/>
      <c r="B4888" s="12"/>
    </row>
    <row r="4889" spans="1:2" ht="13" x14ac:dyDescent="0.15">
      <c r="A4889" s="12"/>
      <c r="B4889" s="12"/>
    </row>
    <row r="4890" spans="1:2" ht="13" x14ac:dyDescent="0.15">
      <c r="A4890" s="12"/>
      <c r="B4890" s="12"/>
    </row>
    <row r="4891" spans="1:2" ht="13" x14ac:dyDescent="0.15">
      <c r="A4891" s="12"/>
      <c r="B4891" s="12"/>
    </row>
    <row r="4892" spans="1:2" ht="13" x14ac:dyDescent="0.15">
      <c r="A4892" s="12"/>
      <c r="B4892" s="12"/>
    </row>
    <row r="4893" spans="1:2" ht="13" x14ac:dyDescent="0.15">
      <c r="A4893" s="12"/>
      <c r="B4893" s="12"/>
    </row>
    <row r="4894" spans="1:2" ht="13" x14ac:dyDescent="0.15">
      <c r="A4894" s="12"/>
      <c r="B4894" s="12"/>
    </row>
    <row r="4895" spans="1:2" ht="13" x14ac:dyDescent="0.15">
      <c r="A4895" s="12"/>
      <c r="B4895" s="12"/>
    </row>
    <row r="4896" spans="1:2" ht="13" x14ac:dyDescent="0.15">
      <c r="A4896" s="12"/>
      <c r="B4896" s="12"/>
    </row>
    <row r="4897" spans="1:2" ht="13" x14ac:dyDescent="0.15">
      <c r="A4897" s="12"/>
      <c r="B4897" s="12"/>
    </row>
    <row r="4898" spans="1:2" ht="13" x14ac:dyDescent="0.15">
      <c r="A4898" s="12"/>
      <c r="B4898" s="12"/>
    </row>
    <row r="4899" spans="1:2" ht="13" x14ac:dyDescent="0.15">
      <c r="A4899" s="12"/>
      <c r="B4899" s="12"/>
    </row>
    <row r="4900" spans="1:2" ht="13" x14ac:dyDescent="0.15">
      <c r="A4900" s="12"/>
      <c r="B4900" s="12"/>
    </row>
    <row r="4901" spans="1:2" ht="13" x14ac:dyDescent="0.15">
      <c r="A4901" s="12"/>
      <c r="B4901" s="12"/>
    </row>
    <row r="4902" spans="1:2" ht="13" x14ac:dyDescent="0.15">
      <c r="A4902" s="12"/>
      <c r="B4902" s="12"/>
    </row>
    <row r="4903" spans="1:2" ht="13" x14ac:dyDescent="0.15">
      <c r="A4903" s="12"/>
      <c r="B4903" s="12"/>
    </row>
    <row r="4904" spans="1:2" ht="13" x14ac:dyDescent="0.15">
      <c r="A4904" s="12"/>
      <c r="B4904" s="12"/>
    </row>
    <row r="4905" spans="1:2" ht="13" x14ac:dyDescent="0.15">
      <c r="A4905" s="12"/>
      <c r="B4905" s="12"/>
    </row>
    <row r="4906" spans="1:2" ht="13" x14ac:dyDescent="0.15">
      <c r="A4906" s="12"/>
      <c r="B4906" s="12"/>
    </row>
    <row r="4907" spans="1:2" ht="13" x14ac:dyDescent="0.15">
      <c r="A4907" s="12"/>
      <c r="B4907" s="12"/>
    </row>
    <row r="4908" spans="1:2" ht="13" x14ac:dyDescent="0.15">
      <c r="A4908" s="12"/>
      <c r="B4908" s="12"/>
    </row>
    <row r="4909" spans="1:2" ht="13" x14ac:dyDescent="0.15">
      <c r="A4909" s="12"/>
      <c r="B4909" s="12"/>
    </row>
    <row r="4910" spans="1:2" ht="13" x14ac:dyDescent="0.15">
      <c r="A4910" s="12"/>
      <c r="B4910" s="12"/>
    </row>
    <row r="4911" spans="1:2" ht="13" x14ac:dyDescent="0.15">
      <c r="A4911" s="12"/>
      <c r="B4911" s="12"/>
    </row>
    <row r="4912" spans="1:2" ht="13" x14ac:dyDescent="0.15">
      <c r="A4912" s="12"/>
      <c r="B4912" s="12"/>
    </row>
    <row r="4913" spans="1:2" ht="13" x14ac:dyDescent="0.15">
      <c r="A4913" s="12"/>
      <c r="B4913" s="12"/>
    </row>
    <row r="4914" spans="1:2" ht="13" x14ac:dyDescent="0.15">
      <c r="A4914" s="12"/>
      <c r="B4914" s="12"/>
    </row>
    <row r="4915" spans="1:2" ht="13" x14ac:dyDescent="0.15">
      <c r="A4915" s="12"/>
      <c r="B4915" s="12"/>
    </row>
    <row r="4916" spans="1:2" ht="13" x14ac:dyDescent="0.15">
      <c r="A4916" s="12"/>
      <c r="B4916" s="12"/>
    </row>
    <row r="4917" spans="1:2" ht="13" x14ac:dyDescent="0.15">
      <c r="A4917" s="12"/>
      <c r="B4917" s="12"/>
    </row>
    <row r="4918" spans="1:2" ht="13" x14ac:dyDescent="0.15">
      <c r="A4918" s="12"/>
      <c r="B4918" s="12"/>
    </row>
    <row r="4919" spans="1:2" ht="13" x14ac:dyDescent="0.15">
      <c r="A4919" s="12"/>
      <c r="B4919" s="12"/>
    </row>
    <row r="4920" spans="1:2" ht="13" x14ac:dyDescent="0.15">
      <c r="A4920" s="12"/>
      <c r="B4920" s="12"/>
    </row>
    <row r="4921" spans="1:2" ht="13" x14ac:dyDescent="0.15">
      <c r="A4921" s="12"/>
      <c r="B4921" s="12"/>
    </row>
    <row r="4922" spans="1:2" ht="13" x14ac:dyDescent="0.15">
      <c r="A4922" s="12"/>
      <c r="B4922" s="12"/>
    </row>
    <row r="4923" spans="1:2" ht="13" x14ac:dyDescent="0.15">
      <c r="A4923" s="12"/>
      <c r="B4923" s="12"/>
    </row>
    <row r="4924" spans="1:2" ht="13" x14ac:dyDescent="0.15">
      <c r="A4924" s="12"/>
      <c r="B4924" s="12"/>
    </row>
    <row r="4925" spans="1:2" ht="13" x14ac:dyDescent="0.15">
      <c r="A4925" s="12"/>
      <c r="B4925" s="12"/>
    </row>
    <row r="4926" spans="1:2" ht="13" x14ac:dyDescent="0.15">
      <c r="A4926" s="12"/>
      <c r="B4926" s="12"/>
    </row>
    <row r="4927" spans="1:2" ht="13" x14ac:dyDescent="0.15">
      <c r="A4927" s="12"/>
      <c r="B4927" s="12"/>
    </row>
    <row r="4928" spans="1:2" ht="13" x14ac:dyDescent="0.15">
      <c r="A4928" s="12"/>
      <c r="B4928" s="12"/>
    </row>
    <row r="4929" spans="1:2" ht="13" x14ac:dyDescent="0.15">
      <c r="A4929" s="12"/>
      <c r="B4929" s="12"/>
    </row>
    <row r="4930" spans="1:2" ht="13" x14ac:dyDescent="0.15">
      <c r="A4930" s="12"/>
      <c r="B4930" s="12"/>
    </row>
    <row r="4931" spans="1:2" ht="13" x14ac:dyDescent="0.15">
      <c r="A4931" s="12"/>
      <c r="B4931" s="12"/>
    </row>
    <row r="4932" spans="1:2" ht="13" x14ac:dyDescent="0.15">
      <c r="A4932" s="12"/>
      <c r="B4932" s="12"/>
    </row>
    <row r="4933" spans="1:2" ht="13" x14ac:dyDescent="0.15">
      <c r="A4933" s="12"/>
      <c r="B4933" s="12"/>
    </row>
    <row r="4934" spans="1:2" ht="13" x14ac:dyDescent="0.15">
      <c r="A4934" s="12"/>
      <c r="B4934" s="12"/>
    </row>
    <row r="4935" spans="1:2" ht="13" x14ac:dyDescent="0.15">
      <c r="A4935" s="12"/>
      <c r="B4935" s="12"/>
    </row>
    <row r="4936" spans="1:2" ht="13" x14ac:dyDescent="0.15">
      <c r="A4936" s="12"/>
      <c r="B4936" s="12"/>
    </row>
    <row r="4937" spans="1:2" ht="13" x14ac:dyDescent="0.15">
      <c r="A4937" s="12"/>
      <c r="B4937" s="12"/>
    </row>
    <row r="4938" spans="1:2" ht="13" x14ac:dyDescent="0.15">
      <c r="A4938" s="12"/>
      <c r="B4938" s="12"/>
    </row>
    <row r="4939" spans="1:2" ht="13" x14ac:dyDescent="0.15">
      <c r="A4939" s="12"/>
      <c r="B4939" s="12"/>
    </row>
    <row r="4940" spans="1:2" ht="13" x14ac:dyDescent="0.15">
      <c r="A4940" s="12"/>
      <c r="B4940" s="12"/>
    </row>
    <row r="4941" spans="1:2" ht="13" x14ac:dyDescent="0.15">
      <c r="A4941" s="12"/>
      <c r="B4941" s="12"/>
    </row>
    <row r="4942" spans="1:2" ht="13" x14ac:dyDescent="0.15">
      <c r="A4942" s="12"/>
      <c r="B4942" s="12"/>
    </row>
    <row r="4943" spans="1:2" ht="13" x14ac:dyDescent="0.15">
      <c r="A4943" s="12"/>
      <c r="B4943" s="12"/>
    </row>
    <row r="4944" spans="1:2" ht="13" x14ac:dyDescent="0.15">
      <c r="A4944" s="12"/>
      <c r="B4944" s="12"/>
    </row>
    <row r="4945" spans="1:2" ht="13" x14ac:dyDescent="0.15">
      <c r="A4945" s="12"/>
      <c r="B4945" s="12"/>
    </row>
    <row r="4946" spans="1:2" ht="13" x14ac:dyDescent="0.15">
      <c r="A4946" s="12"/>
      <c r="B4946" s="12"/>
    </row>
    <row r="4947" spans="1:2" ht="13" x14ac:dyDescent="0.15">
      <c r="A4947" s="12"/>
      <c r="B4947" s="12"/>
    </row>
    <row r="4948" spans="1:2" ht="13" x14ac:dyDescent="0.15">
      <c r="A4948" s="12"/>
      <c r="B4948" s="12"/>
    </row>
    <row r="4949" spans="1:2" ht="13" x14ac:dyDescent="0.15">
      <c r="A4949" s="12"/>
      <c r="B4949" s="12"/>
    </row>
    <row r="4950" spans="1:2" ht="13" x14ac:dyDescent="0.15">
      <c r="A4950" s="12"/>
      <c r="B4950" s="12"/>
    </row>
    <row r="4951" spans="1:2" ht="13" x14ac:dyDescent="0.15">
      <c r="A4951" s="12"/>
      <c r="B4951" s="12"/>
    </row>
    <row r="4952" spans="1:2" ht="13" x14ac:dyDescent="0.15">
      <c r="A4952" s="12"/>
      <c r="B4952" s="12"/>
    </row>
    <row r="4953" spans="1:2" ht="13" x14ac:dyDescent="0.15">
      <c r="A4953" s="12"/>
      <c r="B4953" s="12"/>
    </row>
    <row r="4954" spans="1:2" ht="13" x14ac:dyDescent="0.15">
      <c r="A4954" s="12"/>
      <c r="B4954" s="12"/>
    </row>
    <row r="4955" spans="1:2" ht="13" x14ac:dyDescent="0.15">
      <c r="A4955" s="12"/>
      <c r="B4955" s="12"/>
    </row>
    <row r="4956" spans="1:2" ht="13" x14ac:dyDescent="0.15">
      <c r="A4956" s="12"/>
      <c r="B4956" s="12"/>
    </row>
    <row r="4957" spans="1:2" ht="13" x14ac:dyDescent="0.15">
      <c r="A4957" s="12"/>
      <c r="B4957" s="12"/>
    </row>
    <row r="4958" spans="1:2" ht="13" x14ac:dyDescent="0.15">
      <c r="A4958" s="12"/>
      <c r="B4958" s="12"/>
    </row>
    <row r="4959" spans="1:2" ht="13" x14ac:dyDescent="0.15">
      <c r="A4959" s="12"/>
      <c r="B4959" s="12"/>
    </row>
    <row r="4960" spans="1:2" ht="13" x14ac:dyDescent="0.15">
      <c r="A4960" s="12"/>
      <c r="B4960" s="12"/>
    </row>
    <row r="4961" spans="1:2" ht="13" x14ac:dyDescent="0.15">
      <c r="A4961" s="12"/>
      <c r="B4961" s="12"/>
    </row>
    <row r="4962" spans="1:2" ht="13" x14ac:dyDescent="0.15">
      <c r="A4962" s="12"/>
      <c r="B4962" s="12"/>
    </row>
    <row r="4963" spans="1:2" ht="13" x14ac:dyDescent="0.15">
      <c r="A4963" s="12"/>
      <c r="B4963" s="12"/>
    </row>
    <row r="4964" spans="1:2" ht="13" x14ac:dyDescent="0.15">
      <c r="A4964" s="12"/>
      <c r="B4964" s="12"/>
    </row>
    <row r="4965" spans="1:2" ht="13" x14ac:dyDescent="0.15">
      <c r="A4965" s="12"/>
      <c r="B4965" s="12"/>
    </row>
    <row r="4966" spans="1:2" ht="13" x14ac:dyDescent="0.15">
      <c r="A4966" s="12"/>
      <c r="B4966" s="12"/>
    </row>
    <row r="4967" spans="1:2" ht="13" x14ac:dyDescent="0.15">
      <c r="A4967" s="12"/>
      <c r="B4967" s="12"/>
    </row>
    <row r="4968" spans="1:2" ht="13" x14ac:dyDescent="0.15">
      <c r="A4968" s="12"/>
      <c r="B4968" s="12"/>
    </row>
    <row r="4969" spans="1:2" ht="13" x14ac:dyDescent="0.15">
      <c r="A4969" s="12"/>
      <c r="B4969" s="12"/>
    </row>
    <row r="4970" spans="1:2" ht="13" x14ac:dyDescent="0.15">
      <c r="A4970" s="12"/>
      <c r="B4970" s="12"/>
    </row>
    <row r="4971" spans="1:2" ht="13" x14ac:dyDescent="0.15">
      <c r="A4971" s="12"/>
      <c r="B4971" s="12"/>
    </row>
    <row r="4972" spans="1:2" ht="13" x14ac:dyDescent="0.15">
      <c r="A4972" s="12"/>
      <c r="B4972" s="12"/>
    </row>
    <row r="4973" spans="1:2" ht="13" x14ac:dyDescent="0.15">
      <c r="A4973" s="12"/>
      <c r="B4973" s="12"/>
    </row>
    <row r="4974" spans="1:2" ht="13" x14ac:dyDescent="0.15">
      <c r="A4974" s="12"/>
      <c r="B4974" s="12"/>
    </row>
    <row r="4975" spans="1:2" ht="13" x14ac:dyDescent="0.15">
      <c r="A4975" s="12"/>
      <c r="B4975" s="12"/>
    </row>
    <row r="4976" spans="1:2" ht="13" x14ac:dyDescent="0.15">
      <c r="A4976" s="12"/>
      <c r="B4976" s="12"/>
    </row>
    <row r="4977" spans="1:2" ht="13" x14ac:dyDescent="0.15">
      <c r="A4977" s="12"/>
      <c r="B4977" s="12"/>
    </row>
    <row r="4978" spans="1:2" ht="13" x14ac:dyDescent="0.15">
      <c r="A4978" s="12"/>
      <c r="B4978" s="12"/>
    </row>
    <row r="4979" spans="1:2" ht="13" x14ac:dyDescent="0.15">
      <c r="A4979" s="12"/>
      <c r="B4979" s="12"/>
    </row>
    <row r="4980" spans="1:2" ht="13" x14ac:dyDescent="0.15">
      <c r="A4980" s="12"/>
      <c r="B4980" s="12"/>
    </row>
    <row r="4981" spans="1:2" ht="13" x14ac:dyDescent="0.15">
      <c r="A4981" s="12"/>
      <c r="B4981" s="12"/>
    </row>
    <row r="4982" spans="1:2" ht="13" x14ac:dyDescent="0.15">
      <c r="A4982" s="12"/>
      <c r="B4982" s="12"/>
    </row>
    <row r="4983" spans="1:2" ht="13" x14ac:dyDescent="0.15">
      <c r="A4983" s="12"/>
      <c r="B4983" s="12"/>
    </row>
    <row r="4984" spans="1:2" ht="13" x14ac:dyDescent="0.15">
      <c r="A4984" s="12"/>
      <c r="B4984" s="12"/>
    </row>
    <row r="4985" spans="1:2" ht="13" x14ac:dyDescent="0.15">
      <c r="A4985" s="12"/>
      <c r="B4985" s="12"/>
    </row>
    <row r="4986" spans="1:2" ht="13" x14ac:dyDescent="0.15">
      <c r="A4986" s="12"/>
      <c r="B4986" s="12"/>
    </row>
    <row r="4987" spans="1:2" ht="13" x14ac:dyDescent="0.15">
      <c r="A4987" s="12"/>
      <c r="B4987" s="12"/>
    </row>
    <row r="4988" spans="1:2" ht="13" x14ac:dyDescent="0.15">
      <c r="A4988" s="12"/>
      <c r="B4988" s="12"/>
    </row>
    <row r="4989" spans="1:2" ht="13" x14ac:dyDescent="0.15">
      <c r="A4989" s="12"/>
      <c r="B4989" s="12"/>
    </row>
    <row r="4990" spans="1:2" ht="13" x14ac:dyDescent="0.15">
      <c r="A4990" s="12"/>
      <c r="B4990" s="12"/>
    </row>
    <row r="4991" spans="1:2" ht="13" x14ac:dyDescent="0.15">
      <c r="A4991" s="12"/>
      <c r="B4991" s="12"/>
    </row>
    <row r="4992" spans="1:2" ht="13" x14ac:dyDescent="0.15">
      <c r="A4992" s="12"/>
      <c r="B4992" s="12"/>
    </row>
    <row r="4993" spans="1:2" ht="13" x14ac:dyDescent="0.15">
      <c r="A4993" s="12"/>
      <c r="B4993" s="12"/>
    </row>
    <row r="4994" spans="1:2" ht="13" x14ac:dyDescent="0.15">
      <c r="A4994" s="12"/>
      <c r="B4994" s="12"/>
    </row>
    <row r="4995" spans="1:2" ht="13" x14ac:dyDescent="0.15">
      <c r="A4995" s="12"/>
      <c r="B4995" s="12"/>
    </row>
    <row r="4996" spans="1:2" ht="13" x14ac:dyDescent="0.15">
      <c r="A4996" s="12"/>
      <c r="B4996" s="12"/>
    </row>
    <row r="4997" spans="1:2" ht="13" x14ac:dyDescent="0.15">
      <c r="A4997" s="12"/>
      <c r="B4997" s="12"/>
    </row>
    <row r="4998" spans="1:2" ht="13" x14ac:dyDescent="0.15">
      <c r="A4998" s="12"/>
      <c r="B4998" s="12"/>
    </row>
    <row r="4999" spans="1:2" ht="13" x14ac:dyDescent="0.15">
      <c r="A4999" s="12"/>
      <c r="B4999" s="12"/>
    </row>
    <row r="5000" spans="1:2" ht="13" x14ac:dyDescent="0.15">
      <c r="A5000" s="12"/>
      <c r="B5000" s="12"/>
    </row>
    <row r="5001" spans="1:2" ht="13" x14ac:dyDescent="0.15">
      <c r="A5001" s="12"/>
      <c r="B5001" s="12"/>
    </row>
    <row r="5002" spans="1:2" ht="13" x14ac:dyDescent="0.15">
      <c r="A5002" s="12"/>
      <c r="B5002" s="12"/>
    </row>
    <row r="5003" spans="1:2" ht="13" x14ac:dyDescent="0.15">
      <c r="A5003" s="12"/>
      <c r="B5003" s="12"/>
    </row>
    <row r="5004" spans="1:2" ht="13" x14ac:dyDescent="0.15">
      <c r="A5004" s="12"/>
      <c r="B5004" s="12"/>
    </row>
    <row r="5005" spans="1:2" ht="13" x14ac:dyDescent="0.15">
      <c r="A5005" s="12"/>
      <c r="B5005" s="12"/>
    </row>
    <row r="5006" spans="1:2" ht="13" x14ac:dyDescent="0.15">
      <c r="A5006" s="12"/>
      <c r="B5006" s="12"/>
    </row>
    <row r="5007" spans="1:2" ht="13" x14ac:dyDescent="0.15">
      <c r="A5007" s="12"/>
      <c r="B5007" s="12"/>
    </row>
    <row r="5008" spans="1:2" ht="13" x14ac:dyDescent="0.15">
      <c r="A5008" s="12"/>
      <c r="B5008" s="12"/>
    </row>
    <row r="5009" spans="1:2" ht="13" x14ac:dyDescent="0.15">
      <c r="A5009" s="12"/>
      <c r="B5009" s="12"/>
    </row>
    <row r="5010" spans="1:2" ht="13" x14ac:dyDescent="0.15">
      <c r="A5010" s="12"/>
      <c r="B5010" s="12"/>
    </row>
    <row r="5011" spans="1:2" ht="13" x14ac:dyDescent="0.15">
      <c r="A5011" s="12"/>
      <c r="B5011" s="12"/>
    </row>
    <row r="5012" spans="1:2" ht="13" x14ac:dyDescent="0.15">
      <c r="A5012" s="12"/>
      <c r="B5012" s="12"/>
    </row>
    <row r="5013" spans="1:2" ht="13" x14ac:dyDescent="0.15">
      <c r="A5013" s="12"/>
      <c r="B5013" s="12"/>
    </row>
    <row r="5014" spans="1:2" ht="13" x14ac:dyDescent="0.15">
      <c r="A5014" s="12"/>
      <c r="B5014" s="12"/>
    </row>
    <row r="5015" spans="1:2" ht="13" x14ac:dyDescent="0.15">
      <c r="A5015" s="12"/>
      <c r="B5015" s="12"/>
    </row>
    <row r="5016" spans="1:2" ht="13" x14ac:dyDescent="0.15">
      <c r="A5016" s="12"/>
      <c r="B5016" s="12"/>
    </row>
    <row r="5017" spans="1:2" ht="13" x14ac:dyDescent="0.15">
      <c r="A5017" s="12"/>
      <c r="B5017" s="12"/>
    </row>
    <row r="5018" spans="1:2" ht="13" x14ac:dyDescent="0.15">
      <c r="A5018" s="12"/>
      <c r="B5018" s="12"/>
    </row>
    <row r="5019" spans="1:2" ht="13" x14ac:dyDescent="0.15">
      <c r="A5019" s="12"/>
      <c r="B5019" s="12"/>
    </row>
    <row r="5020" spans="1:2" ht="13" x14ac:dyDescent="0.15">
      <c r="A5020" s="12"/>
      <c r="B5020" s="12"/>
    </row>
    <row r="5021" spans="1:2" ht="13" x14ac:dyDescent="0.15">
      <c r="A5021" s="12"/>
      <c r="B5021" s="12"/>
    </row>
    <row r="5022" spans="1:2" ht="13" x14ac:dyDescent="0.15">
      <c r="A5022" s="12"/>
      <c r="B5022" s="12"/>
    </row>
    <row r="5023" spans="1:2" ht="13" x14ac:dyDescent="0.15">
      <c r="A5023" s="12"/>
      <c r="B5023" s="12"/>
    </row>
    <row r="5024" spans="1:2" ht="13" x14ac:dyDescent="0.15">
      <c r="A5024" s="12"/>
      <c r="B5024" s="12"/>
    </row>
    <row r="5025" spans="1:2" ht="13" x14ac:dyDescent="0.15">
      <c r="A5025" s="12"/>
      <c r="B5025" s="12"/>
    </row>
    <row r="5026" spans="1:2" ht="13" x14ac:dyDescent="0.15">
      <c r="A5026" s="12"/>
      <c r="B5026" s="12"/>
    </row>
    <row r="5027" spans="1:2" ht="13" x14ac:dyDescent="0.15">
      <c r="A5027" s="12"/>
      <c r="B5027" s="12"/>
    </row>
    <row r="5028" spans="1:2" ht="13" x14ac:dyDescent="0.15">
      <c r="A5028" s="12"/>
      <c r="B5028" s="12"/>
    </row>
    <row r="5029" spans="1:2" ht="13" x14ac:dyDescent="0.15">
      <c r="A5029" s="12"/>
      <c r="B5029" s="12"/>
    </row>
    <row r="5030" spans="1:2" ht="13" x14ac:dyDescent="0.15">
      <c r="A5030" s="12"/>
      <c r="B5030" s="12"/>
    </row>
    <row r="5031" spans="1:2" ht="13" x14ac:dyDescent="0.15">
      <c r="A5031" s="12"/>
      <c r="B5031" s="12"/>
    </row>
    <row r="5032" spans="1:2" ht="13" x14ac:dyDescent="0.15">
      <c r="A5032" s="12"/>
      <c r="B5032" s="12"/>
    </row>
    <row r="5033" spans="1:2" ht="13" x14ac:dyDescent="0.15">
      <c r="A5033" s="12"/>
      <c r="B5033" s="12"/>
    </row>
    <row r="5034" spans="1:2" ht="13" x14ac:dyDescent="0.15">
      <c r="A5034" s="12"/>
      <c r="B5034" s="12"/>
    </row>
    <row r="5035" spans="1:2" ht="13" x14ac:dyDescent="0.15">
      <c r="A5035" s="12"/>
      <c r="B5035" s="12"/>
    </row>
    <row r="5036" spans="1:2" ht="13" x14ac:dyDescent="0.15">
      <c r="A5036" s="12"/>
      <c r="B5036" s="12"/>
    </row>
    <row r="5037" spans="1:2" ht="13" x14ac:dyDescent="0.15">
      <c r="A5037" s="12"/>
      <c r="B5037" s="12"/>
    </row>
    <row r="5038" spans="1:2" ht="13" x14ac:dyDescent="0.15">
      <c r="A5038" s="12"/>
      <c r="B5038" s="12"/>
    </row>
    <row r="5039" spans="1:2" ht="13" x14ac:dyDescent="0.15">
      <c r="A5039" s="12"/>
      <c r="B5039" s="12"/>
    </row>
    <row r="5040" spans="1:2" ht="13" x14ac:dyDescent="0.15">
      <c r="A5040" s="12"/>
      <c r="B5040" s="12"/>
    </row>
    <row r="5041" spans="1:2" ht="13" x14ac:dyDescent="0.15">
      <c r="A5041" s="12"/>
      <c r="B5041" s="12"/>
    </row>
    <row r="5042" spans="1:2" ht="13" x14ac:dyDescent="0.15">
      <c r="A5042" s="12"/>
      <c r="B5042" s="12"/>
    </row>
    <row r="5043" spans="1:2" ht="13" x14ac:dyDescent="0.15">
      <c r="A5043" s="12"/>
      <c r="B5043" s="12"/>
    </row>
    <row r="5044" spans="1:2" ht="13" x14ac:dyDescent="0.15">
      <c r="A5044" s="12"/>
      <c r="B5044" s="12"/>
    </row>
    <row r="5045" spans="1:2" ht="13" x14ac:dyDescent="0.15">
      <c r="A5045" s="12"/>
      <c r="B5045" s="12"/>
    </row>
    <row r="5046" spans="1:2" ht="13" x14ac:dyDescent="0.15">
      <c r="A5046" s="12"/>
      <c r="B5046" s="12"/>
    </row>
    <row r="5047" spans="1:2" ht="13" x14ac:dyDescent="0.15">
      <c r="A5047" s="12"/>
      <c r="B5047" s="12"/>
    </row>
    <row r="5048" spans="1:2" ht="13" x14ac:dyDescent="0.15">
      <c r="A5048" s="12"/>
      <c r="B5048" s="12"/>
    </row>
    <row r="5049" spans="1:2" ht="13" x14ac:dyDescent="0.15">
      <c r="A5049" s="12"/>
      <c r="B5049" s="12"/>
    </row>
    <row r="5050" spans="1:2" ht="13" x14ac:dyDescent="0.15">
      <c r="A5050" s="12"/>
      <c r="B5050" s="12"/>
    </row>
    <row r="5051" spans="1:2" ht="13" x14ac:dyDescent="0.15">
      <c r="A5051" s="12"/>
      <c r="B5051" s="12"/>
    </row>
    <row r="5052" spans="1:2" ht="13" x14ac:dyDescent="0.15">
      <c r="A5052" s="12"/>
      <c r="B5052" s="12"/>
    </row>
    <row r="5053" spans="1:2" ht="13" x14ac:dyDescent="0.15">
      <c r="A5053" s="12"/>
      <c r="B5053" s="12"/>
    </row>
    <row r="5054" spans="1:2" ht="13" x14ac:dyDescent="0.15">
      <c r="A5054" s="12"/>
      <c r="B5054" s="12"/>
    </row>
    <row r="5055" spans="1:2" ht="13" x14ac:dyDescent="0.15">
      <c r="A5055" s="12"/>
      <c r="B5055" s="12"/>
    </row>
    <row r="5056" spans="1:2" ht="13" x14ac:dyDescent="0.15">
      <c r="A5056" s="12"/>
      <c r="B5056" s="12"/>
    </row>
    <row r="5057" spans="1:2" ht="13" x14ac:dyDescent="0.15">
      <c r="A5057" s="12"/>
      <c r="B5057" s="12"/>
    </row>
    <row r="5058" spans="1:2" ht="13" x14ac:dyDescent="0.15">
      <c r="A5058" s="12"/>
      <c r="B5058" s="12"/>
    </row>
    <row r="5059" spans="1:2" ht="13" x14ac:dyDescent="0.15">
      <c r="A5059" s="12"/>
      <c r="B5059" s="12"/>
    </row>
    <row r="5060" spans="1:2" ht="13" x14ac:dyDescent="0.15">
      <c r="A5060" s="12"/>
      <c r="B5060" s="12"/>
    </row>
    <row r="5061" spans="1:2" ht="13" x14ac:dyDescent="0.15">
      <c r="A5061" s="12"/>
      <c r="B5061" s="12"/>
    </row>
    <row r="5062" spans="1:2" ht="13" x14ac:dyDescent="0.15">
      <c r="A5062" s="12"/>
      <c r="B5062" s="12"/>
    </row>
    <row r="5063" spans="1:2" ht="13" x14ac:dyDescent="0.15">
      <c r="A5063" s="12"/>
      <c r="B5063" s="12"/>
    </row>
    <row r="5064" spans="1:2" ht="13" x14ac:dyDescent="0.15">
      <c r="A5064" s="12"/>
      <c r="B5064" s="12"/>
    </row>
    <row r="5065" spans="1:2" ht="13" x14ac:dyDescent="0.15">
      <c r="A5065" s="12"/>
      <c r="B5065" s="12"/>
    </row>
    <row r="5066" spans="1:2" ht="13" x14ac:dyDescent="0.15">
      <c r="A5066" s="12"/>
      <c r="B5066" s="12"/>
    </row>
    <row r="5067" spans="1:2" ht="13" x14ac:dyDescent="0.15">
      <c r="A5067" s="12"/>
      <c r="B5067" s="12"/>
    </row>
    <row r="5068" spans="1:2" ht="13" x14ac:dyDescent="0.15">
      <c r="A5068" s="12"/>
      <c r="B5068" s="12"/>
    </row>
    <row r="5069" spans="1:2" ht="13" x14ac:dyDescent="0.15">
      <c r="A5069" s="12"/>
      <c r="B5069" s="12"/>
    </row>
    <row r="5070" spans="1:2" ht="13" x14ac:dyDescent="0.15">
      <c r="A5070" s="12"/>
      <c r="B5070" s="12"/>
    </row>
    <row r="5071" spans="1:2" ht="13" x14ac:dyDescent="0.15">
      <c r="A5071" s="12"/>
      <c r="B5071" s="12"/>
    </row>
    <row r="5072" spans="1:2" ht="13" x14ac:dyDescent="0.15">
      <c r="A5072" s="12"/>
      <c r="B5072" s="12"/>
    </row>
    <row r="5073" spans="1:2" ht="13" x14ac:dyDescent="0.15">
      <c r="A5073" s="12"/>
      <c r="B5073" s="12"/>
    </row>
    <row r="5074" spans="1:2" ht="13" x14ac:dyDescent="0.15">
      <c r="A5074" s="12"/>
      <c r="B5074" s="12"/>
    </row>
    <row r="5075" spans="1:2" ht="13" x14ac:dyDescent="0.15">
      <c r="A5075" s="12"/>
      <c r="B5075" s="12"/>
    </row>
    <row r="5076" spans="1:2" ht="13" x14ac:dyDescent="0.15">
      <c r="A5076" s="12"/>
      <c r="B5076" s="12"/>
    </row>
    <row r="5077" spans="1:2" ht="13" x14ac:dyDescent="0.15">
      <c r="A5077" s="12"/>
      <c r="B5077" s="12"/>
    </row>
    <row r="5078" spans="1:2" ht="13" x14ac:dyDescent="0.15">
      <c r="A5078" s="12"/>
      <c r="B5078" s="12"/>
    </row>
    <row r="5079" spans="1:2" ht="13" x14ac:dyDescent="0.15">
      <c r="A5079" s="12"/>
      <c r="B5079" s="12"/>
    </row>
    <row r="5080" spans="1:2" ht="13" x14ac:dyDescent="0.15">
      <c r="A5080" s="12"/>
      <c r="B5080" s="12"/>
    </row>
    <row r="5081" spans="1:2" ht="13" x14ac:dyDescent="0.15">
      <c r="A5081" s="12"/>
      <c r="B5081" s="12"/>
    </row>
    <row r="5082" spans="1:2" ht="13" x14ac:dyDescent="0.15">
      <c r="A5082" s="12"/>
      <c r="B5082" s="12"/>
    </row>
    <row r="5083" spans="1:2" ht="13" x14ac:dyDescent="0.15">
      <c r="A5083" s="12"/>
      <c r="B5083" s="12"/>
    </row>
    <row r="5084" spans="1:2" ht="13" x14ac:dyDescent="0.15">
      <c r="A5084" s="12"/>
      <c r="B5084" s="12"/>
    </row>
    <row r="5085" spans="1:2" ht="13" x14ac:dyDescent="0.15">
      <c r="A5085" s="12"/>
      <c r="B5085" s="12"/>
    </row>
    <row r="5086" spans="1:2" ht="13" x14ac:dyDescent="0.15">
      <c r="A5086" s="12"/>
      <c r="B5086" s="12"/>
    </row>
    <row r="5087" spans="1:2" ht="13" x14ac:dyDescent="0.15">
      <c r="A5087" s="12"/>
      <c r="B5087" s="12"/>
    </row>
    <row r="5088" spans="1:2" ht="13" x14ac:dyDescent="0.15">
      <c r="A5088" s="12"/>
      <c r="B5088" s="12"/>
    </row>
    <row r="5089" spans="1:2" ht="13" x14ac:dyDescent="0.15">
      <c r="A5089" s="12"/>
      <c r="B5089" s="12"/>
    </row>
    <row r="5090" spans="1:2" ht="13" x14ac:dyDescent="0.15">
      <c r="A5090" s="12"/>
      <c r="B5090" s="12"/>
    </row>
    <row r="5091" spans="1:2" ht="13" x14ac:dyDescent="0.15">
      <c r="A5091" s="12"/>
      <c r="B5091" s="12"/>
    </row>
    <row r="5092" spans="1:2" ht="13" x14ac:dyDescent="0.15">
      <c r="A5092" s="12"/>
      <c r="B5092" s="12"/>
    </row>
    <row r="5093" spans="1:2" ht="13" x14ac:dyDescent="0.15">
      <c r="A5093" s="12"/>
      <c r="B5093" s="12"/>
    </row>
    <row r="5094" spans="1:2" ht="13" x14ac:dyDescent="0.15">
      <c r="A5094" s="12"/>
      <c r="B5094" s="12"/>
    </row>
    <row r="5095" spans="1:2" ht="13" x14ac:dyDescent="0.15">
      <c r="A5095" s="12"/>
      <c r="B5095" s="12"/>
    </row>
    <row r="5096" spans="1:2" ht="13" x14ac:dyDescent="0.15">
      <c r="A5096" s="12"/>
      <c r="B5096" s="12"/>
    </row>
    <row r="5097" spans="1:2" ht="13" x14ac:dyDescent="0.15">
      <c r="A5097" s="12"/>
      <c r="B5097" s="12"/>
    </row>
    <row r="5098" spans="1:2" ht="13" x14ac:dyDescent="0.15">
      <c r="A5098" s="12"/>
      <c r="B5098" s="12"/>
    </row>
    <row r="5099" spans="1:2" ht="13" x14ac:dyDescent="0.15">
      <c r="A5099" s="12"/>
      <c r="B5099" s="12"/>
    </row>
    <row r="5100" spans="1:2" ht="13" x14ac:dyDescent="0.15">
      <c r="A5100" s="12"/>
      <c r="B5100" s="12"/>
    </row>
    <row r="5101" spans="1:2" ht="13" x14ac:dyDescent="0.15">
      <c r="A5101" s="12"/>
      <c r="B5101" s="12"/>
    </row>
    <row r="5102" spans="1:2" ht="13" x14ac:dyDescent="0.15">
      <c r="A5102" s="12"/>
      <c r="B5102" s="12"/>
    </row>
    <row r="5103" spans="1:2" ht="13" x14ac:dyDescent="0.15">
      <c r="A5103" s="12"/>
      <c r="B5103" s="12"/>
    </row>
    <row r="5104" spans="1:2" ht="13" x14ac:dyDescent="0.15">
      <c r="A5104" s="12"/>
      <c r="B5104" s="12"/>
    </row>
    <row r="5105" spans="1:2" ht="13" x14ac:dyDescent="0.15">
      <c r="A5105" s="12"/>
      <c r="B5105" s="12"/>
    </row>
    <row r="5106" spans="1:2" ht="13" x14ac:dyDescent="0.15">
      <c r="A5106" s="12"/>
      <c r="B5106" s="12"/>
    </row>
    <row r="5107" spans="1:2" ht="13" x14ac:dyDescent="0.15">
      <c r="A5107" s="12"/>
      <c r="B5107" s="12"/>
    </row>
    <row r="5108" spans="1:2" ht="13" x14ac:dyDescent="0.15">
      <c r="A5108" s="12"/>
      <c r="B5108" s="12"/>
    </row>
    <row r="5109" spans="1:2" ht="13" x14ac:dyDescent="0.15">
      <c r="A5109" s="12"/>
      <c r="B5109" s="12"/>
    </row>
    <row r="5110" spans="1:2" ht="13" x14ac:dyDescent="0.15">
      <c r="A5110" s="12"/>
      <c r="B5110" s="12"/>
    </row>
    <row r="5111" spans="1:2" ht="13" x14ac:dyDescent="0.15">
      <c r="A5111" s="12"/>
      <c r="B5111" s="12"/>
    </row>
    <row r="5112" spans="1:2" ht="13" x14ac:dyDescent="0.15">
      <c r="A5112" s="12"/>
      <c r="B5112" s="12"/>
    </row>
    <row r="5113" spans="1:2" ht="13" x14ac:dyDescent="0.15">
      <c r="A5113" s="12"/>
      <c r="B5113" s="12"/>
    </row>
    <row r="5114" spans="1:2" ht="13" x14ac:dyDescent="0.15">
      <c r="A5114" s="12"/>
      <c r="B5114" s="12"/>
    </row>
    <row r="5115" spans="1:2" ht="13" x14ac:dyDescent="0.15">
      <c r="A5115" s="12"/>
      <c r="B5115" s="12"/>
    </row>
    <row r="5116" spans="1:2" ht="13" x14ac:dyDescent="0.15">
      <c r="A5116" s="12"/>
      <c r="B5116" s="12"/>
    </row>
    <row r="5117" spans="1:2" ht="13" x14ac:dyDescent="0.15">
      <c r="A5117" s="12"/>
      <c r="B5117" s="12"/>
    </row>
    <row r="5118" spans="1:2" ht="13" x14ac:dyDescent="0.15">
      <c r="A5118" s="12"/>
      <c r="B5118" s="12"/>
    </row>
    <row r="5119" spans="1:2" ht="13" x14ac:dyDescent="0.15">
      <c r="A5119" s="12"/>
      <c r="B5119" s="12"/>
    </row>
    <row r="5120" spans="1:2" ht="13" x14ac:dyDescent="0.15">
      <c r="A5120" s="12"/>
      <c r="B5120" s="12"/>
    </row>
    <row r="5121" spans="1:2" ht="13" x14ac:dyDescent="0.15">
      <c r="A5121" s="12"/>
      <c r="B5121" s="12"/>
    </row>
    <row r="5122" spans="1:2" ht="13" x14ac:dyDescent="0.15">
      <c r="A5122" s="12"/>
      <c r="B5122" s="12"/>
    </row>
    <row r="5123" spans="1:2" ht="13" x14ac:dyDescent="0.15">
      <c r="A5123" s="12"/>
      <c r="B5123" s="12"/>
    </row>
    <row r="5124" spans="1:2" ht="13" x14ac:dyDescent="0.15">
      <c r="A5124" s="12"/>
      <c r="B5124" s="12"/>
    </row>
    <row r="5125" spans="1:2" ht="13" x14ac:dyDescent="0.15">
      <c r="A5125" s="12"/>
      <c r="B5125" s="12"/>
    </row>
    <row r="5126" spans="1:2" ht="13" x14ac:dyDescent="0.15">
      <c r="A5126" s="12"/>
      <c r="B5126" s="12"/>
    </row>
    <row r="5127" spans="1:2" ht="13" x14ac:dyDescent="0.15">
      <c r="A5127" s="12"/>
      <c r="B5127" s="12"/>
    </row>
    <row r="5128" spans="1:2" ht="13" x14ac:dyDescent="0.15">
      <c r="A5128" s="12"/>
      <c r="B5128" s="12"/>
    </row>
    <row r="5129" spans="1:2" ht="13" x14ac:dyDescent="0.15">
      <c r="A5129" s="12"/>
      <c r="B5129" s="12"/>
    </row>
    <row r="5130" spans="1:2" ht="13" x14ac:dyDescent="0.15">
      <c r="A5130" s="12"/>
      <c r="B5130" s="12"/>
    </row>
    <row r="5131" spans="1:2" ht="13" x14ac:dyDescent="0.15">
      <c r="A5131" s="12"/>
      <c r="B5131" s="12"/>
    </row>
    <row r="5132" spans="1:2" ht="13" x14ac:dyDescent="0.15">
      <c r="A5132" s="12"/>
      <c r="B5132" s="12"/>
    </row>
    <row r="5133" spans="1:2" ht="13" x14ac:dyDescent="0.15">
      <c r="A5133" s="12"/>
      <c r="B5133" s="12"/>
    </row>
    <row r="5134" spans="1:2" ht="13" x14ac:dyDescent="0.15">
      <c r="A5134" s="12"/>
      <c r="B5134" s="12"/>
    </row>
    <row r="5135" spans="1:2" ht="13" x14ac:dyDescent="0.15">
      <c r="A5135" s="12"/>
      <c r="B5135" s="12"/>
    </row>
    <row r="5136" spans="1:2" ht="13" x14ac:dyDescent="0.15">
      <c r="A5136" s="12"/>
      <c r="B5136" s="12"/>
    </row>
    <row r="5137" spans="1:2" ht="13" x14ac:dyDescent="0.15">
      <c r="A5137" s="12"/>
      <c r="B5137" s="12"/>
    </row>
    <row r="5138" spans="1:2" ht="13" x14ac:dyDescent="0.15">
      <c r="A5138" s="12"/>
      <c r="B5138" s="12"/>
    </row>
    <row r="5139" spans="1:2" ht="13" x14ac:dyDescent="0.15">
      <c r="A5139" s="12"/>
      <c r="B5139" s="12"/>
    </row>
    <row r="5140" spans="1:2" ht="13" x14ac:dyDescent="0.15">
      <c r="A5140" s="12"/>
      <c r="B5140" s="12"/>
    </row>
    <row r="5141" spans="1:2" ht="13" x14ac:dyDescent="0.15">
      <c r="A5141" s="12"/>
      <c r="B5141" s="12"/>
    </row>
    <row r="5142" spans="1:2" ht="13" x14ac:dyDescent="0.15">
      <c r="A5142" s="12"/>
      <c r="B5142" s="12"/>
    </row>
    <row r="5143" spans="1:2" ht="13" x14ac:dyDescent="0.15">
      <c r="A5143" s="12"/>
      <c r="B5143" s="12"/>
    </row>
    <row r="5144" spans="1:2" ht="13" x14ac:dyDescent="0.15">
      <c r="A5144" s="12"/>
      <c r="B5144" s="12"/>
    </row>
    <row r="5145" spans="1:2" ht="13" x14ac:dyDescent="0.15">
      <c r="A5145" s="12"/>
      <c r="B5145" s="12"/>
    </row>
    <row r="5146" spans="1:2" ht="13" x14ac:dyDescent="0.15">
      <c r="A5146" s="12"/>
      <c r="B5146" s="12"/>
    </row>
    <row r="5147" spans="1:2" ht="13" x14ac:dyDescent="0.15">
      <c r="A5147" s="12"/>
      <c r="B5147" s="12"/>
    </row>
    <row r="5148" spans="1:2" ht="13" x14ac:dyDescent="0.15">
      <c r="A5148" s="12"/>
      <c r="B5148" s="12"/>
    </row>
    <row r="5149" spans="1:2" ht="13" x14ac:dyDescent="0.15">
      <c r="A5149" s="12"/>
      <c r="B5149" s="12"/>
    </row>
    <row r="5150" spans="1:2" ht="13" x14ac:dyDescent="0.15">
      <c r="A5150" s="12"/>
      <c r="B5150" s="12"/>
    </row>
    <row r="5151" spans="1:2" ht="13" x14ac:dyDescent="0.15">
      <c r="A5151" s="12"/>
      <c r="B5151" s="12"/>
    </row>
    <row r="5152" spans="1:2" ht="13" x14ac:dyDescent="0.15">
      <c r="A5152" s="12"/>
      <c r="B5152" s="12"/>
    </row>
    <row r="5153" spans="1:2" ht="13" x14ac:dyDescent="0.15">
      <c r="A5153" s="12"/>
      <c r="B5153" s="12"/>
    </row>
    <row r="5154" spans="1:2" ht="13" x14ac:dyDescent="0.15">
      <c r="A5154" s="12"/>
      <c r="B5154" s="12"/>
    </row>
    <row r="5155" spans="1:2" ht="13" x14ac:dyDescent="0.15">
      <c r="A5155" s="12"/>
      <c r="B5155" s="12"/>
    </row>
    <row r="5156" spans="1:2" ht="13" x14ac:dyDescent="0.15">
      <c r="A5156" s="12"/>
      <c r="B5156" s="12"/>
    </row>
    <row r="5157" spans="1:2" ht="13" x14ac:dyDescent="0.15">
      <c r="A5157" s="12"/>
      <c r="B5157" s="12"/>
    </row>
    <row r="5158" spans="1:2" ht="13" x14ac:dyDescent="0.15">
      <c r="A5158" s="12"/>
      <c r="B5158" s="12"/>
    </row>
    <row r="5159" spans="1:2" ht="13" x14ac:dyDescent="0.15">
      <c r="A5159" s="12"/>
      <c r="B5159" s="12"/>
    </row>
    <row r="5160" spans="1:2" ht="13" x14ac:dyDescent="0.15">
      <c r="A5160" s="12"/>
      <c r="B5160" s="12"/>
    </row>
    <row r="5161" spans="1:2" ht="13" x14ac:dyDescent="0.15">
      <c r="A5161" s="12"/>
      <c r="B5161" s="12"/>
    </row>
    <row r="5162" spans="1:2" ht="13" x14ac:dyDescent="0.15">
      <c r="A5162" s="12"/>
      <c r="B5162" s="12"/>
    </row>
    <row r="5163" spans="1:2" ht="13" x14ac:dyDescent="0.15">
      <c r="A5163" s="12"/>
      <c r="B5163" s="12"/>
    </row>
    <row r="5164" spans="1:2" ht="13" x14ac:dyDescent="0.15">
      <c r="A5164" s="12"/>
      <c r="B5164" s="12"/>
    </row>
    <row r="5165" spans="1:2" ht="13" x14ac:dyDescent="0.15">
      <c r="A5165" s="12"/>
      <c r="B5165" s="12"/>
    </row>
    <row r="5166" spans="1:2" ht="13" x14ac:dyDescent="0.15">
      <c r="A5166" s="12"/>
      <c r="B5166" s="12"/>
    </row>
    <row r="5167" spans="1:2" ht="13" x14ac:dyDescent="0.15">
      <c r="A5167" s="12"/>
      <c r="B5167" s="12"/>
    </row>
    <row r="5168" spans="1:2" ht="13" x14ac:dyDescent="0.15">
      <c r="A5168" s="12"/>
      <c r="B5168" s="12"/>
    </row>
    <row r="5169" spans="1:2" ht="13" x14ac:dyDescent="0.15">
      <c r="A5169" s="12"/>
      <c r="B5169" s="12"/>
    </row>
    <row r="5170" spans="1:2" ht="13" x14ac:dyDescent="0.15">
      <c r="A5170" s="12"/>
      <c r="B5170" s="12"/>
    </row>
    <row r="5171" spans="1:2" ht="13" x14ac:dyDescent="0.15">
      <c r="A5171" s="12"/>
      <c r="B5171" s="12"/>
    </row>
    <row r="5172" spans="1:2" ht="13" x14ac:dyDescent="0.15">
      <c r="A5172" s="12"/>
      <c r="B5172" s="12"/>
    </row>
    <row r="5173" spans="1:2" ht="13" x14ac:dyDescent="0.15">
      <c r="A5173" s="12"/>
      <c r="B5173" s="12"/>
    </row>
    <row r="5174" spans="1:2" ht="13" x14ac:dyDescent="0.15">
      <c r="A5174" s="12"/>
      <c r="B5174" s="12"/>
    </row>
    <row r="5175" spans="1:2" ht="13" x14ac:dyDescent="0.15">
      <c r="A5175" s="12"/>
      <c r="B5175" s="12"/>
    </row>
    <row r="5176" spans="1:2" ht="13" x14ac:dyDescent="0.15">
      <c r="A5176" s="12"/>
      <c r="B5176" s="12"/>
    </row>
    <row r="5177" spans="1:2" ht="13" x14ac:dyDescent="0.15">
      <c r="A5177" s="12"/>
      <c r="B5177" s="12"/>
    </row>
    <row r="5178" spans="1:2" ht="13" x14ac:dyDescent="0.15">
      <c r="A5178" s="12"/>
      <c r="B5178" s="12"/>
    </row>
    <row r="5179" spans="1:2" ht="13" x14ac:dyDescent="0.15">
      <c r="A5179" s="12"/>
      <c r="B5179" s="12"/>
    </row>
    <row r="5180" spans="1:2" ht="13" x14ac:dyDescent="0.15">
      <c r="A5180" s="12"/>
      <c r="B5180" s="12"/>
    </row>
    <row r="5181" spans="1:2" ht="13" x14ac:dyDescent="0.15">
      <c r="A5181" s="12"/>
      <c r="B5181" s="12"/>
    </row>
    <row r="5182" spans="1:2" ht="13" x14ac:dyDescent="0.15">
      <c r="A5182" s="12"/>
      <c r="B5182" s="12"/>
    </row>
    <row r="5183" spans="1:2" ht="13" x14ac:dyDescent="0.15">
      <c r="A5183" s="12"/>
      <c r="B5183" s="12"/>
    </row>
    <row r="5184" spans="1:2" ht="13" x14ac:dyDescent="0.15">
      <c r="A5184" s="12"/>
      <c r="B5184" s="12"/>
    </row>
    <row r="5185" spans="1:2" ht="13" x14ac:dyDescent="0.15">
      <c r="A5185" s="12"/>
      <c r="B5185" s="12"/>
    </row>
    <row r="5186" spans="1:2" ht="13" x14ac:dyDescent="0.15">
      <c r="A5186" s="12"/>
      <c r="B5186" s="12"/>
    </row>
    <row r="5187" spans="1:2" ht="13" x14ac:dyDescent="0.15">
      <c r="A5187" s="12"/>
      <c r="B5187" s="12"/>
    </row>
    <row r="5188" spans="1:2" ht="13" x14ac:dyDescent="0.15">
      <c r="A5188" s="12"/>
      <c r="B5188" s="12"/>
    </row>
    <row r="5189" spans="1:2" ht="13" x14ac:dyDescent="0.15">
      <c r="A5189" s="12"/>
      <c r="B5189" s="12"/>
    </row>
    <row r="5190" spans="1:2" ht="13" x14ac:dyDescent="0.15">
      <c r="A5190" s="12"/>
      <c r="B5190" s="12"/>
    </row>
    <row r="5191" spans="1:2" ht="13" x14ac:dyDescent="0.15">
      <c r="A5191" s="12"/>
      <c r="B5191" s="12"/>
    </row>
    <row r="5192" spans="1:2" ht="13" x14ac:dyDescent="0.15">
      <c r="A5192" s="12"/>
      <c r="B5192" s="12"/>
    </row>
    <row r="5193" spans="1:2" ht="13" x14ac:dyDescent="0.15">
      <c r="A5193" s="12"/>
      <c r="B5193" s="12"/>
    </row>
    <row r="5194" spans="1:2" ht="13" x14ac:dyDescent="0.15">
      <c r="A5194" s="12"/>
      <c r="B5194" s="12"/>
    </row>
    <row r="5195" spans="1:2" ht="13" x14ac:dyDescent="0.15">
      <c r="A5195" s="12"/>
      <c r="B5195" s="12"/>
    </row>
    <row r="5196" spans="1:2" ht="13" x14ac:dyDescent="0.15">
      <c r="A5196" s="12"/>
      <c r="B5196" s="12"/>
    </row>
    <row r="5197" spans="1:2" ht="13" x14ac:dyDescent="0.15">
      <c r="A5197" s="12"/>
      <c r="B5197" s="12"/>
    </row>
    <row r="5198" spans="1:2" ht="13" x14ac:dyDescent="0.15">
      <c r="A5198" s="12"/>
      <c r="B5198" s="12"/>
    </row>
    <row r="5199" spans="1:2" ht="13" x14ac:dyDescent="0.15">
      <c r="A5199" s="12"/>
      <c r="B5199" s="12"/>
    </row>
    <row r="5200" spans="1:2" ht="13" x14ac:dyDescent="0.15">
      <c r="A5200" s="12"/>
      <c r="B5200" s="12"/>
    </row>
    <row r="5201" spans="1:2" ht="13" x14ac:dyDescent="0.15">
      <c r="A5201" s="12"/>
      <c r="B5201" s="12"/>
    </row>
    <row r="5202" spans="1:2" ht="13" x14ac:dyDescent="0.15">
      <c r="A5202" s="12"/>
      <c r="B5202" s="12"/>
    </row>
    <row r="5203" spans="1:2" ht="13" x14ac:dyDescent="0.15">
      <c r="A5203" s="12"/>
      <c r="B5203" s="12"/>
    </row>
    <row r="5204" spans="1:2" ht="13" x14ac:dyDescent="0.15">
      <c r="A5204" s="12"/>
      <c r="B5204" s="12"/>
    </row>
    <row r="5205" spans="1:2" ht="13" x14ac:dyDescent="0.15">
      <c r="A5205" s="12"/>
      <c r="B5205" s="12"/>
    </row>
    <row r="5206" spans="1:2" ht="13" x14ac:dyDescent="0.15">
      <c r="A5206" s="12"/>
      <c r="B5206" s="12"/>
    </row>
    <row r="5207" spans="1:2" ht="13" x14ac:dyDescent="0.15">
      <c r="A5207" s="12"/>
      <c r="B5207" s="12"/>
    </row>
    <row r="5208" spans="1:2" ht="13" x14ac:dyDescent="0.15">
      <c r="A5208" s="12"/>
      <c r="B5208" s="12"/>
    </row>
    <row r="5209" spans="1:2" ht="13" x14ac:dyDescent="0.15">
      <c r="A5209" s="12"/>
      <c r="B5209" s="12"/>
    </row>
    <row r="5210" spans="1:2" ht="13" x14ac:dyDescent="0.15">
      <c r="A5210" s="12"/>
      <c r="B5210" s="12"/>
    </row>
    <row r="5211" spans="1:2" ht="13" x14ac:dyDescent="0.15">
      <c r="A5211" s="12"/>
      <c r="B5211" s="12"/>
    </row>
    <row r="5212" spans="1:2" ht="13" x14ac:dyDescent="0.15">
      <c r="A5212" s="12"/>
      <c r="B5212" s="12"/>
    </row>
    <row r="5213" spans="1:2" ht="13" x14ac:dyDescent="0.15">
      <c r="A5213" s="12"/>
      <c r="B5213" s="12"/>
    </row>
    <row r="5214" spans="1:2" ht="13" x14ac:dyDescent="0.15">
      <c r="A5214" s="12"/>
      <c r="B5214" s="12"/>
    </row>
    <row r="5215" spans="1:2" ht="13" x14ac:dyDescent="0.15">
      <c r="A5215" s="12"/>
      <c r="B5215" s="12"/>
    </row>
    <row r="5216" spans="1:2" ht="13" x14ac:dyDescent="0.15">
      <c r="A5216" s="12"/>
      <c r="B5216" s="12"/>
    </row>
    <row r="5217" spans="1:2" ht="13" x14ac:dyDescent="0.15">
      <c r="A5217" s="12"/>
      <c r="B5217" s="12"/>
    </row>
    <row r="5218" spans="1:2" ht="13" x14ac:dyDescent="0.15">
      <c r="A5218" s="12"/>
      <c r="B5218" s="12"/>
    </row>
    <row r="5219" spans="1:2" ht="13" x14ac:dyDescent="0.15">
      <c r="A5219" s="12"/>
      <c r="B5219" s="12"/>
    </row>
    <row r="5220" spans="1:2" ht="13" x14ac:dyDescent="0.15">
      <c r="A5220" s="12"/>
      <c r="B5220" s="12"/>
    </row>
    <row r="5221" spans="1:2" ht="13" x14ac:dyDescent="0.15">
      <c r="A5221" s="12"/>
      <c r="B5221" s="12"/>
    </row>
    <row r="5222" spans="1:2" ht="13" x14ac:dyDescent="0.15">
      <c r="A5222" s="12"/>
      <c r="B5222" s="12"/>
    </row>
    <row r="5223" spans="1:2" ht="13" x14ac:dyDescent="0.15">
      <c r="A5223" s="12"/>
      <c r="B5223" s="12"/>
    </row>
    <row r="5224" spans="1:2" ht="13" x14ac:dyDescent="0.15">
      <c r="A5224" s="12"/>
      <c r="B5224" s="12"/>
    </row>
    <row r="5225" spans="1:2" ht="13" x14ac:dyDescent="0.15">
      <c r="A5225" s="12"/>
      <c r="B5225" s="12"/>
    </row>
    <row r="5226" spans="1:2" ht="13" x14ac:dyDescent="0.15">
      <c r="A5226" s="12"/>
      <c r="B5226" s="12"/>
    </row>
    <row r="5227" spans="1:2" ht="13" x14ac:dyDescent="0.15">
      <c r="A5227" s="12"/>
      <c r="B5227" s="12"/>
    </row>
    <row r="5228" spans="1:2" ht="13" x14ac:dyDescent="0.15">
      <c r="A5228" s="12"/>
      <c r="B5228" s="12"/>
    </row>
    <row r="5229" spans="1:2" ht="13" x14ac:dyDescent="0.15">
      <c r="A5229" s="12"/>
      <c r="B5229" s="12"/>
    </row>
    <row r="5230" spans="1:2" ht="13" x14ac:dyDescent="0.15">
      <c r="A5230" s="12"/>
      <c r="B5230" s="12"/>
    </row>
    <row r="5231" spans="1:2" ht="13" x14ac:dyDescent="0.15">
      <c r="A5231" s="12"/>
      <c r="B5231" s="12"/>
    </row>
    <row r="5232" spans="1:2" ht="13" x14ac:dyDescent="0.15">
      <c r="A5232" s="12"/>
      <c r="B5232" s="12"/>
    </row>
    <row r="5233" spans="1:2" ht="13" x14ac:dyDescent="0.15">
      <c r="A5233" s="12"/>
      <c r="B5233" s="12"/>
    </row>
    <row r="5234" spans="1:2" ht="13" x14ac:dyDescent="0.15">
      <c r="A5234" s="12"/>
      <c r="B5234" s="12"/>
    </row>
    <row r="5235" spans="1:2" ht="13" x14ac:dyDescent="0.15">
      <c r="A5235" s="12"/>
      <c r="B5235" s="12"/>
    </row>
    <row r="5236" spans="1:2" ht="13" x14ac:dyDescent="0.15">
      <c r="A5236" s="12"/>
      <c r="B5236" s="12"/>
    </row>
    <row r="5237" spans="1:2" ht="13" x14ac:dyDescent="0.15">
      <c r="A5237" s="12"/>
      <c r="B5237" s="12"/>
    </row>
    <row r="5238" spans="1:2" ht="13" x14ac:dyDescent="0.15">
      <c r="A5238" s="12"/>
      <c r="B5238" s="12"/>
    </row>
    <row r="5239" spans="1:2" ht="13" x14ac:dyDescent="0.15">
      <c r="A5239" s="12"/>
      <c r="B5239" s="12"/>
    </row>
    <row r="5240" spans="1:2" ht="13" x14ac:dyDescent="0.15">
      <c r="A5240" s="12"/>
      <c r="B5240" s="12"/>
    </row>
    <row r="5241" spans="1:2" ht="13" x14ac:dyDescent="0.15">
      <c r="A5241" s="12"/>
      <c r="B5241" s="12"/>
    </row>
    <row r="5242" spans="1:2" ht="13" x14ac:dyDescent="0.15">
      <c r="A5242" s="12"/>
      <c r="B5242" s="12"/>
    </row>
    <row r="5243" spans="1:2" ht="13" x14ac:dyDescent="0.15">
      <c r="A5243" s="12"/>
      <c r="B5243" s="12"/>
    </row>
    <row r="5244" spans="1:2" ht="13" x14ac:dyDescent="0.15">
      <c r="A5244" s="12"/>
      <c r="B5244" s="12"/>
    </row>
    <row r="5245" spans="1:2" ht="13" x14ac:dyDescent="0.15">
      <c r="A5245" s="12"/>
      <c r="B5245" s="12"/>
    </row>
    <row r="5246" spans="1:2" ht="13" x14ac:dyDescent="0.15">
      <c r="A5246" s="12"/>
      <c r="B5246" s="12"/>
    </row>
    <row r="5247" spans="1:2" ht="13" x14ac:dyDescent="0.15">
      <c r="A5247" s="12"/>
      <c r="B5247" s="12"/>
    </row>
    <row r="5248" spans="1:2" ht="13" x14ac:dyDescent="0.15">
      <c r="A5248" s="12"/>
      <c r="B5248" s="12"/>
    </row>
    <row r="5249" spans="1:2" ht="13" x14ac:dyDescent="0.15">
      <c r="A5249" s="12"/>
      <c r="B5249" s="12"/>
    </row>
    <row r="5250" spans="1:2" ht="13" x14ac:dyDescent="0.15">
      <c r="A5250" s="12"/>
      <c r="B5250" s="12"/>
    </row>
    <row r="5251" spans="1:2" ht="13" x14ac:dyDescent="0.15">
      <c r="A5251" s="12"/>
      <c r="B5251" s="12"/>
    </row>
    <row r="5252" spans="1:2" ht="13" x14ac:dyDescent="0.15">
      <c r="A5252" s="12"/>
      <c r="B5252" s="12"/>
    </row>
    <row r="5253" spans="1:2" ht="13" x14ac:dyDescent="0.15">
      <c r="A5253" s="12"/>
      <c r="B5253" s="12"/>
    </row>
    <row r="5254" spans="1:2" ht="13" x14ac:dyDescent="0.15">
      <c r="A5254" s="12"/>
      <c r="B5254" s="12"/>
    </row>
    <row r="5255" spans="1:2" ht="13" x14ac:dyDescent="0.15">
      <c r="A5255" s="12"/>
      <c r="B5255" s="12"/>
    </row>
    <row r="5256" spans="1:2" ht="13" x14ac:dyDescent="0.15">
      <c r="A5256" s="12"/>
      <c r="B5256" s="12"/>
    </row>
    <row r="5257" spans="1:2" ht="13" x14ac:dyDescent="0.15">
      <c r="A5257" s="12"/>
      <c r="B5257" s="12"/>
    </row>
    <row r="5258" spans="1:2" ht="13" x14ac:dyDescent="0.15">
      <c r="A5258" s="12"/>
      <c r="B5258" s="12"/>
    </row>
    <row r="5259" spans="1:2" ht="13" x14ac:dyDescent="0.15">
      <c r="A5259" s="12"/>
      <c r="B5259" s="12"/>
    </row>
    <row r="5260" spans="1:2" ht="13" x14ac:dyDescent="0.15">
      <c r="A5260" s="12"/>
      <c r="B5260" s="12"/>
    </row>
    <row r="5261" spans="1:2" ht="13" x14ac:dyDescent="0.15">
      <c r="A5261" s="12"/>
      <c r="B5261" s="12"/>
    </row>
    <row r="5262" spans="1:2" ht="13" x14ac:dyDescent="0.15">
      <c r="A5262" s="12"/>
      <c r="B5262" s="12"/>
    </row>
    <row r="5263" spans="1:2" ht="13" x14ac:dyDescent="0.15">
      <c r="A5263" s="12"/>
      <c r="B5263" s="12"/>
    </row>
    <row r="5264" spans="1:2" ht="13" x14ac:dyDescent="0.15">
      <c r="A5264" s="12"/>
      <c r="B5264" s="12"/>
    </row>
    <row r="5265" spans="1:2" ht="13" x14ac:dyDescent="0.15">
      <c r="A5265" s="12"/>
      <c r="B5265" s="12"/>
    </row>
    <row r="5266" spans="1:2" ht="13" x14ac:dyDescent="0.15">
      <c r="A5266" s="12"/>
      <c r="B5266" s="12"/>
    </row>
    <row r="5267" spans="1:2" ht="13" x14ac:dyDescent="0.15">
      <c r="A5267" s="12"/>
      <c r="B5267" s="12"/>
    </row>
    <row r="5268" spans="1:2" ht="13" x14ac:dyDescent="0.15">
      <c r="A5268" s="12"/>
      <c r="B5268" s="12"/>
    </row>
    <row r="5269" spans="1:2" ht="13" x14ac:dyDescent="0.15">
      <c r="A5269" s="12"/>
      <c r="B5269" s="12"/>
    </row>
    <row r="5270" spans="1:2" ht="13" x14ac:dyDescent="0.15">
      <c r="A5270" s="12"/>
      <c r="B5270" s="12"/>
    </row>
    <row r="5271" spans="1:2" ht="13" x14ac:dyDescent="0.15">
      <c r="A5271" s="12"/>
      <c r="B5271" s="12"/>
    </row>
    <row r="5272" spans="1:2" ht="13" x14ac:dyDescent="0.15">
      <c r="A5272" s="12"/>
      <c r="B5272" s="12"/>
    </row>
    <row r="5273" spans="1:2" ht="13" x14ac:dyDescent="0.15">
      <c r="A5273" s="12"/>
      <c r="B5273" s="12"/>
    </row>
    <row r="5274" spans="1:2" ht="13" x14ac:dyDescent="0.15">
      <c r="A5274" s="12"/>
      <c r="B5274" s="12"/>
    </row>
    <row r="5275" spans="1:2" ht="13" x14ac:dyDescent="0.15">
      <c r="A5275" s="12"/>
      <c r="B5275" s="12"/>
    </row>
    <row r="5276" spans="1:2" ht="13" x14ac:dyDescent="0.15">
      <c r="A5276" s="12"/>
      <c r="B5276" s="12"/>
    </row>
    <row r="5277" spans="1:2" ht="13" x14ac:dyDescent="0.15">
      <c r="A5277" s="12"/>
      <c r="B5277" s="12"/>
    </row>
    <row r="5278" spans="1:2" ht="13" x14ac:dyDescent="0.15">
      <c r="A5278" s="12"/>
      <c r="B5278" s="12"/>
    </row>
    <row r="5279" spans="1:2" ht="13" x14ac:dyDescent="0.15">
      <c r="A5279" s="12"/>
      <c r="B5279" s="12"/>
    </row>
    <row r="5280" spans="1:2" ht="13" x14ac:dyDescent="0.15">
      <c r="A5280" s="12"/>
      <c r="B5280" s="12"/>
    </row>
    <row r="5281" spans="1:2" ht="13" x14ac:dyDescent="0.15">
      <c r="A5281" s="12"/>
      <c r="B5281" s="12"/>
    </row>
    <row r="5282" spans="1:2" ht="13" x14ac:dyDescent="0.15">
      <c r="A5282" s="12"/>
      <c r="B5282" s="12"/>
    </row>
    <row r="5283" spans="1:2" ht="13" x14ac:dyDescent="0.15">
      <c r="A5283" s="12"/>
      <c r="B5283" s="12"/>
    </row>
    <row r="5284" spans="1:2" ht="13" x14ac:dyDescent="0.15">
      <c r="A5284" s="12"/>
      <c r="B5284" s="12"/>
    </row>
    <row r="5285" spans="1:2" ht="13" x14ac:dyDescent="0.15">
      <c r="A5285" s="12"/>
      <c r="B5285" s="12"/>
    </row>
    <row r="5286" spans="1:2" ht="13" x14ac:dyDescent="0.15">
      <c r="A5286" s="12"/>
      <c r="B5286" s="12"/>
    </row>
    <row r="5287" spans="1:2" ht="13" x14ac:dyDescent="0.15">
      <c r="A5287" s="12"/>
      <c r="B5287" s="12"/>
    </row>
    <row r="5288" spans="1:2" ht="13" x14ac:dyDescent="0.15">
      <c r="A5288" s="12"/>
      <c r="B5288" s="12"/>
    </row>
    <row r="5289" spans="1:2" ht="13" x14ac:dyDescent="0.15">
      <c r="A5289" s="12"/>
      <c r="B5289" s="12"/>
    </row>
    <row r="5290" spans="1:2" ht="13" x14ac:dyDescent="0.15">
      <c r="A5290" s="12"/>
      <c r="B5290" s="12"/>
    </row>
    <row r="5291" spans="1:2" ht="13" x14ac:dyDescent="0.15">
      <c r="A5291" s="12"/>
      <c r="B5291" s="12"/>
    </row>
    <row r="5292" spans="1:2" ht="13" x14ac:dyDescent="0.15">
      <c r="A5292" s="12"/>
      <c r="B5292" s="12"/>
    </row>
    <row r="5293" spans="1:2" ht="13" x14ac:dyDescent="0.15">
      <c r="A5293" s="12"/>
      <c r="B5293" s="12"/>
    </row>
    <row r="5294" spans="1:2" ht="13" x14ac:dyDescent="0.15">
      <c r="A5294" s="12"/>
      <c r="B5294" s="12"/>
    </row>
    <row r="5295" spans="1:2" ht="13" x14ac:dyDescent="0.15">
      <c r="A5295" s="12"/>
      <c r="B5295" s="12"/>
    </row>
    <row r="5296" spans="1:2" ht="13" x14ac:dyDescent="0.15">
      <c r="A5296" s="12"/>
      <c r="B5296" s="12"/>
    </row>
    <row r="5297" spans="1:2" ht="13" x14ac:dyDescent="0.15">
      <c r="A5297" s="12"/>
      <c r="B5297" s="12"/>
    </row>
    <row r="5298" spans="1:2" ht="13" x14ac:dyDescent="0.15">
      <c r="A5298" s="12"/>
      <c r="B5298" s="12"/>
    </row>
    <row r="5299" spans="1:2" ht="13" x14ac:dyDescent="0.15">
      <c r="A5299" s="12"/>
      <c r="B5299" s="12"/>
    </row>
    <row r="5300" spans="1:2" ht="13" x14ac:dyDescent="0.15">
      <c r="A5300" s="12"/>
      <c r="B5300" s="12"/>
    </row>
    <row r="5301" spans="1:2" ht="13" x14ac:dyDescent="0.15">
      <c r="A5301" s="12"/>
      <c r="B5301" s="12"/>
    </row>
    <row r="5302" spans="1:2" ht="13" x14ac:dyDescent="0.15">
      <c r="A5302" s="12"/>
      <c r="B5302" s="12"/>
    </row>
    <row r="5303" spans="1:2" ht="13" x14ac:dyDescent="0.15">
      <c r="A5303" s="12"/>
      <c r="B5303" s="12"/>
    </row>
    <row r="5304" spans="1:2" ht="13" x14ac:dyDescent="0.15">
      <c r="A5304" s="12"/>
      <c r="B5304" s="12"/>
    </row>
    <row r="5305" spans="1:2" ht="13" x14ac:dyDescent="0.15">
      <c r="A5305" s="12"/>
      <c r="B5305" s="12"/>
    </row>
    <row r="5306" spans="1:2" ht="13" x14ac:dyDescent="0.15">
      <c r="A5306" s="12"/>
      <c r="B5306" s="12"/>
    </row>
    <row r="5307" spans="1:2" ht="13" x14ac:dyDescent="0.15">
      <c r="A5307" s="12"/>
      <c r="B5307" s="12"/>
    </row>
    <row r="5308" spans="1:2" ht="13" x14ac:dyDescent="0.15">
      <c r="A5308" s="12"/>
      <c r="B5308" s="12"/>
    </row>
    <row r="5309" spans="1:2" ht="13" x14ac:dyDescent="0.15">
      <c r="A5309" s="12"/>
      <c r="B5309" s="12"/>
    </row>
    <row r="5310" spans="1:2" ht="13" x14ac:dyDescent="0.15">
      <c r="A5310" s="12"/>
      <c r="B5310" s="12"/>
    </row>
    <row r="5311" spans="1:2" ht="13" x14ac:dyDescent="0.15">
      <c r="A5311" s="12"/>
      <c r="B5311" s="12"/>
    </row>
    <row r="5312" spans="1:2" ht="13" x14ac:dyDescent="0.15">
      <c r="A5312" s="12"/>
      <c r="B5312" s="12"/>
    </row>
    <row r="5313" spans="1:2" ht="13" x14ac:dyDescent="0.15">
      <c r="A5313" s="12"/>
      <c r="B5313" s="12"/>
    </row>
    <row r="5314" spans="1:2" ht="13" x14ac:dyDescent="0.15">
      <c r="A5314" s="12"/>
      <c r="B5314" s="12"/>
    </row>
    <row r="5315" spans="1:2" ht="13" x14ac:dyDescent="0.15">
      <c r="A5315" s="12"/>
      <c r="B5315" s="12"/>
    </row>
    <row r="5316" spans="1:2" ht="13" x14ac:dyDescent="0.15">
      <c r="A5316" s="12"/>
      <c r="B5316" s="12"/>
    </row>
    <row r="5317" spans="1:2" ht="13" x14ac:dyDescent="0.15">
      <c r="A5317" s="12"/>
      <c r="B5317" s="12"/>
    </row>
    <row r="5318" spans="1:2" ht="13" x14ac:dyDescent="0.15">
      <c r="A5318" s="12"/>
      <c r="B5318" s="12"/>
    </row>
    <row r="5319" spans="1:2" ht="13" x14ac:dyDescent="0.15">
      <c r="A5319" s="12"/>
      <c r="B5319" s="12"/>
    </row>
    <row r="5320" spans="1:2" ht="13" x14ac:dyDescent="0.15">
      <c r="A5320" s="12"/>
      <c r="B5320" s="12"/>
    </row>
    <row r="5321" spans="1:2" ht="13" x14ac:dyDescent="0.15">
      <c r="A5321" s="12"/>
      <c r="B5321" s="12"/>
    </row>
    <row r="5322" spans="1:2" ht="13" x14ac:dyDescent="0.15">
      <c r="A5322" s="12"/>
      <c r="B5322" s="12"/>
    </row>
    <row r="5323" spans="1:2" ht="13" x14ac:dyDescent="0.15">
      <c r="A5323" s="12"/>
      <c r="B5323" s="12"/>
    </row>
    <row r="5324" spans="1:2" ht="13" x14ac:dyDescent="0.15">
      <c r="A5324" s="12"/>
      <c r="B5324" s="12"/>
    </row>
    <row r="5325" spans="1:2" ht="13" x14ac:dyDescent="0.15">
      <c r="A5325" s="12"/>
      <c r="B5325" s="12"/>
    </row>
    <row r="5326" spans="1:2" ht="13" x14ac:dyDescent="0.15">
      <c r="A5326" s="12"/>
      <c r="B5326" s="12"/>
    </row>
    <row r="5327" spans="1:2" ht="13" x14ac:dyDescent="0.15">
      <c r="A5327" s="12"/>
      <c r="B5327" s="12"/>
    </row>
    <row r="5328" spans="1:2" ht="13" x14ac:dyDescent="0.15">
      <c r="A5328" s="12"/>
      <c r="B5328" s="12"/>
    </row>
    <row r="5329" spans="1:2" ht="13" x14ac:dyDescent="0.15">
      <c r="A5329" s="12"/>
      <c r="B5329" s="12"/>
    </row>
    <row r="5330" spans="1:2" ht="13" x14ac:dyDescent="0.15">
      <c r="A5330" s="12"/>
      <c r="B5330" s="12"/>
    </row>
    <row r="5331" spans="1:2" ht="13" x14ac:dyDescent="0.15">
      <c r="A5331" s="12"/>
      <c r="B5331" s="12"/>
    </row>
    <row r="5332" spans="1:2" ht="13" x14ac:dyDescent="0.15">
      <c r="A5332" s="12"/>
      <c r="B5332" s="12"/>
    </row>
    <row r="5333" spans="1:2" ht="13" x14ac:dyDescent="0.15">
      <c r="A5333" s="12"/>
      <c r="B5333" s="12"/>
    </row>
    <row r="5334" spans="1:2" ht="13" x14ac:dyDescent="0.15">
      <c r="A5334" s="12"/>
      <c r="B5334" s="12"/>
    </row>
    <row r="5335" spans="1:2" ht="13" x14ac:dyDescent="0.15">
      <c r="A5335" s="12"/>
      <c r="B5335" s="12"/>
    </row>
    <row r="5336" spans="1:2" ht="13" x14ac:dyDescent="0.15">
      <c r="A5336" s="12"/>
      <c r="B5336" s="12"/>
    </row>
    <row r="5337" spans="1:2" ht="13" x14ac:dyDescent="0.15">
      <c r="A5337" s="12"/>
      <c r="B5337" s="12"/>
    </row>
    <row r="5338" spans="1:2" ht="13" x14ac:dyDescent="0.15">
      <c r="A5338" s="12"/>
      <c r="B5338" s="12"/>
    </row>
    <row r="5339" spans="1:2" ht="13" x14ac:dyDescent="0.15">
      <c r="A5339" s="12"/>
      <c r="B5339" s="12"/>
    </row>
    <row r="5340" spans="1:2" ht="13" x14ac:dyDescent="0.15">
      <c r="A5340" s="12"/>
      <c r="B5340" s="12"/>
    </row>
    <row r="5341" spans="1:2" ht="13" x14ac:dyDescent="0.15">
      <c r="A5341" s="12"/>
      <c r="B5341" s="12"/>
    </row>
    <row r="5342" spans="1:2" ht="13" x14ac:dyDescent="0.15">
      <c r="A5342" s="12"/>
      <c r="B5342" s="12"/>
    </row>
    <row r="5343" spans="1:2" ht="13" x14ac:dyDescent="0.15">
      <c r="A5343" s="12"/>
      <c r="B5343" s="12"/>
    </row>
    <row r="5344" spans="1:2" ht="13" x14ac:dyDescent="0.15">
      <c r="A5344" s="12"/>
      <c r="B5344" s="12"/>
    </row>
    <row r="5345" spans="1:2" ht="13" x14ac:dyDescent="0.15">
      <c r="A5345" s="12"/>
      <c r="B5345" s="12"/>
    </row>
    <row r="5346" spans="1:2" ht="13" x14ac:dyDescent="0.15">
      <c r="A5346" s="12"/>
      <c r="B5346" s="12"/>
    </row>
    <row r="5347" spans="1:2" ht="13" x14ac:dyDescent="0.15">
      <c r="A5347" s="12"/>
      <c r="B5347" s="12"/>
    </row>
    <row r="5348" spans="1:2" ht="13" x14ac:dyDescent="0.15">
      <c r="A5348" s="12"/>
      <c r="B5348" s="12"/>
    </row>
    <row r="5349" spans="1:2" ht="13" x14ac:dyDescent="0.15">
      <c r="A5349" s="12"/>
      <c r="B5349" s="12"/>
    </row>
    <row r="5350" spans="1:2" ht="13" x14ac:dyDescent="0.15">
      <c r="A5350" s="12"/>
      <c r="B5350" s="12"/>
    </row>
    <row r="5351" spans="1:2" ht="13" x14ac:dyDescent="0.15">
      <c r="A5351" s="12"/>
      <c r="B5351" s="12"/>
    </row>
    <row r="5352" spans="1:2" ht="13" x14ac:dyDescent="0.15">
      <c r="A5352" s="12"/>
      <c r="B5352" s="12"/>
    </row>
    <row r="5353" spans="1:2" ht="13" x14ac:dyDescent="0.15">
      <c r="A5353" s="12"/>
      <c r="B5353" s="12"/>
    </row>
    <row r="5354" spans="1:2" ht="13" x14ac:dyDescent="0.15">
      <c r="A5354" s="12"/>
      <c r="B5354" s="12"/>
    </row>
    <row r="5355" spans="1:2" ht="13" x14ac:dyDescent="0.15">
      <c r="A5355" s="12"/>
      <c r="B5355" s="12"/>
    </row>
    <row r="5356" spans="1:2" ht="13" x14ac:dyDescent="0.15">
      <c r="A5356" s="12"/>
      <c r="B5356" s="12"/>
    </row>
    <row r="5357" spans="1:2" ht="13" x14ac:dyDescent="0.15">
      <c r="A5357" s="12"/>
      <c r="B5357" s="12"/>
    </row>
    <row r="5358" spans="1:2" ht="13" x14ac:dyDescent="0.15">
      <c r="A5358" s="12"/>
      <c r="B5358" s="12"/>
    </row>
    <row r="5359" spans="1:2" ht="13" x14ac:dyDescent="0.15">
      <c r="A5359" s="12"/>
      <c r="B5359" s="12"/>
    </row>
    <row r="5360" spans="1:2" ht="13" x14ac:dyDescent="0.15">
      <c r="A5360" s="12"/>
      <c r="B5360" s="12"/>
    </row>
    <row r="5361" spans="1:2" ht="13" x14ac:dyDescent="0.15">
      <c r="A5361" s="12"/>
      <c r="B5361" s="12"/>
    </row>
    <row r="5362" spans="1:2" ht="13" x14ac:dyDescent="0.15">
      <c r="A5362" s="12"/>
      <c r="B5362" s="12"/>
    </row>
    <row r="5363" spans="1:2" ht="13" x14ac:dyDescent="0.15">
      <c r="A5363" s="12"/>
      <c r="B5363" s="12"/>
    </row>
    <row r="5364" spans="1:2" ht="13" x14ac:dyDescent="0.15">
      <c r="A5364" s="12"/>
      <c r="B5364" s="12"/>
    </row>
    <row r="5365" spans="1:2" ht="13" x14ac:dyDescent="0.15">
      <c r="A5365" s="12"/>
      <c r="B5365" s="12"/>
    </row>
    <row r="5366" spans="1:2" ht="13" x14ac:dyDescent="0.15">
      <c r="A5366" s="12"/>
      <c r="B5366" s="12"/>
    </row>
    <row r="5367" spans="1:2" ht="13" x14ac:dyDescent="0.15">
      <c r="A5367" s="12"/>
      <c r="B5367" s="12"/>
    </row>
    <row r="5368" spans="1:2" ht="13" x14ac:dyDescent="0.15">
      <c r="A5368" s="12"/>
      <c r="B5368" s="12"/>
    </row>
    <row r="5369" spans="1:2" ht="13" x14ac:dyDescent="0.15">
      <c r="A5369" s="12"/>
      <c r="B5369" s="12"/>
    </row>
    <row r="5370" spans="1:2" ht="13" x14ac:dyDescent="0.15">
      <c r="A5370" s="12"/>
      <c r="B5370" s="12"/>
    </row>
    <row r="5371" spans="1:2" ht="13" x14ac:dyDescent="0.15">
      <c r="A5371" s="12"/>
      <c r="B5371" s="12"/>
    </row>
    <row r="5372" spans="1:2" ht="13" x14ac:dyDescent="0.15">
      <c r="A5372" s="12"/>
      <c r="B5372" s="12"/>
    </row>
    <row r="5373" spans="1:2" ht="13" x14ac:dyDescent="0.15">
      <c r="A5373" s="12"/>
      <c r="B5373" s="12"/>
    </row>
    <row r="5374" spans="1:2" ht="13" x14ac:dyDescent="0.15">
      <c r="A5374" s="12"/>
      <c r="B5374" s="12"/>
    </row>
    <row r="5375" spans="1:2" ht="13" x14ac:dyDescent="0.15">
      <c r="A5375" s="12"/>
      <c r="B5375" s="12"/>
    </row>
    <row r="5376" spans="1:2" ht="13" x14ac:dyDescent="0.15">
      <c r="A5376" s="12"/>
      <c r="B5376" s="12"/>
    </row>
    <row r="5377" spans="1:2" ht="13" x14ac:dyDescent="0.15">
      <c r="A5377" s="12"/>
      <c r="B5377" s="12"/>
    </row>
    <row r="5378" spans="1:2" ht="13" x14ac:dyDescent="0.15">
      <c r="A5378" s="12"/>
      <c r="B5378" s="12"/>
    </row>
    <row r="5379" spans="1:2" ht="13" x14ac:dyDescent="0.15">
      <c r="A5379" s="12"/>
      <c r="B5379" s="12"/>
    </row>
    <row r="5380" spans="1:2" ht="13" x14ac:dyDescent="0.15">
      <c r="A5380" s="12"/>
      <c r="B5380" s="12"/>
    </row>
    <row r="5381" spans="1:2" ht="13" x14ac:dyDescent="0.15">
      <c r="A5381" s="12"/>
      <c r="B5381" s="12"/>
    </row>
    <row r="5382" spans="1:2" ht="13" x14ac:dyDescent="0.15">
      <c r="A5382" s="12"/>
      <c r="B5382" s="12"/>
    </row>
    <row r="5383" spans="1:2" ht="13" x14ac:dyDescent="0.15">
      <c r="A5383" s="12"/>
      <c r="B5383" s="12"/>
    </row>
    <row r="5384" spans="1:2" ht="13" x14ac:dyDescent="0.15">
      <c r="A5384" s="12"/>
      <c r="B5384" s="12"/>
    </row>
    <row r="5385" spans="1:2" ht="13" x14ac:dyDescent="0.15">
      <c r="A5385" s="12"/>
      <c r="B5385" s="12"/>
    </row>
    <row r="5386" spans="1:2" ht="13" x14ac:dyDescent="0.15">
      <c r="A5386" s="12"/>
      <c r="B5386" s="12"/>
    </row>
    <row r="5387" spans="1:2" ht="13" x14ac:dyDescent="0.15">
      <c r="A5387" s="12"/>
      <c r="B5387" s="12"/>
    </row>
    <row r="5388" spans="1:2" ht="13" x14ac:dyDescent="0.15">
      <c r="A5388" s="12"/>
      <c r="B5388" s="12"/>
    </row>
    <row r="5389" spans="1:2" ht="13" x14ac:dyDescent="0.15">
      <c r="A5389" s="12"/>
      <c r="B5389" s="12"/>
    </row>
    <row r="5390" spans="1:2" ht="13" x14ac:dyDescent="0.15">
      <c r="A5390" s="12"/>
      <c r="B5390" s="12"/>
    </row>
    <row r="5391" spans="1:2" ht="13" x14ac:dyDescent="0.15">
      <c r="A5391" s="12"/>
      <c r="B5391" s="12"/>
    </row>
    <row r="5392" spans="1:2" ht="13" x14ac:dyDescent="0.15">
      <c r="A5392" s="12"/>
      <c r="B5392" s="12"/>
    </row>
    <row r="5393" spans="1:2" ht="13" x14ac:dyDescent="0.15">
      <c r="A5393" s="12"/>
      <c r="B5393" s="12"/>
    </row>
    <row r="5394" spans="1:2" ht="13" x14ac:dyDescent="0.15">
      <c r="A5394" s="12"/>
      <c r="B5394" s="12"/>
    </row>
    <row r="5395" spans="1:2" ht="13" x14ac:dyDescent="0.15">
      <c r="A5395" s="12"/>
      <c r="B5395" s="12"/>
    </row>
    <row r="5396" spans="1:2" ht="13" x14ac:dyDescent="0.15">
      <c r="A5396" s="12"/>
      <c r="B5396" s="12"/>
    </row>
    <row r="5397" spans="1:2" ht="13" x14ac:dyDescent="0.15">
      <c r="A5397" s="12"/>
      <c r="B5397" s="12"/>
    </row>
    <row r="5398" spans="1:2" ht="13" x14ac:dyDescent="0.15">
      <c r="A5398" s="12"/>
      <c r="B5398" s="12"/>
    </row>
    <row r="5399" spans="1:2" ht="13" x14ac:dyDescent="0.15">
      <c r="A5399" s="12"/>
      <c r="B5399" s="12"/>
    </row>
    <row r="5400" spans="1:2" ht="13" x14ac:dyDescent="0.15">
      <c r="A5400" s="12"/>
      <c r="B5400" s="12"/>
    </row>
    <row r="5401" spans="1:2" ht="13" x14ac:dyDescent="0.15">
      <c r="A5401" s="12"/>
      <c r="B5401" s="12"/>
    </row>
    <row r="5402" spans="1:2" ht="13" x14ac:dyDescent="0.15">
      <c r="A5402" s="12"/>
      <c r="B5402" s="12"/>
    </row>
    <row r="5403" spans="1:2" ht="13" x14ac:dyDescent="0.15">
      <c r="A5403" s="12"/>
      <c r="B5403" s="12"/>
    </row>
    <row r="5404" spans="1:2" ht="13" x14ac:dyDescent="0.15">
      <c r="A5404" s="12"/>
      <c r="B5404" s="12"/>
    </row>
    <row r="5405" spans="1:2" ht="13" x14ac:dyDescent="0.15">
      <c r="A5405" s="12"/>
      <c r="B5405" s="12"/>
    </row>
    <row r="5406" spans="1:2" ht="13" x14ac:dyDescent="0.15">
      <c r="A5406" s="12"/>
      <c r="B5406" s="12"/>
    </row>
    <row r="5407" spans="1:2" ht="13" x14ac:dyDescent="0.15">
      <c r="A5407" s="12"/>
      <c r="B5407" s="12"/>
    </row>
    <row r="5408" spans="1:2" ht="13" x14ac:dyDescent="0.15">
      <c r="A5408" s="12"/>
      <c r="B5408" s="12"/>
    </row>
    <row r="5409" spans="1:2" ht="13" x14ac:dyDescent="0.15">
      <c r="A5409" s="12"/>
      <c r="B5409" s="12"/>
    </row>
    <row r="5410" spans="1:2" ht="13" x14ac:dyDescent="0.15">
      <c r="A5410" s="12"/>
      <c r="B5410" s="12"/>
    </row>
    <row r="5411" spans="1:2" ht="13" x14ac:dyDescent="0.15">
      <c r="A5411" s="12"/>
      <c r="B5411" s="12"/>
    </row>
    <row r="5412" spans="1:2" ht="13" x14ac:dyDescent="0.15">
      <c r="A5412" s="12"/>
      <c r="B5412" s="12"/>
    </row>
    <row r="5413" spans="1:2" ht="13" x14ac:dyDescent="0.15">
      <c r="A5413" s="12"/>
      <c r="B5413" s="12"/>
    </row>
    <row r="5414" spans="1:2" ht="13" x14ac:dyDescent="0.15">
      <c r="A5414" s="12"/>
      <c r="B5414" s="12"/>
    </row>
    <row r="5415" spans="1:2" ht="13" x14ac:dyDescent="0.15">
      <c r="A5415" s="12"/>
      <c r="B5415" s="12"/>
    </row>
    <row r="5416" spans="1:2" ht="13" x14ac:dyDescent="0.15">
      <c r="A5416" s="12"/>
      <c r="B5416" s="12"/>
    </row>
    <row r="5417" spans="1:2" ht="13" x14ac:dyDescent="0.15">
      <c r="A5417" s="12"/>
      <c r="B5417" s="12"/>
    </row>
    <row r="5418" spans="1:2" ht="13" x14ac:dyDescent="0.15">
      <c r="A5418" s="12"/>
      <c r="B5418" s="12"/>
    </row>
    <row r="5419" spans="1:2" ht="13" x14ac:dyDescent="0.15">
      <c r="A5419" s="12"/>
      <c r="B5419" s="12"/>
    </row>
    <row r="5420" spans="1:2" ht="13" x14ac:dyDescent="0.15">
      <c r="A5420" s="12"/>
      <c r="B5420" s="12"/>
    </row>
    <row r="5421" spans="1:2" ht="13" x14ac:dyDescent="0.15">
      <c r="A5421" s="12"/>
      <c r="B5421" s="12"/>
    </row>
    <row r="5422" spans="1:2" ht="13" x14ac:dyDescent="0.15">
      <c r="A5422" s="12"/>
      <c r="B5422" s="12"/>
    </row>
    <row r="5423" spans="1:2" ht="13" x14ac:dyDescent="0.15">
      <c r="A5423" s="12"/>
      <c r="B5423" s="12"/>
    </row>
    <row r="5424" spans="1:2" ht="13" x14ac:dyDescent="0.15">
      <c r="A5424" s="12"/>
      <c r="B5424" s="12"/>
    </row>
    <row r="5425" spans="1:2" ht="13" x14ac:dyDescent="0.15">
      <c r="A5425" s="12"/>
      <c r="B5425" s="12"/>
    </row>
    <row r="5426" spans="1:2" ht="13" x14ac:dyDescent="0.15">
      <c r="A5426" s="12"/>
      <c r="B5426" s="12"/>
    </row>
    <row r="5427" spans="1:2" ht="13" x14ac:dyDescent="0.15">
      <c r="A5427" s="12"/>
      <c r="B5427" s="12"/>
    </row>
    <row r="5428" spans="1:2" ht="13" x14ac:dyDescent="0.15">
      <c r="A5428" s="12"/>
      <c r="B5428" s="12"/>
    </row>
    <row r="5429" spans="1:2" ht="13" x14ac:dyDescent="0.15">
      <c r="A5429" s="12"/>
      <c r="B5429" s="12"/>
    </row>
    <row r="5430" spans="1:2" ht="13" x14ac:dyDescent="0.15">
      <c r="A5430" s="12"/>
      <c r="B5430" s="12"/>
    </row>
    <row r="5431" spans="1:2" ht="13" x14ac:dyDescent="0.15">
      <c r="A5431" s="12"/>
      <c r="B5431" s="12"/>
    </row>
    <row r="5432" spans="1:2" ht="13" x14ac:dyDescent="0.15">
      <c r="A5432" s="12"/>
      <c r="B5432" s="12"/>
    </row>
    <row r="5433" spans="1:2" ht="13" x14ac:dyDescent="0.15">
      <c r="A5433" s="12"/>
      <c r="B5433" s="12"/>
    </row>
    <row r="5434" spans="1:2" ht="13" x14ac:dyDescent="0.15">
      <c r="A5434" s="12"/>
      <c r="B5434" s="12"/>
    </row>
    <row r="5435" spans="1:2" ht="13" x14ac:dyDescent="0.15">
      <c r="A5435" s="12"/>
      <c r="B5435" s="12"/>
    </row>
    <row r="5436" spans="1:2" ht="13" x14ac:dyDescent="0.15">
      <c r="A5436" s="12"/>
      <c r="B5436" s="12"/>
    </row>
    <row r="5437" spans="1:2" ht="13" x14ac:dyDescent="0.15">
      <c r="A5437" s="12"/>
      <c r="B5437" s="12"/>
    </row>
    <row r="5438" spans="1:2" ht="13" x14ac:dyDescent="0.15">
      <c r="A5438" s="12"/>
      <c r="B5438" s="12"/>
    </row>
    <row r="5439" spans="1:2" ht="13" x14ac:dyDescent="0.15">
      <c r="A5439" s="12"/>
      <c r="B5439" s="12"/>
    </row>
    <row r="5440" spans="1:2" ht="13" x14ac:dyDescent="0.15">
      <c r="A5440" s="12"/>
      <c r="B5440" s="12"/>
    </row>
    <row r="5441" spans="1:2" ht="13" x14ac:dyDescent="0.15">
      <c r="A5441" s="12"/>
      <c r="B5441" s="12"/>
    </row>
    <row r="5442" spans="1:2" ht="13" x14ac:dyDescent="0.15">
      <c r="A5442" s="12"/>
      <c r="B5442" s="12"/>
    </row>
    <row r="5443" spans="1:2" ht="13" x14ac:dyDescent="0.15">
      <c r="A5443" s="12"/>
      <c r="B5443" s="12"/>
    </row>
    <row r="5444" spans="1:2" ht="13" x14ac:dyDescent="0.15">
      <c r="A5444" s="12"/>
      <c r="B5444" s="12"/>
    </row>
    <row r="5445" spans="1:2" ht="13" x14ac:dyDescent="0.15">
      <c r="A5445" s="12"/>
      <c r="B5445" s="12"/>
    </row>
    <row r="5446" spans="1:2" ht="13" x14ac:dyDescent="0.15">
      <c r="A5446" s="12"/>
      <c r="B5446" s="12"/>
    </row>
    <row r="5447" spans="1:2" ht="13" x14ac:dyDescent="0.15">
      <c r="A5447" s="12"/>
      <c r="B5447" s="12"/>
    </row>
    <row r="5448" spans="1:2" ht="13" x14ac:dyDescent="0.15">
      <c r="A5448" s="12"/>
      <c r="B5448" s="12"/>
    </row>
    <row r="5449" spans="1:2" ht="13" x14ac:dyDescent="0.15">
      <c r="A5449" s="12"/>
      <c r="B5449" s="12"/>
    </row>
    <row r="5450" spans="1:2" ht="13" x14ac:dyDescent="0.15">
      <c r="A5450" s="12"/>
      <c r="B5450" s="12"/>
    </row>
    <row r="5451" spans="1:2" ht="13" x14ac:dyDescent="0.15">
      <c r="A5451" s="12"/>
      <c r="B5451" s="12"/>
    </row>
    <row r="5452" spans="1:2" ht="13" x14ac:dyDescent="0.15">
      <c r="A5452" s="12"/>
      <c r="B5452" s="12"/>
    </row>
    <row r="5453" spans="1:2" ht="13" x14ac:dyDescent="0.15">
      <c r="A5453" s="12"/>
      <c r="B5453" s="12"/>
    </row>
    <row r="5454" spans="1:2" ht="13" x14ac:dyDescent="0.15">
      <c r="A5454" s="12"/>
      <c r="B5454" s="12"/>
    </row>
    <row r="5455" spans="1:2" ht="13" x14ac:dyDescent="0.15">
      <c r="A5455" s="12"/>
      <c r="B5455" s="12"/>
    </row>
    <row r="5456" spans="1:2" ht="13" x14ac:dyDescent="0.15">
      <c r="A5456" s="12"/>
      <c r="B5456" s="12"/>
    </row>
    <row r="5457" spans="1:2" ht="13" x14ac:dyDescent="0.15">
      <c r="A5457" s="12"/>
      <c r="B5457" s="12"/>
    </row>
    <row r="5458" spans="1:2" ht="13" x14ac:dyDescent="0.15">
      <c r="A5458" s="12"/>
      <c r="B5458" s="12"/>
    </row>
    <row r="5459" spans="1:2" ht="13" x14ac:dyDescent="0.15">
      <c r="A5459" s="12"/>
      <c r="B5459" s="12"/>
    </row>
    <row r="5460" spans="1:2" ht="13" x14ac:dyDescent="0.15">
      <c r="A5460" s="12"/>
      <c r="B5460" s="12"/>
    </row>
    <row r="5461" spans="1:2" ht="13" x14ac:dyDescent="0.15">
      <c r="A5461" s="12"/>
      <c r="B5461" s="12"/>
    </row>
    <row r="5462" spans="1:2" ht="13" x14ac:dyDescent="0.15">
      <c r="A5462" s="12"/>
      <c r="B5462" s="12"/>
    </row>
    <row r="5463" spans="1:2" ht="13" x14ac:dyDescent="0.15">
      <c r="A5463" s="12"/>
      <c r="B5463" s="12"/>
    </row>
    <row r="5464" spans="1:2" ht="13" x14ac:dyDescent="0.15">
      <c r="A5464" s="12"/>
      <c r="B5464" s="12"/>
    </row>
    <row r="5465" spans="1:2" ht="13" x14ac:dyDescent="0.15">
      <c r="A5465" s="12"/>
      <c r="B5465" s="12"/>
    </row>
    <row r="5466" spans="1:2" ht="13" x14ac:dyDescent="0.15">
      <c r="A5466" s="12"/>
      <c r="B5466" s="12"/>
    </row>
    <row r="5467" spans="1:2" ht="13" x14ac:dyDescent="0.15">
      <c r="A5467" s="12"/>
      <c r="B5467" s="12"/>
    </row>
    <row r="5468" spans="1:2" ht="13" x14ac:dyDescent="0.15">
      <c r="A5468" s="12"/>
      <c r="B5468" s="12"/>
    </row>
    <row r="5469" spans="1:2" ht="13" x14ac:dyDescent="0.15">
      <c r="A5469" s="12"/>
      <c r="B5469" s="12"/>
    </row>
    <row r="5470" spans="1:2" ht="13" x14ac:dyDescent="0.15">
      <c r="A5470" s="12"/>
      <c r="B5470" s="12"/>
    </row>
    <row r="5471" spans="1:2" ht="13" x14ac:dyDescent="0.15">
      <c r="A5471" s="12"/>
      <c r="B5471" s="12"/>
    </row>
    <row r="5472" spans="1:2" ht="13" x14ac:dyDescent="0.15">
      <c r="A5472" s="12"/>
      <c r="B5472" s="12"/>
    </row>
    <row r="5473" spans="1:2" ht="13" x14ac:dyDescent="0.15">
      <c r="A5473" s="12"/>
      <c r="B5473" s="12"/>
    </row>
    <row r="5474" spans="1:2" ht="13" x14ac:dyDescent="0.15">
      <c r="A5474" s="12"/>
      <c r="B5474" s="12"/>
    </row>
    <row r="5475" spans="1:2" ht="13" x14ac:dyDescent="0.15">
      <c r="A5475" s="12"/>
      <c r="B5475" s="12"/>
    </row>
    <row r="5476" spans="1:2" ht="13" x14ac:dyDescent="0.15">
      <c r="A5476" s="12"/>
      <c r="B5476" s="12"/>
    </row>
    <row r="5477" spans="1:2" ht="13" x14ac:dyDescent="0.15">
      <c r="A5477" s="12"/>
      <c r="B5477" s="12"/>
    </row>
    <row r="5478" spans="1:2" ht="13" x14ac:dyDescent="0.15">
      <c r="A5478" s="12"/>
      <c r="B5478" s="12"/>
    </row>
    <row r="5479" spans="1:2" ht="13" x14ac:dyDescent="0.15">
      <c r="A5479" s="12"/>
      <c r="B5479" s="12"/>
    </row>
    <row r="5480" spans="1:2" ht="13" x14ac:dyDescent="0.15">
      <c r="A5480" s="12"/>
      <c r="B5480" s="12"/>
    </row>
    <row r="5481" spans="1:2" ht="13" x14ac:dyDescent="0.15">
      <c r="A5481" s="12"/>
      <c r="B5481" s="12"/>
    </row>
    <row r="5482" spans="1:2" ht="13" x14ac:dyDescent="0.15">
      <c r="A5482" s="12"/>
      <c r="B5482" s="12"/>
    </row>
    <row r="5483" spans="1:2" ht="13" x14ac:dyDescent="0.15">
      <c r="A5483" s="12"/>
      <c r="B5483" s="12"/>
    </row>
    <row r="5484" spans="1:2" ht="13" x14ac:dyDescent="0.15">
      <c r="A5484" s="12"/>
      <c r="B5484" s="12"/>
    </row>
    <row r="5485" spans="1:2" ht="13" x14ac:dyDescent="0.15">
      <c r="A5485" s="12"/>
      <c r="B5485" s="12"/>
    </row>
    <row r="5486" spans="1:2" ht="13" x14ac:dyDescent="0.15">
      <c r="A5486" s="12"/>
      <c r="B5486" s="12"/>
    </row>
    <row r="5487" spans="1:2" ht="13" x14ac:dyDescent="0.15">
      <c r="A5487" s="12"/>
      <c r="B5487" s="12"/>
    </row>
    <row r="5488" spans="1:2" ht="13" x14ac:dyDescent="0.15">
      <c r="A5488" s="12"/>
      <c r="B5488" s="12"/>
    </row>
    <row r="5489" spans="1:2" ht="13" x14ac:dyDescent="0.15">
      <c r="A5489" s="12"/>
      <c r="B5489" s="12"/>
    </row>
    <row r="5490" spans="1:2" ht="13" x14ac:dyDescent="0.15">
      <c r="A5490" s="12"/>
      <c r="B5490" s="12"/>
    </row>
    <row r="5491" spans="1:2" ht="13" x14ac:dyDescent="0.15">
      <c r="A5491" s="12"/>
      <c r="B5491" s="12"/>
    </row>
    <row r="5492" spans="1:2" ht="13" x14ac:dyDescent="0.15">
      <c r="A5492" s="12"/>
      <c r="B5492" s="12"/>
    </row>
    <row r="5493" spans="1:2" ht="13" x14ac:dyDescent="0.15">
      <c r="A5493" s="12"/>
      <c r="B5493" s="12"/>
    </row>
    <row r="5494" spans="1:2" ht="13" x14ac:dyDescent="0.15">
      <c r="A5494" s="12"/>
      <c r="B5494" s="12"/>
    </row>
    <row r="5495" spans="1:2" ht="13" x14ac:dyDescent="0.15">
      <c r="A5495" s="12"/>
      <c r="B5495" s="12"/>
    </row>
    <row r="5496" spans="1:2" ht="13" x14ac:dyDescent="0.15">
      <c r="A5496" s="12"/>
      <c r="B5496" s="12"/>
    </row>
    <row r="5497" spans="1:2" ht="13" x14ac:dyDescent="0.15">
      <c r="A5497" s="12"/>
      <c r="B549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List</vt:lpstr>
      <vt:lpstr>Split Titles</vt:lpstr>
      <vt:lpstr>Search Scraped</vt:lpstr>
      <vt:lpstr>Final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Darragh Caffrey</cp:lastModifiedBy>
  <dcterms:modified xsi:type="dcterms:W3CDTF">2021-01-23T20:58:56Z</dcterms:modified>
</cp:coreProperties>
</file>