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hiaidrici/Desktop/"/>
    </mc:Choice>
  </mc:AlternateContent>
  <xr:revisionPtr revIDLastSave="0" documentId="13_ncr:1_{63AD1330-6746-184A-9281-BE4D8120D0C5}" xr6:coauthVersionLast="47" xr6:coauthVersionMax="47" xr10:uidLastSave="{00000000-0000-0000-0000-000000000000}"/>
  <bookViews>
    <workbookView xWindow="0" yWindow="0" windowWidth="28800" windowHeight="18000" xr2:uid="{BA794154-09D6-6940-A9A9-BE64702227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8" i="1"/>
  <c r="N60" i="1"/>
  <c r="N61" i="1"/>
  <c r="N62" i="1"/>
  <c r="N63" i="1"/>
  <c r="N59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59" i="1"/>
  <c r="I23" i="1"/>
  <c r="I22" i="1"/>
  <c r="K44" i="1"/>
  <c r="K36" i="1"/>
  <c r="N43" i="1"/>
  <c r="N37" i="1"/>
  <c r="N38" i="1"/>
  <c r="N39" i="1"/>
  <c r="N40" i="1"/>
  <c r="N41" i="1"/>
  <c r="N42" i="1"/>
  <c r="N44" i="1"/>
  <c r="N45" i="1"/>
  <c r="N46" i="1"/>
  <c r="N47" i="1"/>
  <c r="N48" i="1"/>
  <c r="N49" i="1"/>
  <c r="N50" i="1"/>
  <c r="N51" i="1"/>
  <c r="N52" i="1"/>
  <c r="N36" i="1"/>
  <c r="K42" i="1"/>
  <c r="K43" i="1"/>
  <c r="K45" i="1"/>
  <c r="K46" i="1"/>
  <c r="K47" i="1"/>
  <c r="K48" i="1"/>
  <c r="K49" i="1"/>
  <c r="K50" i="1"/>
  <c r="K41" i="1"/>
  <c r="K37" i="1"/>
  <c r="K38" i="1"/>
  <c r="K39" i="1"/>
  <c r="K40" i="1"/>
  <c r="I25" i="1"/>
  <c r="I28" i="1"/>
  <c r="I29" i="1"/>
  <c r="H29" i="1"/>
  <c r="H22" i="1"/>
  <c r="H78" i="1"/>
  <c r="L78" i="1" s="1"/>
  <c r="H77" i="1"/>
  <c r="L77" i="1" s="1"/>
  <c r="H76" i="1"/>
  <c r="L76" i="1" s="1"/>
  <c r="C55" i="1"/>
  <c r="H75" i="1"/>
  <c r="L75" i="1" s="1"/>
  <c r="M75" i="1" s="1"/>
  <c r="H74" i="1"/>
  <c r="L74" i="1" s="1"/>
  <c r="M74" i="1" s="1"/>
  <c r="H73" i="1"/>
  <c r="I73" i="1" s="1"/>
  <c r="H72" i="1"/>
  <c r="I72" i="1" s="1"/>
  <c r="H71" i="1"/>
  <c r="I71" i="1" s="1"/>
  <c r="H70" i="1"/>
  <c r="L70" i="1" s="1"/>
  <c r="H69" i="1"/>
  <c r="L69" i="1" s="1"/>
  <c r="H68" i="1"/>
  <c r="L68" i="1" s="1"/>
  <c r="M68" i="1" s="1"/>
  <c r="H67" i="1"/>
  <c r="L67" i="1" s="1"/>
  <c r="M67" i="1" s="1"/>
  <c r="H66" i="1"/>
  <c r="L66" i="1" s="1"/>
  <c r="M66" i="1" s="1"/>
  <c r="H65" i="1"/>
  <c r="L65" i="1" s="1"/>
  <c r="H64" i="1"/>
  <c r="I64" i="1" s="1"/>
  <c r="H63" i="1"/>
  <c r="I63" i="1" s="1"/>
  <c r="H62" i="1"/>
  <c r="L62" i="1" s="1"/>
  <c r="H61" i="1"/>
  <c r="L61" i="1" s="1"/>
  <c r="H60" i="1"/>
  <c r="L60" i="1" s="1"/>
  <c r="M60" i="1" s="1"/>
  <c r="H59" i="1"/>
  <c r="I59" i="1" s="1"/>
  <c r="J59" i="1" s="1"/>
  <c r="L50" i="1"/>
  <c r="H51" i="1"/>
  <c r="L51" i="1" s="1"/>
  <c r="M51" i="1" s="1"/>
  <c r="H52" i="1"/>
  <c r="L52" i="1" s="1"/>
  <c r="H44" i="1"/>
  <c r="I44" i="1" s="1"/>
  <c r="H50" i="1"/>
  <c r="I50" i="1" s="1"/>
  <c r="H49" i="1"/>
  <c r="L49" i="1" s="1"/>
  <c r="H48" i="1"/>
  <c r="L48" i="1" s="1"/>
  <c r="H47" i="1"/>
  <c r="L47" i="1" s="1"/>
  <c r="H46" i="1"/>
  <c r="I46" i="1" s="1"/>
  <c r="H45" i="1"/>
  <c r="I45" i="1" s="1"/>
  <c r="C32" i="1"/>
  <c r="H43" i="1"/>
  <c r="I43" i="1" s="1"/>
  <c r="H42" i="1"/>
  <c r="I42" i="1" s="1"/>
  <c r="H41" i="1"/>
  <c r="I41" i="1" s="1"/>
  <c r="H40" i="1"/>
  <c r="L40" i="1" s="1"/>
  <c r="H39" i="1"/>
  <c r="L39" i="1" s="1"/>
  <c r="H38" i="1"/>
  <c r="I38" i="1" s="1"/>
  <c r="H37" i="1"/>
  <c r="I37" i="1" s="1"/>
  <c r="H36" i="1"/>
  <c r="L36" i="1" s="1"/>
  <c r="F29" i="1"/>
  <c r="G29" i="1" s="1"/>
  <c r="C18" i="1"/>
  <c r="F28" i="1"/>
  <c r="G28" i="1" s="1"/>
  <c r="H28" i="1" s="1"/>
  <c r="F27" i="1"/>
  <c r="G27" i="1" s="1"/>
  <c r="H27" i="1" s="1"/>
  <c r="F26" i="1"/>
  <c r="G26" i="1" s="1"/>
  <c r="H26" i="1" s="1"/>
  <c r="F25" i="1"/>
  <c r="G25" i="1" s="1"/>
  <c r="H25" i="1" s="1"/>
  <c r="F24" i="1"/>
  <c r="G24" i="1" s="1"/>
  <c r="H24" i="1" s="1"/>
  <c r="F23" i="1"/>
  <c r="G23" i="1" s="1"/>
  <c r="H23" i="1" s="1"/>
  <c r="F22" i="1"/>
  <c r="G22" i="1" s="1"/>
  <c r="C4" i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F13" i="1"/>
  <c r="G13" i="1" s="1"/>
  <c r="F14" i="1"/>
  <c r="G14" i="1" s="1"/>
  <c r="F15" i="1"/>
  <c r="G15" i="1" s="1"/>
  <c r="F8" i="1"/>
  <c r="G8" i="1" s="1"/>
  <c r="H8" i="1" s="1"/>
  <c r="I27" i="1" l="1"/>
  <c r="M61" i="1"/>
  <c r="J50" i="1"/>
  <c r="I49" i="1"/>
  <c r="J49" i="1" s="1"/>
  <c r="M62" i="1"/>
  <c r="M76" i="1"/>
  <c r="I24" i="1"/>
  <c r="J73" i="1"/>
  <c r="I26" i="1"/>
  <c r="M69" i="1"/>
  <c r="L73" i="1"/>
  <c r="M73" i="1" s="1"/>
  <c r="J45" i="1"/>
  <c r="I48" i="1"/>
  <c r="J48" i="1" s="1"/>
  <c r="J63" i="1"/>
  <c r="J71" i="1"/>
  <c r="J64" i="1"/>
  <c r="J72" i="1"/>
  <c r="J43" i="1"/>
  <c r="L43" i="1"/>
  <c r="M43" i="1" s="1"/>
  <c r="J42" i="1"/>
  <c r="M65" i="1"/>
  <c r="J44" i="1"/>
  <c r="J38" i="1"/>
  <c r="M78" i="1"/>
  <c r="M70" i="1"/>
  <c r="J37" i="1"/>
  <c r="M40" i="1"/>
  <c r="J46" i="1"/>
  <c r="M47" i="1"/>
  <c r="J41" i="1"/>
  <c r="M49" i="1"/>
  <c r="M50" i="1"/>
  <c r="M36" i="1"/>
  <c r="M52" i="1"/>
  <c r="M39" i="1"/>
  <c r="M77" i="1"/>
  <c r="M48" i="1"/>
  <c r="L44" i="1"/>
  <c r="M44" i="1" s="1"/>
  <c r="L38" i="1"/>
  <c r="M38" i="1" s="1"/>
  <c r="I66" i="1"/>
  <c r="J66" i="1" s="1"/>
  <c r="I40" i="1"/>
  <c r="J40" i="1" s="1"/>
  <c r="I65" i="1"/>
  <c r="J65" i="1" s="1"/>
  <c r="I39" i="1"/>
  <c r="J39" i="1" s="1"/>
  <c r="I68" i="1"/>
  <c r="J68" i="1" s="1"/>
  <c r="L72" i="1"/>
  <c r="M72" i="1" s="1"/>
  <c r="I47" i="1"/>
  <c r="J47" i="1" s="1"/>
  <c r="L42" i="1"/>
  <c r="M42" i="1" s="1"/>
  <c r="I60" i="1"/>
  <c r="J60" i="1" s="1"/>
  <c r="L71" i="1"/>
  <c r="M71" i="1" s="1"/>
  <c r="L41" i="1"/>
  <c r="M41" i="1" s="1"/>
  <c r="L64" i="1"/>
  <c r="M64" i="1" s="1"/>
  <c r="L63" i="1"/>
  <c r="M63" i="1" s="1"/>
  <c r="H13" i="1"/>
  <c r="L46" i="1"/>
  <c r="M46" i="1" s="1"/>
  <c r="I70" i="1"/>
  <c r="J70" i="1" s="1"/>
  <c r="I62" i="1"/>
  <c r="J62" i="1" s="1"/>
  <c r="L59" i="1"/>
  <c r="M59" i="1" s="1"/>
  <c r="I67" i="1"/>
  <c r="J67" i="1" s="1"/>
  <c r="H12" i="1"/>
  <c r="L45" i="1"/>
  <c r="M45" i="1" s="1"/>
  <c r="L37" i="1"/>
  <c r="M37" i="1" s="1"/>
  <c r="I69" i="1"/>
  <c r="J69" i="1" s="1"/>
  <c r="I61" i="1"/>
  <c r="J61" i="1" s="1"/>
  <c r="I36" i="1"/>
  <c r="J36" i="1" s="1"/>
  <c r="H15" i="1"/>
  <c r="H14" i="1"/>
</calcChain>
</file>

<file path=xl/sharedStrings.xml><?xml version="1.0" encoding="utf-8"?>
<sst xmlns="http://schemas.openxmlformats.org/spreadsheetml/2006/main" count="112" uniqueCount="36">
  <si>
    <t>A</t>
  </si>
  <si>
    <t>B</t>
  </si>
  <si>
    <t>C</t>
  </si>
  <si>
    <t>D</t>
  </si>
  <si>
    <t>E</t>
  </si>
  <si>
    <t>F</t>
  </si>
  <si>
    <t>G</t>
  </si>
  <si>
    <t>H</t>
  </si>
  <si>
    <t>T</t>
  </si>
  <si>
    <t>cp</t>
  </si>
  <si>
    <t>1 cal</t>
  </si>
  <si>
    <t>1mol Al</t>
  </si>
  <si>
    <t>J/cal</t>
  </si>
  <si>
    <t>kg/mol</t>
  </si>
  <si>
    <t>T/1000</t>
  </si>
  <si>
    <t>cal/mol-K</t>
  </si>
  <si>
    <t>J/kg-K</t>
  </si>
  <si>
    <t>MAGNESIUM</t>
  </si>
  <si>
    <t>K</t>
  </si>
  <si>
    <t>Aluminum</t>
  </si>
  <si>
    <t>1mol Mg</t>
  </si>
  <si>
    <t>Titanium</t>
  </si>
  <si>
    <t>298. - 700.</t>
  </si>
  <si>
    <t>700. - 1700.</t>
  </si>
  <si>
    <t>298. - 1939.</t>
  </si>
  <si>
    <t>alpha phase</t>
  </si>
  <si>
    <t>Beta phase</t>
  </si>
  <si>
    <t>1mol Ti</t>
  </si>
  <si>
    <t>Alpha phase</t>
  </si>
  <si>
    <t>ZIRCONIUM</t>
  </si>
  <si>
    <t>1mol Zr</t>
  </si>
  <si>
    <t>298. - 1700.</t>
  </si>
  <si>
    <t>298. - 800</t>
  </si>
  <si>
    <t>800. - 2125</t>
  </si>
  <si>
    <r>
      <t>H-H</t>
    </r>
    <r>
      <rPr>
        <vertAlign val="subscript"/>
        <sz val="16"/>
        <color theme="1"/>
        <rFont val="Times New Roman"/>
        <family val="1"/>
      </rPr>
      <t>298</t>
    </r>
  </si>
  <si>
    <t>kJ/mol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</si>
</sst>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"/>
    <numFmt numFmtId="169" formatCode="0.0000"/>
    <numFmt numFmtId="170" formatCode="0.00000"/>
  </numFmts>
  <fonts count="14">
    <font>
      <sz val="12"/>
      <color theme="1"/>
      <name val="Calibri"/>
      <family val="2"/>
      <scheme val="minor"/>
    </font>
    <font>
      <sz val="17"/>
      <color rgb="FF000000"/>
      <name val="Helvetica"/>
      <family val="2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rgb="FF202124"/>
      <name val="Times New Roman"/>
      <family val="1"/>
    </font>
    <font>
      <b/>
      <u/>
      <sz val="20"/>
      <color theme="1"/>
      <name val="Times New Roman"/>
      <family val="1"/>
    </font>
    <font>
      <sz val="16"/>
      <color rgb="FF000000"/>
      <name val="Helvetica"/>
      <family val="2"/>
    </font>
    <font>
      <sz val="16"/>
      <color rgb="FF000000"/>
      <name val="Times Roman"/>
    </font>
    <font>
      <b/>
      <sz val="17"/>
      <color rgb="FF000000"/>
      <name val="Helvetica"/>
      <family val="2"/>
    </font>
    <font>
      <sz val="16"/>
      <color theme="1"/>
      <name val="Calibri"/>
      <family val="2"/>
      <scheme val="minor"/>
    </font>
    <font>
      <b/>
      <sz val="16"/>
      <color rgb="FF000000"/>
      <name val="Helvetica"/>
      <family val="2"/>
    </font>
    <font>
      <vertAlign val="subscript"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68" fontId="4" fillId="0" borderId="3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0" fontId="5" fillId="0" borderId="1" xfId="0" applyNumberFormat="1" applyFont="1" applyBorder="1" applyAlignment="1">
      <alignment horizontal="center"/>
    </xf>
    <xf numFmtId="170" fontId="4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69" fontId="6" fillId="0" borderId="0" xfId="0" applyNumberFormat="1" applyFont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8" fontId="4" fillId="0" borderId="13" xfId="0" applyNumberFormat="1" applyFont="1" applyBorder="1" applyAlignment="1">
      <alignment horizontal="center"/>
    </xf>
    <xf numFmtId="168" fontId="4" fillId="0" borderId="10" xfId="0" applyNumberFormat="1" applyFont="1" applyBorder="1" applyAlignment="1">
      <alignment horizontal="center"/>
    </xf>
    <xf numFmtId="168" fontId="4" fillId="0" borderId="10" xfId="0" applyNumberFormat="1" applyFont="1" applyFill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168" fontId="4" fillId="0" borderId="19" xfId="0" applyNumberFormat="1" applyFont="1" applyBorder="1" applyAlignment="1">
      <alignment horizontal="center"/>
    </xf>
    <xf numFmtId="2" fontId="5" fillId="0" borderId="22" xfId="0" applyNumberFormat="1" applyFont="1" applyBorder="1" applyAlignment="1">
      <alignment horizontal="center"/>
    </xf>
    <xf numFmtId="168" fontId="4" fillId="0" borderId="23" xfId="0" applyNumberFormat="1" applyFont="1" applyBorder="1" applyAlignment="1">
      <alignment horizontal="center"/>
    </xf>
    <xf numFmtId="2" fontId="4" fillId="0" borderId="22" xfId="0" applyNumberFormat="1" applyFont="1" applyBorder="1" applyAlignment="1">
      <alignment horizontal="center"/>
    </xf>
    <xf numFmtId="2" fontId="4" fillId="0" borderId="22" xfId="0" applyNumberFormat="1" applyFont="1" applyFill="1" applyBorder="1" applyAlignment="1">
      <alignment horizontal="center"/>
    </xf>
    <xf numFmtId="168" fontId="4" fillId="0" borderId="23" xfId="0" applyNumberFormat="1" applyFont="1" applyFill="1" applyBorder="1" applyAlignment="1">
      <alignment horizontal="center"/>
    </xf>
    <xf numFmtId="2" fontId="4" fillId="0" borderId="24" xfId="0" applyNumberFormat="1" applyFont="1" applyFill="1" applyBorder="1" applyAlignment="1">
      <alignment horizontal="center"/>
    </xf>
    <xf numFmtId="168" fontId="4" fillId="0" borderId="25" xfId="0" applyNumberFormat="1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11" fillId="0" borderId="14" xfId="0" applyFont="1" applyBorder="1" applyAlignment="1"/>
    <xf numFmtId="0" fontId="11" fillId="0" borderId="28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2" fontId="4" fillId="0" borderId="30" xfId="0" applyNumberFormat="1" applyFont="1" applyFill="1" applyBorder="1" applyAlignment="1">
      <alignment horizontal="center"/>
    </xf>
    <xf numFmtId="168" fontId="4" fillId="0" borderId="31" xfId="0" applyNumberFormat="1" applyFont="1" applyFill="1" applyBorder="1" applyAlignment="1">
      <alignment horizontal="center"/>
    </xf>
    <xf numFmtId="2" fontId="4" fillId="0" borderId="20" xfId="0" applyNumberFormat="1" applyFont="1" applyFill="1" applyBorder="1" applyAlignment="1">
      <alignment horizontal="center"/>
    </xf>
    <xf numFmtId="168" fontId="4" fillId="0" borderId="2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8" fontId="4" fillId="0" borderId="27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19" xfId="0" applyNumberFormat="1" applyFont="1" applyBorder="1" applyAlignment="1">
      <alignment horizontal="center"/>
    </xf>
    <xf numFmtId="2" fontId="5" fillId="0" borderId="23" xfId="0" applyNumberFormat="1" applyFont="1" applyBorder="1" applyAlignment="1">
      <alignment horizontal="center"/>
    </xf>
    <xf numFmtId="2" fontId="5" fillId="0" borderId="24" xfId="0" applyNumberFormat="1" applyFont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2" fontId="4" fillId="3" borderId="37" xfId="0" applyNumberFormat="1" applyFont="1" applyFill="1" applyBorder="1" applyAlignment="1">
      <alignment horizontal="center"/>
    </xf>
    <xf numFmtId="2" fontId="4" fillId="3" borderId="23" xfId="0" applyNumberFormat="1" applyFont="1" applyFill="1" applyBorder="1" applyAlignment="1">
      <alignment horizontal="center"/>
    </xf>
    <xf numFmtId="2" fontId="4" fillId="3" borderId="25" xfId="0" applyNumberFormat="1" applyFont="1" applyFill="1" applyBorder="1" applyAlignment="1">
      <alignment horizontal="center"/>
    </xf>
    <xf numFmtId="2" fontId="4" fillId="0" borderId="18" xfId="0" applyNumberFormat="1" applyFont="1" applyFill="1" applyBorder="1" applyAlignment="1">
      <alignment horizontal="center"/>
    </xf>
    <xf numFmtId="2" fontId="4" fillId="3" borderId="10" xfId="0" applyNumberFormat="1" applyFont="1" applyFill="1" applyBorder="1" applyAlignment="1">
      <alignment horizontal="center"/>
    </xf>
    <xf numFmtId="2" fontId="4" fillId="0" borderId="27" xfId="0" applyNumberFormat="1" applyFont="1" applyBorder="1" applyAlignment="1">
      <alignment horizontal="center"/>
    </xf>
    <xf numFmtId="2" fontId="4" fillId="3" borderId="35" xfId="0" applyNumberFormat="1" applyFont="1" applyFill="1" applyBorder="1" applyAlignment="1">
      <alignment horizontal="center"/>
    </xf>
    <xf numFmtId="2" fontId="4" fillId="0" borderId="19" xfId="0" applyNumberFormat="1" applyFont="1" applyFill="1" applyBorder="1" applyAlignment="1">
      <alignment horizontal="center"/>
    </xf>
    <xf numFmtId="2" fontId="4" fillId="0" borderId="9" xfId="0" applyNumberFormat="1" applyFont="1" applyFill="1" applyBorder="1" applyAlignment="1">
      <alignment horizontal="center"/>
    </xf>
    <xf numFmtId="2" fontId="4" fillId="0" borderId="25" xfId="0" applyNumberFormat="1" applyFont="1" applyFill="1" applyBorder="1" applyAlignment="1">
      <alignment horizontal="center"/>
    </xf>
    <xf numFmtId="2" fontId="4" fillId="0" borderId="33" xfId="0" applyNumberFormat="1" applyFont="1" applyFill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2" fontId="4" fillId="0" borderId="34" xfId="0" applyNumberFormat="1" applyFont="1" applyBorder="1" applyAlignment="1">
      <alignment horizontal="center"/>
    </xf>
    <xf numFmtId="2" fontId="4" fillId="0" borderId="13" xfId="0" applyNumberFormat="1" applyFont="1" applyFill="1" applyBorder="1" applyAlignment="1">
      <alignment horizontal="center"/>
    </xf>
    <xf numFmtId="2" fontId="4" fillId="0" borderId="15" xfId="0" applyNumberFormat="1" applyFont="1" applyFill="1" applyBorder="1" applyAlignment="1">
      <alignment horizontal="center"/>
    </xf>
    <xf numFmtId="2" fontId="4" fillId="0" borderId="10" xfId="0" applyNumberFormat="1" applyFont="1" applyFill="1" applyBorder="1" applyAlignment="1">
      <alignment horizontal="center"/>
    </xf>
    <xf numFmtId="2" fontId="4" fillId="0" borderId="23" xfId="0" applyNumberFormat="1" applyFont="1" applyFill="1" applyBorder="1" applyAlignment="1">
      <alignment horizontal="center"/>
    </xf>
    <xf numFmtId="2" fontId="4" fillId="3" borderId="19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33" xfId="0" applyNumberFormat="1" applyFont="1" applyBorder="1" applyAlignment="1">
      <alignment horizontal="center"/>
    </xf>
    <xf numFmtId="2" fontId="4" fillId="0" borderId="3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97129450240842"/>
          <c:y val="6.122347066167292E-2"/>
          <c:w val="0.8109650853462731"/>
          <c:h val="0.77718658763160231"/>
        </c:manualLayout>
      </c:layout>
      <c:scatterChart>
        <c:scatterStyle val="smoothMarker"/>
        <c:varyColors val="0"/>
        <c:ser>
          <c:idx val="6"/>
          <c:order val="0"/>
          <c:tx>
            <c:v>Magnesium</c:v>
          </c:tx>
          <c:xVal>
            <c:numRef>
              <c:f>Sheet1!$E$8:$E$15</c:f>
              <c:numCache>
                <c:formatCode>0.00</c:formatCode>
                <c:ptCount val="8"/>
                <c:pt idx="0">
                  <c:v>298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923</c:v>
                </c:pt>
              </c:numCache>
            </c:numRef>
          </c:xVal>
          <c:yVal>
            <c:numRef>
              <c:f>Sheet1!$H$8:$H$15</c:f>
              <c:numCache>
                <c:formatCode>0.00</c:formatCode>
                <c:ptCount val="8"/>
                <c:pt idx="0">
                  <c:v>1022.5564325133162</c:v>
                </c:pt>
                <c:pt idx="1">
                  <c:v>1076.5413112179388</c:v>
                </c:pt>
                <c:pt idx="2">
                  <c:v>1117.6528720839335</c:v>
                </c:pt>
                <c:pt idx="3">
                  <c:v>1158.7378008703831</c:v>
                </c:pt>
                <c:pt idx="4">
                  <c:v>1203.8261856234972</c:v>
                </c:pt>
                <c:pt idx="5">
                  <c:v>1254.6836876863197</c:v>
                </c:pt>
                <c:pt idx="6">
                  <c:v>1312.2275844179967</c:v>
                </c:pt>
                <c:pt idx="7">
                  <c:v>1326.4706942152011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936-6B43-BB00-726B983448E8}"/>
            </c:ext>
          </c:extLst>
        </c:ser>
        <c:ser>
          <c:idx val="7"/>
          <c:order val="1"/>
          <c:tx>
            <c:v>Aluminum</c:v>
          </c:tx>
          <c:xVal>
            <c:numRef>
              <c:f>Sheet1!$E$22:$E$29</c:f>
              <c:numCache>
                <c:formatCode>0.00</c:formatCode>
                <c:ptCount val="8"/>
                <c:pt idx="0">
                  <c:v>298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923</c:v>
                </c:pt>
              </c:numCache>
            </c:numRef>
          </c:xVal>
          <c:yVal>
            <c:numRef>
              <c:f>Sheet1!$H$22:$H$29</c:f>
              <c:numCache>
                <c:formatCode>0.00</c:formatCode>
                <c:ptCount val="8"/>
                <c:pt idx="0">
                  <c:v>897.02161455959947</c:v>
                </c:pt>
                <c:pt idx="1">
                  <c:v>955.41940769205178</c:v>
                </c:pt>
                <c:pt idx="2">
                  <c:v>994.78397062524857</c:v>
                </c:pt>
                <c:pt idx="3">
                  <c:v>1033.7389831206028</c:v>
                </c:pt>
                <c:pt idx="4">
                  <c:v>1078.6237749977333</c:v>
                </c:pt>
                <c:pt idx="5">
                  <c:v>1132.5301541361298</c:v>
                </c:pt>
                <c:pt idx="6">
                  <c:v>1197.3332206289294</c:v>
                </c:pt>
                <c:pt idx="7">
                  <c:v>1213.9273370528661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936-6B43-BB00-726B983448E8}"/>
            </c:ext>
          </c:extLst>
        </c:ser>
        <c:ser>
          <c:idx val="8"/>
          <c:order val="2"/>
          <c:tx>
            <c:v>Titanium alpha</c:v>
          </c:tx>
          <c:xVal>
            <c:numRef>
              <c:f>Sheet1!$G$36:$G$50</c:f>
              <c:numCache>
                <c:formatCode>0.00</c:formatCode>
                <c:ptCount val="15"/>
                <c:pt idx="0">
                  <c:v>298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</c:numCache>
            </c:numRef>
          </c:xVal>
          <c:yVal>
            <c:numRef>
              <c:f>Sheet1!$J$36:$J$50</c:f>
              <c:numCache>
                <c:formatCode>0.00</c:formatCode>
                <c:ptCount val="15"/>
                <c:pt idx="0">
                  <c:v>527.18300440104736</c:v>
                </c:pt>
                <c:pt idx="1">
                  <c:v>561.16298155305333</c:v>
                </c:pt>
                <c:pt idx="2">
                  <c:v>582.4018321599433</c:v>
                </c:pt>
                <c:pt idx="3">
                  <c:v>597.3991143237165</c:v>
                </c:pt>
                <c:pt idx="4">
                  <c:v>608.66830526761464</c:v>
                </c:pt>
                <c:pt idx="5">
                  <c:v>615.72766849813036</c:v>
                </c:pt>
                <c:pt idx="6">
                  <c:v>636.20664367626671</c:v>
                </c:pt>
                <c:pt idx="7">
                  <c:v>670.06261098460334</c:v>
                </c:pt>
                <c:pt idx="8">
                  <c:v>717.27767121588806</c:v>
                </c:pt>
                <c:pt idx="9">
                  <c:v>777.84366303855836</c:v>
                </c:pt>
                <c:pt idx="10">
                  <c:v>851.75785314375162</c:v>
                </c:pt>
                <c:pt idx="11">
                  <c:v>939.02069812656919</c:v>
                </c:pt>
                <c:pt idx="12">
                  <c:v>1039.6346134428034</c:v>
                </c:pt>
                <c:pt idx="13">
                  <c:v>1153.6032629786703</c:v>
                </c:pt>
                <c:pt idx="14">
                  <c:v>1280.9311320093743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936-6B43-BB00-726B983448E8}"/>
            </c:ext>
          </c:extLst>
        </c:ser>
        <c:ser>
          <c:idx val="9"/>
          <c:order val="3"/>
          <c:tx>
            <c:v>Titanium Beta</c:v>
          </c:tx>
          <c:xVal>
            <c:numRef>
              <c:f>Sheet1!$G$36:$G$52</c:f>
              <c:numCache>
                <c:formatCode>0.00</c:formatCode>
                <c:ptCount val="17"/>
                <c:pt idx="0">
                  <c:v>298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</c:numCache>
            </c:numRef>
          </c:xVal>
          <c:yVal>
            <c:numRef>
              <c:f>Sheet1!$M$36:$M$52</c:f>
              <c:numCache>
                <c:formatCode>0.00</c:formatCode>
                <c:ptCount val="17"/>
                <c:pt idx="0">
                  <c:v>500.06375920963376</c:v>
                </c:pt>
                <c:pt idx="1">
                  <c:v>515.94782146363877</c:v>
                </c:pt>
                <c:pt idx="2">
                  <c:v>528.34861961267688</c:v>
                </c:pt>
                <c:pt idx="3">
                  <c:v>539.69654398878379</c:v>
                </c:pt>
                <c:pt idx="4">
                  <c:v>550.82916768315943</c:v>
                </c:pt>
                <c:pt idx="5">
                  <c:v>562.21399319990803</c:v>
                </c:pt>
                <c:pt idx="6">
                  <c:v>574.17987339792069</c:v>
                </c:pt>
                <c:pt idx="7">
                  <c:v>586.99563373514115</c:v>
                </c:pt>
                <c:pt idx="8">
                  <c:v>600.90119936059057</c:v>
                </c:pt>
                <c:pt idx="9">
                  <c:v>616.12139778506651</c:v>
                </c:pt>
                <c:pt idx="10">
                  <c:v>632.87264089304153</c:v>
                </c:pt>
                <c:pt idx="11">
                  <c:v>651.36639493016992</c:v>
                </c:pt>
                <c:pt idx="12">
                  <c:v>671.81108911729962</c:v>
                </c:pt>
                <c:pt idx="13">
                  <c:v>694.41321710416344</c:v>
                </c:pt>
                <c:pt idx="14">
                  <c:v>719.37799905599149</c:v>
                </c:pt>
                <c:pt idx="15">
                  <c:v>746.90979382945591</c:v>
                </c:pt>
                <c:pt idx="16">
                  <c:v>777.21236350727588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936-6B43-BB00-726B983448E8}"/>
            </c:ext>
          </c:extLst>
        </c:ser>
        <c:ser>
          <c:idx val="10"/>
          <c:order val="4"/>
          <c:tx>
            <c:v>Zirconium alpha</c:v>
          </c:tx>
          <c:xVal>
            <c:numRef>
              <c:f>Sheet1!$G$59:$G$73</c:f>
              <c:numCache>
                <c:formatCode>0.00</c:formatCode>
                <c:ptCount val="15"/>
                <c:pt idx="0">
                  <c:v>298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</c:numCache>
            </c:numRef>
          </c:xVal>
          <c:yVal>
            <c:numRef>
              <c:f>Sheet1!$J$59:$J$73</c:f>
              <c:numCache>
                <c:formatCode>0.00</c:formatCode>
                <c:ptCount val="15"/>
                <c:pt idx="0">
                  <c:v>276.13725662289528</c:v>
                </c:pt>
                <c:pt idx="1">
                  <c:v>284.49603339033592</c:v>
                </c:pt>
                <c:pt idx="2">
                  <c:v>291.12715951942471</c:v>
                </c:pt>
                <c:pt idx="3">
                  <c:v>298.59089299112321</c:v>
                </c:pt>
                <c:pt idx="4">
                  <c:v>307.43343060454913</c:v>
                </c:pt>
                <c:pt idx="5">
                  <c:v>317.65642854402353</c:v>
                </c:pt>
                <c:pt idx="6">
                  <c:v>329.05752687997415</c:v>
                </c:pt>
                <c:pt idx="7">
                  <c:v>341.34603832324825</c:v>
                </c:pt>
                <c:pt idx="8">
                  <c:v>354.18875020565127</c:v>
                </c:pt>
                <c:pt idx="9">
                  <c:v>367.23023442904889</c:v>
                </c:pt>
                <c:pt idx="10">
                  <c:v>380.1026797162794</c:v>
                </c:pt>
                <c:pt idx="11">
                  <c:v>392.43099752660862</c:v>
                </c:pt>
                <c:pt idx="12">
                  <c:v>403.8356304871038</c:v>
                </c:pt>
                <c:pt idx="13">
                  <c:v>413.93417312741173</c:v>
                </c:pt>
                <c:pt idx="14">
                  <c:v>422.34234610754714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936-6B43-BB00-726B983448E8}"/>
            </c:ext>
          </c:extLst>
        </c:ser>
        <c:ser>
          <c:idx val="11"/>
          <c:order val="5"/>
          <c:tx>
            <c:v>Zirconium beta</c:v>
          </c:tx>
          <c:xVal>
            <c:numRef>
              <c:f>Sheet1!$G$59:$G$78</c:f>
              <c:numCache>
                <c:formatCode>0.00</c:formatCode>
                <c:ptCount val="20"/>
                <c:pt idx="0">
                  <c:v>298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2125</c:v>
                </c:pt>
              </c:numCache>
            </c:numRef>
          </c:xVal>
          <c:yVal>
            <c:numRef>
              <c:f>Sheet1!$M$59:$M$78</c:f>
              <c:numCache>
                <c:formatCode>0.00</c:formatCode>
                <c:ptCount val="20"/>
                <c:pt idx="0">
                  <c:v>276.25491721017494</c:v>
                </c:pt>
                <c:pt idx="1">
                  <c:v>284.17587764184861</c:v>
                </c:pt>
                <c:pt idx="2">
                  <c:v>291.27200215951939</c:v>
                </c:pt>
                <c:pt idx="3">
                  <c:v>298.92650432147479</c:v>
                </c:pt>
                <c:pt idx="4">
                  <c:v>307.59551336539613</c:v>
                </c:pt>
                <c:pt idx="5">
                  <c:v>317.50851391629391</c:v>
                </c:pt>
                <c:pt idx="6">
                  <c:v>311.89124151078937</c:v>
                </c:pt>
                <c:pt idx="7">
                  <c:v>309.739969744804</c:v>
                </c:pt>
                <c:pt idx="8">
                  <c:v>310.10044366296961</c:v>
                </c:pt>
                <c:pt idx="9">
                  <c:v>312.39456352373156</c:v>
                </c:pt>
                <c:pt idx="10">
                  <c:v>316.27473812131342</c:v>
                </c:pt>
                <c:pt idx="11">
                  <c:v>321.52883995976708</c:v>
                </c:pt>
                <c:pt idx="12">
                  <c:v>328.02792728765331</c:v>
                </c:pt>
                <c:pt idx="13">
                  <c:v>335.69607468840439</c:v>
                </c:pt>
                <c:pt idx="14">
                  <c:v>344.49223817163085</c:v>
                </c:pt>
                <c:pt idx="15">
                  <c:v>354.39896545201992</c:v>
                </c:pt>
                <c:pt idx="16">
                  <c:v>365.41515020413055</c:v>
                </c:pt>
                <c:pt idx="17">
                  <c:v>377.55125570025433</c:v>
                </c:pt>
                <c:pt idx="18">
                  <c:v>390.82609084349048</c:v>
                </c:pt>
                <c:pt idx="19">
                  <c:v>394.3255377457694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936-6B43-BB00-726B983448E8}"/>
            </c:ext>
          </c:extLst>
        </c:ser>
        <c:ser>
          <c:idx val="0"/>
          <c:order val="6"/>
          <c:tx>
            <c:v>Magnesium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Sheet1!$E$8:$E$15</c:f>
              <c:numCache>
                <c:formatCode>0.00</c:formatCode>
                <c:ptCount val="8"/>
                <c:pt idx="0">
                  <c:v>298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923</c:v>
                </c:pt>
              </c:numCache>
            </c:numRef>
          </c:xVal>
          <c:yVal>
            <c:numRef>
              <c:f>Sheet1!$H$8:$H$15</c:f>
              <c:numCache>
                <c:formatCode>0.00</c:formatCode>
                <c:ptCount val="8"/>
                <c:pt idx="0">
                  <c:v>1022.5564325133162</c:v>
                </c:pt>
                <c:pt idx="1">
                  <c:v>1076.5413112179388</c:v>
                </c:pt>
                <c:pt idx="2">
                  <c:v>1117.6528720839335</c:v>
                </c:pt>
                <c:pt idx="3">
                  <c:v>1158.7378008703831</c:v>
                </c:pt>
                <c:pt idx="4">
                  <c:v>1203.8261856234972</c:v>
                </c:pt>
                <c:pt idx="5">
                  <c:v>1254.6836876863197</c:v>
                </c:pt>
                <c:pt idx="6">
                  <c:v>1312.2275844179967</c:v>
                </c:pt>
                <c:pt idx="7">
                  <c:v>1326.4706942152011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936-6B43-BB00-726B983448E8}"/>
            </c:ext>
          </c:extLst>
        </c:ser>
        <c:ser>
          <c:idx val="1"/>
          <c:order val="7"/>
          <c:tx>
            <c:v>Aluminum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Sheet1!$E$22:$E$29</c:f>
              <c:numCache>
                <c:formatCode>0.00</c:formatCode>
                <c:ptCount val="8"/>
                <c:pt idx="0">
                  <c:v>298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923</c:v>
                </c:pt>
              </c:numCache>
            </c:numRef>
          </c:xVal>
          <c:yVal>
            <c:numRef>
              <c:f>Sheet1!$H$22:$H$29</c:f>
              <c:numCache>
                <c:formatCode>0.00</c:formatCode>
                <c:ptCount val="8"/>
                <c:pt idx="0">
                  <c:v>897.02161455959947</c:v>
                </c:pt>
                <c:pt idx="1">
                  <c:v>955.41940769205178</c:v>
                </c:pt>
                <c:pt idx="2">
                  <c:v>994.78397062524857</c:v>
                </c:pt>
                <c:pt idx="3">
                  <c:v>1033.7389831206028</c:v>
                </c:pt>
                <c:pt idx="4">
                  <c:v>1078.6237749977333</c:v>
                </c:pt>
                <c:pt idx="5">
                  <c:v>1132.5301541361298</c:v>
                </c:pt>
                <c:pt idx="6">
                  <c:v>1197.3332206289294</c:v>
                </c:pt>
                <c:pt idx="7">
                  <c:v>1213.9273370528661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936-6B43-BB00-726B983448E8}"/>
            </c:ext>
          </c:extLst>
        </c:ser>
        <c:ser>
          <c:idx val="2"/>
          <c:order val="8"/>
          <c:tx>
            <c:v>Titanium alpha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Sheet1!$G$36:$G$50</c:f>
              <c:numCache>
                <c:formatCode>0.00</c:formatCode>
                <c:ptCount val="15"/>
                <c:pt idx="0">
                  <c:v>298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</c:numCache>
            </c:numRef>
          </c:xVal>
          <c:yVal>
            <c:numRef>
              <c:f>Sheet1!$J$36:$J$50</c:f>
              <c:numCache>
                <c:formatCode>0.00</c:formatCode>
                <c:ptCount val="15"/>
                <c:pt idx="0">
                  <c:v>527.18300440104736</c:v>
                </c:pt>
                <c:pt idx="1">
                  <c:v>561.16298155305333</c:v>
                </c:pt>
                <c:pt idx="2">
                  <c:v>582.4018321599433</c:v>
                </c:pt>
                <c:pt idx="3">
                  <c:v>597.3991143237165</c:v>
                </c:pt>
                <c:pt idx="4">
                  <c:v>608.66830526761464</c:v>
                </c:pt>
                <c:pt idx="5">
                  <c:v>615.72766849813036</c:v>
                </c:pt>
                <c:pt idx="6">
                  <c:v>636.20664367626671</c:v>
                </c:pt>
                <c:pt idx="7">
                  <c:v>670.06261098460334</c:v>
                </c:pt>
                <c:pt idx="8">
                  <c:v>717.27767121588806</c:v>
                </c:pt>
                <c:pt idx="9">
                  <c:v>777.84366303855836</c:v>
                </c:pt>
                <c:pt idx="10">
                  <c:v>851.75785314375162</c:v>
                </c:pt>
                <c:pt idx="11">
                  <c:v>939.02069812656919</c:v>
                </c:pt>
                <c:pt idx="12">
                  <c:v>1039.6346134428034</c:v>
                </c:pt>
                <c:pt idx="13">
                  <c:v>1153.6032629786703</c:v>
                </c:pt>
                <c:pt idx="14">
                  <c:v>1280.9311320093743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936-6B43-BB00-726B983448E8}"/>
            </c:ext>
          </c:extLst>
        </c:ser>
        <c:ser>
          <c:idx val="3"/>
          <c:order val="9"/>
          <c:tx>
            <c:v>Titanium Beta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Sheet1!$G$36:$G$52</c:f>
              <c:numCache>
                <c:formatCode>0.00</c:formatCode>
                <c:ptCount val="17"/>
                <c:pt idx="0">
                  <c:v>298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</c:numCache>
            </c:numRef>
          </c:xVal>
          <c:yVal>
            <c:numRef>
              <c:f>Sheet1!$M$36:$M$52</c:f>
              <c:numCache>
                <c:formatCode>0.00</c:formatCode>
                <c:ptCount val="17"/>
                <c:pt idx="0">
                  <c:v>500.06375920963376</c:v>
                </c:pt>
                <c:pt idx="1">
                  <c:v>515.94782146363877</c:v>
                </c:pt>
                <c:pt idx="2">
                  <c:v>528.34861961267688</c:v>
                </c:pt>
                <c:pt idx="3">
                  <c:v>539.69654398878379</c:v>
                </c:pt>
                <c:pt idx="4">
                  <c:v>550.82916768315943</c:v>
                </c:pt>
                <c:pt idx="5">
                  <c:v>562.21399319990803</c:v>
                </c:pt>
                <c:pt idx="6">
                  <c:v>574.17987339792069</c:v>
                </c:pt>
                <c:pt idx="7">
                  <c:v>586.99563373514115</c:v>
                </c:pt>
                <c:pt idx="8">
                  <c:v>600.90119936059057</c:v>
                </c:pt>
                <c:pt idx="9">
                  <c:v>616.12139778506651</c:v>
                </c:pt>
                <c:pt idx="10">
                  <c:v>632.87264089304153</c:v>
                </c:pt>
                <c:pt idx="11">
                  <c:v>651.36639493016992</c:v>
                </c:pt>
                <c:pt idx="12">
                  <c:v>671.81108911729962</c:v>
                </c:pt>
                <c:pt idx="13">
                  <c:v>694.41321710416344</c:v>
                </c:pt>
                <c:pt idx="14">
                  <c:v>719.37799905599149</c:v>
                </c:pt>
                <c:pt idx="15">
                  <c:v>746.90979382945591</c:v>
                </c:pt>
                <c:pt idx="16">
                  <c:v>777.21236350727588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936-6B43-BB00-726B983448E8}"/>
            </c:ext>
          </c:extLst>
        </c:ser>
        <c:ser>
          <c:idx val="4"/>
          <c:order val="10"/>
          <c:tx>
            <c:v>Zirconium alpha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Sheet1!$G$59:$G$73</c:f>
              <c:numCache>
                <c:formatCode>0.00</c:formatCode>
                <c:ptCount val="15"/>
                <c:pt idx="0">
                  <c:v>298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</c:numCache>
            </c:numRef>
          </c:xVal>
          <c:yVal>
            <c:numRef>
              <c:f>Sheet1!$J$59:$J$73</c:f>
              <c:numCache>
                <c:formatCode>0.00</c:formatCode>
                <c:ptCount val="15"/>
                <c:pt idx="0">
                  <c:v>276.13725662289528</c:v>
                </c:pt>
                <c:pt idx="1">
                  <c:v>284.49603339033592</c:v>
                </c:pt>
                <c:pt idx="2">
                  <c:v>291.12715951942471</c:v>
                </c:pt>
                <c:pt idx="3">
                  <c:v>298.59089299112321</c:v>
                </c:pt>
                <c:pt idx="4">
                  <c:v>307.43343060454913</c:v>
                </c:pt>
                <c:pt idx="5">
                  <c:v>317.65642854402353</c:v>
                </c:pt>
                <c:pt idx="6">
                  <c:v>329.05752687997415</c:v>
                </c:pt>
                <c:pt idx="7">
                  <c:v>341.34603832324825</c:v>
                </c:pt>
                <c:pt idx="8">
                  <c:v>354.18875020565127</c:v>
                </c:pt>
                <c:pt idx="9">
                  <c:v>367.23023442904889</c:v>
                </c:pt>
                <c:pt idx="10">
                  <c:v>380.1026797162794</c:v>
                </c:pt>
                <c:pt idx="11">
                  <c:v>392.43099752660862</c:v>
                </c:pt>
                <c:pt idx="12">
                  <c:v>403.8356304871038</c:v>
                </c:pt>
                <c:pt idx="13">
                  <c:v>413.93417312741173</c:v>
                </c:pt>
                <c:pt idx="14">
                  <c:v>422.34234610754714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936-6B43-BB00-726B983448E8}"/>
            </c:ext>
          </c:extLst>
        </c:ser>
        <c:ser>
          <c:idx val="5"/>
          <c:order val="11"/>
          <c:tx>
            <c:v>Zirconium beta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Sheet1!$G$59:$G$78</c:f>
              <c:numCache>
                <c:formatCode>0.00</c:formatCode>
                <c:ptCount val="20"/>
                <c:pt idx="0">
                  <c:v>298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2125</c:v>
                </c:pt>
              </c:numCache>
            </c:numRef>
          </c:xVal>
          <c:yVal>
            <c:numRef>
              <c:f>Sheet1!$M$59:$M$78</c:f>
              <c:numCache>
                <c:formatCode>0.00</c:formatCode>
                <c:ptCount val="20"/>
                <c:pt idx="0">
                  <c:v>276.25491721017494</c:v>
                </c:pt>
                <c:pt idx="1">
                  <c:v>284.17587764184861</c:v>
                </c:pt>
                <c:pt idx="2">
                  <c:v>291.27200215951939</c:v>
                </c:pt>
                <c:pt idx="3">
                  <c:v>298.92650432147479</c:v>
                </c:pt>
                <c:pt idx="4">
                  <c:v>307.59551336539613</c:v>
                </c:pt>
                <c:pt idx="5">
                  <c:v>317.50851391629391</c:v>
                </c:pt>
                <c:pt idx="6">
                  <c:v>311.89124151078937</c:v>
                </c:pt>
                <c:pt idx="7">
                  <c:v>309.739969744804</c:v>
                </c:pt>
                <c:pt idx="8">
                  <c:v>310.10044366296961</c:v>
                </c:pt>
                <c:pt idx="9">
                  <c:v>312.39456352373156</c:v>
                </c:pt>
                <c:pt idx="10">
                  <c:v>316.27473812131342</c:v>
                </c:pt>
                <c:pt idx="11">
                  <c:v>321.52883995976708</c:v>
                </c:pt>
                <c:pt idx="12">
                  <c:v>328.02792728765331</c:v>
                </c:pt>
                <c:pt idx="13">
                  <c:v>335.69607468840439</c:v>
                </c:pt>
                <c:pt idx="14">
                  <c:v>344.49223817163085</c:v>
                </c:pt>
                <c:pt idx="15">
                  <c:v>354.39896545201992</c:v>
                </c:pt>
                <c:pt idx="16">
                  <c:v>365.41515020413055</c:v>
                </c:pt>
                <c:pt idx="17">
                  <c:v>377.55125570025433</c:v>
                </c:pt>
                <c:pt idx="18">
                  <c:v>390.82609084349048</c:v>
                </c:pt>
                <c:pt idx="19">
                  <c:v>394.3255377457694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936-6B43-BB00-726B98344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8751"/>
        <c:axId val="1873135248"/>
      </c:scatterChart>
      <c:valAx>
        <c:axId val="15228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Temperature</a:t>
                </a:r>
                <a:r>
                  <a:rPr lang="en-US" sz="1600" baseline="0"/>
                  <a:t>, K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35248"/>
        <c:crosses val="autoZero"/>
        <c:crossBetween val="midCat"/>
      </c:valAx>
      <c:valAx>
        <c:axId val="18731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</a:t>
                </a:r>
                <a:r>
                  <a:rPr lang="en-US" sz="1600" baseline="-25000"/>
                  <a:t>p</a:t>
                </a:r>
                <a:r>
                  <a:rPr lang="en-US" sz="1600" baseline="0"/>
                  <a:t>, J/kg-K</a:t>
                </a:r>
              </a:p>
            </c:rich>
          </c:tx>
          <c:layout>
            <c:manualLayout>
              <c:xMode val="edge"/>
              <c:yMode val="edge"/>
              <c:x val="1.5048908954100828E-2"/>
              <c:y val="0.392151346250258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87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039085689909524"/>
          <c:y val="0.15009269908677145"/>
          <c:w val="0.11938979646306132"/>
          <c:h val="0.24629273018476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97129450240842"/>
          <c:y val="6.122347066167292E-2"/>
          <c:w val="0.8109650853462731"/>
          <c:h val="0.77718658763160231"/>
        </c:manualLayout>
      </c:layout>
      <c:scatterChart>
        <c:scatterStyle val="smoothMarker"/>
        <c:varyColors val="0"/>
        <c:ser>
          <c:idx val="0"/>
          <c:order val="0"/>
          <c:tx>
            <c:v>Magnesium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Sheet1!$E$8:$E$15</c:f>
              <c:numCache>
                <c:formatCode>0.00</c:formatCode>
                <c:ptCount val="8"/>
                <c:pt idx="0">
                  <c:v>298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923</c:v>
                </c:pt>
              </c:numCache>
            </c:numRef>
          </c:xVal>
          <c:yVal>
            <c:numRef>
              <c:f>Sheet1!$I$8:$I$15</c:f>
              <c:numCache>
                <c:formatCode>0.00</c:formatCode>
                <c:ptCount val="8"/>
                <c:pt idx="0">
                  <c:v>-3.6124139443502266E-3</c:v>
                </c:pt>
                <c:pt idx="1">
                  <c:v>2.6033088418218653</c:v>
                </c:pt>
                <c:pt idx="2">
                  <c:v>5.2705086163333332</c:v>
                </c:pt>
                <c:pt idx="3">
                  <c:v>8.0363591930431966</c:v>
                </c:pt>
                <c:pt idx="4">
                  <c:v>10.906429207697293</c:v>
                </c:pt>
                <c:pt idx="5">
                  <c:v>13.892852803976538</c:v>
                </c:pt>
                <c:pt idx="6">
                  <c:v>17.010872852544534</c:v>
                </c:pt>
                <c:pt idx="7">
                  <c:v>17.748390825538308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4-7842-987F-04C76B5CE581}"/>
            </c:ext>
          </c:extLst>
        </c:ser>
        <c:ser>
          <c:idx val="1"/>
          <c:order val="1"/>
          <c:tx>
            <c:v>Aluminum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Sheet1!$E$22:$E$29</c:f>
              <c:numCache>
                <c:formatCode>0.00</c:formatCode>
                <c:ptCount val="8"/>
                <c:pt idx="0">
                  <c:v>298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923</c:v>
                </c:pt>
              </c:numCache>
            </c:numRef>
          </c:xVal>
          <c:yVal>
            <c:numRef>
              <c:f>Sheet1!$I$22:$I$29</c:f>
              <c:numCache>
                <c:formatCode>0.00</c:formatCode>
                <c:ptCount val="8"/>
                <c:pt idx="0">
                  <c:v>-3.9765653163446046E-3</c:v>
                </c:pt>
                <c:pt idx="1">
                  <c:v>2.5533001053333351</c:v>
                </c:pt>
                <c:pt idx="2">
                  <c:v>5.1855438229166673</c:v>
                </c:pt>
                <c:pt idx="3">
                  <c:v>7.9213490906666646</c:v>
                </c:pt>
                <c:pt idx="4">
                  <c:v>10.769334575583331</c:v>
                </c:pt>
                <c:pt idx="5">
                  <c:v>13.750081616666671</c:v>
                </c:pt>
                <c:pt idx="6">
                  <c:v>16.890630752694449</c:v>
                </c:pt>
                <c:pt idx="7">
                  <c:v>17.638781322667192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34-7842-987F-04C76B5CE581}"/>
            </c:ext>
          </c:extLst>
        </c:ser>
        <c:ser>
          <c:idx val="2"/>
          <c:order val="2"/>
          <c:tx>
            <c:v>Titanium alpha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Sheet1!$G$36:$G$50</c:f>
              <c:numCache>
                <c:formatCode>0.00</c:formatCode>
                <c:ptCount val="15"/>
                <c:pt idx="0">
                  <c:v>298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</c:numCache>
            </c:numRef>
          </c:xVal>
          <c:yVal>
            <c:numRef>
              <c:f>Sheet1!$K$36:$K$50</c:f>
              <c:numCache>
                <c:formatCode>0.00</c:formatCode>
                <c:ptCount val="15"/>
                <c:pt idx="0">
                  <c:v>-3.6637108672366026E-3</c:v>
                </c:pt>
                <c:pt idx="1">
                  <c:v>2.6604877688000013</c:v>
                </c:pt>
                <c:pt idx="2">
                  <c:v>5.4006698750000002</c:v>
                </c:pt>
                <c:pt idx="3">
                  <c:v>8.2262274608000006</c:v>
                </c:pt>
                <c:pt idx="4">
                  <c:v>11.11390551122857</c:v>
                </c:pt>
                <c:pt idx="5">
                  <c:v>14.039058948266666</c:v>
                </c:pt>
                <c:pt idx="6">
                  <c:v>17.030034524558339</c:v>
                </c:pt>
                <c:pt idx="7">
                  <c:v>20.151062583333335</c:v>
                </c:pt>
                <c:pt idx="8">
                  <c:v>23.466126755891679</c:v>
                </c:pt>
                <c:pt idx="9">
                  <c:v>27.03915066559999</c:v>
                </c:pt>
                <c:pt idx="10">
                  <c:v>30.934033056096801</c:v>
                </c:pt>
                <c:pt idx="11">
                  <c:v>35.214667864552375</c:v>
                </c:pt>
                <c:pt idx="12">
                  <c:v>39.944956265625009</c:v>
                </c:pt>
                <c:pt idx="13">
                  <c:v>45.188814198933343</c:v>
                </c:pt>
                <c:pt idx="14">
                  <c:v>51.010177239774023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34-7842-987F-04C76B5CE581}"/>
            </c:ext>
          </c:extLst>
        </c:ser>
        <c:ser>
          <c:idx val="3"/>
          <c:order val="3"/>
          <c:tx>
            <c:v>Titanium Beta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Sheet1!$G$36:$G$52</c:f>
              <c:numCache>
                <c:formatCode>0.00</c:formatCode>
                <c:ptCount val="17"/>
                <c:pt idx="0">
                  <c:v>298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</c:numCache>
            </c:numRef>
          </c:xVal>
          <c:yVal>
            <c:numRef>
              <c:f>Sheet1!$N$36:$N$52</c:f>
              <c:numCache>
                <c:formatCode>0.00</c:formatCode>
                <c:ptCount val="17"/>
                <c:pt idx="0">
                  <c:v>-3.1045961176943138E-3</c:v>
                </c:pt>
                <c:pt idx="1">
                  <c:v>2.4793593533333338</c:v>
                </c:pt>
                <c:pt idx="2">
                  <c:v>4.9794071822916672</c:v>
                </c:pt>
                <c:pt idx="3">
                  <c:v>7.5358240193333321</c:v>
                </c:pt>
                <c:pt idx="4">
                  <c:v>10.145811503815473</c:v>
                </c:pt>
                <c:pt idx="5">
                  <c:v>12.80954100066667</c:v>
                </c:pt>
                <c:pt idx="6">
                  <c:v>15.529041001180556</c:v>
                </c:pt>
                <c:pt idx="7">
                  <c:v>18.307752083333334</c:v>
                </c:pt>
                <c:pt idx="8">
                  <c:v>21.150324621018942</c:v>
                </c:pt>
                <c:pt idx="9">
                  <c:v>24.062517638666666</c:v>
                </c:pt>
                <c:pt idx="10">
                  <c:v>27.051144348342952</c:v>
                </c:pt>
                <c:pt idx="11">
                  <c:v>30.124041028095228</c:v>
                </c:pt>
                <c:pt idx="12">
                  <c:v>33.290048348958329</c:v>
                </c:pt>
                <c:pt idx="13">
                  <c:v>36.558999704333338</c:v>
                </c:pt>
                <c:pt idx="14">
                  <c:v>39.941713658409313</c:v>
                </c:pt>
                <c:pt idx="15">
                  <c:v>43.449988911777773</c:v>
                </c:pt>
                <c:pt idx="16">
                  <c:v>47.096600856853065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34-7842-987F-04C76B5CE581}"/>
            </c:ext>
          </c:extLst>
        </c:ser>
        <c:ser>
          <c:idx val="4"/>
          <c:order val="4"/>
          <c:tx>
            <c:v>Zirconium alpha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Sheet1!$G$59:$G$73</c:f>
              <c:numCache>
                <c:formatCode>0.00</c:formatCode>
                <c:ptCount val="15"/>
                <c:pt idx="0">
                  <c:v>298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</c:numCache>
            </c:numRef>
          </c:xVal>
          <c:yVal>
            <c:numRef>
              <c:f>Sheet1!$K$59:$K$73</c:f>
              <c:numCache>
                <c:formatCode>0.00</c:formatCode>
                <c:ptCount val="15"/>
                <c:pt idx="0">
                  <c:v>-3.4211183604728745E-3</c:v>
                </c:pt>
                <c:pt idx="1">
                  <c:v>2.6081801533333362</c:v>
                </c:pt>
                <c:pt idx="2">
                  <c:v>5.233550666666666</c:v>
                </c:pt>
                <c:pt idx="3">
                  <c:v>7.922414346666665</c:v>
                </c:pt>
                <c:pt idx="4">
                  <c:v>10.68552200190476</c:v>
                </c:pt>
                <c:pt idx="5">
                  <c:v>13.535692076666665</c:v>
                </c:pt>
                <c:pt idx="6">
                  <c:v>16.484690631111114</c:v>
                </c:pt>
                <c:pt idx="7">
                  <c:v>19.541983333333334</c:v>
                </c:pt>
                <c:pt idx="8">
                  <c:v>22.714168183030303</c:v>
                </c:pt>
                <c:pt idx="9">
                  <c:v>26.004691873333329</c:v>
                </c:pt>
                <c:pt idx="10">
                  <c:v>29.413697062564097</c:v>
                </c:pt>
                <c:pt idx="11">
                  <c:v>32.93793510095238</c:v>
                </c:pt>
                <c:pt idx="12">
                  <c:v>36.570713666666663</c:v>
                </c:pt>
                <c:pt idx="13">
                  <c:v>40.301864038333335</c:v>
                </c:pt>
                <c:pt idx="14">
                  <c:v>44.117719918431369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34-7842-987F-04C76B5CE581}"/>
            </c:ext>
          </c:extLst>
        </c:ser>
        <c:ser>
          <c:idx val="5"/>
          <c:order val="5"/>
          <c:tx>
            <c:v>Zirconium beta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Sheet1!$G$59:$G$78</c:f>
              <c:numCache>
                <c:formatCode>0.00</c:formatCode>
                <c:ptCount val="20"/>
                <c:pt idx="0">
                  <c:v>298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2125</c:v>
                </c:pt>
              </c:numCache>
            </c:numRef>
          </c:xVal>
          <c:yVal>
            <c:numRef>
              <c:f>Sheet1!$N$59:$N$78</c:f>
              <c:numCache>
                <c:formatCode>0.00</c:formatCode>
                <c:ptCount val="20"/>
                <c:pt idx="0">
                  <c:v>-3.2441563723892841E-3</c:v>
                </c:pt>
                <c:pt idx="1">
                  <c:v>2.6055977992000017</c:v>
                </c:pt>
                <c:pt idx="2">
                  <c:v>5.2301891718749989</c:v>
                </c:pt>
                <c:pt idx="3">
                  <c:v>7.9215557398666654</c:v>
                </c:pt>
                <c:pt idx="4">
                  <c:v>10.687148158503568</c:v>
                </c:pt>
                <c:pt idx="5">
                  <c:v>13.543772058533333</c:v>
                </c:pt>
                <c:pt idx="6">
                  <c:v>16.411569247977781</c:v>
                </c:pt>
                <c:pt idx="7">
                  <c:v>19.244743166666666</c:v>
                </c:pt>
                <c:pt idx="8">
                  <c:v>22.070310943351515</c:v>
                </c:pt>
                <c:pt idx="9">
                  <c:v>24.908321172533327</c:v>
                </c:pt>
                <c:pt idx="10">
                  <c:v>27.774696897174358</c:v>
                </c:pt>
                <c:pt idx="11">
                  <c:v>30.682860170247622</c:v>
                </c:pt>
                <c:pt idx="12">
                  <c:v>33.644706791666671</c:v>
                </c:pt>
                <c:pt idx="13">
                  <c:v>36.671215518866674</c:v>
                </c:pt>
                <c:pt idx="14">
                  <c:v>39.772842261886282</c:v>
                </c:pt>
                <c:pt idx="15">
                  <c:v>42.959782880088888</c:v>
                </c:pt>
                <c:pt idx="16">
                  <c:v>46.242152990445611</c:v>
                </c:pt>
                <c:pt idx="17">
                  <c:v>49.630113833333333</c:v>
                </c:pt>
                <c:pt idx="18">
                  <c:v>53.133962176676192</c:v>
                </c:pt>
                <c:pt idx="19">
                  <c:v>54.02925671971699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34-7842-987F-04C76B5CE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8751"/>
        <c:axId val="1873135248"/>
      </c:scatterChart>
      <c:valAx>
        <c:axId val="15228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Temperature</a:t>
                </a:r>
                <a:r>
                  <a:rPr lang="en-US" sz="1600" baseline="0"/>
                  <a:t>, K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35248"/>
        <c:crosses val="autoZero"/>
        <c:crossBetween val="midCat"/>
      </c:valAx>
      <c:valAx>
        <c:axId val="18731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 - H</a:t>
                </a:r>
                <a:r>
                  <a:rPr lang="en-US" sz="1600" baseline="-25000"/>
                  <a:t>298</a:t>
                </a:r>
                <a:r>
                  <a:rPr lang="en-US" sz="1600" baseline="0"/>
                  <a:t>, kJ/mol</a:t>
                </a:r>
              </a:p>
            </c:rich>
          </c:tx>
          <c:layout>
            <c:manualLayout>
              <c:xMode val="edge"/>
              <c:yMode val="edge"/>
              <c:x val="1.5048908954100828E-2"/>
              <c:y val="0.39215134625025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39085689909524"/>
          <c:y val="0.15009269908677145"/>
          <c:w val="0.11938979646306132"/>
          <c:h val="0.24629273018476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646957</xdr:colOff>
      <xdr:row>0</xdr:row>
      <xdr:rowOff>77459</xdr:rowOff>
    </xdr:from>
    <xdr:to>
      <xdr:col>21</xdr:col>
      <xdr:colOff>775159</xdr:colOff>
      <xdr:row>20</xdr:row>
      <xdr:rowOff>1030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7F77E-12FC-074E-BE58-C12731FD8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331801</xdr:colOff>
      <xdr:row>20</xdr:row>
      <xdr:rowOff>114415</xdr:rowOff>
    </xdr:from>
    <xdr:to>
      <xdr:col>17</xdr:col>
      <xdr:colOff>363494</xdr:colOff>
      <xdr:row>29</xdr:row>
      <xdr:rowOff>82836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4AE302-6822-2A9B-DD50-919E6091F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25675" y="5274505"/>
          <a:ext cx="5168900" cy="2336800"/>
        </a:xfrm>
        <a:prstGeom prst="rect">
          <a:avLst/>
        </a:prstGeom>
      </xdr:spPr>
    </xdr:pic>
    <xdr:clientData/>
  </xdr:twoCellAnchor>
  <xdr:twoCellAnchor>
    <xdr:from>
      <xdr:col>14</xdr:col>
      <xdr:colOff>338668</xdr:colOff>
      <xdr:row>30</xdr:row>
      <xdr:rowOff>118533</xdr:rowOff>
    </xdr:from>
    <xdr:to>
      <xdr:col>25</xdr:col>
      <xdr:colOff>721785</xdr:colOff>
      <xdr:row>49</xdr:row>
      <xdr:rowOff>228371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EC639B-5269-3B46-ABEF-F2BA6500F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5E96-9B81-7B46-ACFF-6540AA7F4D6F}">
  <dimension ref="A2:N78"/>
  <sheetViews>
    <sheetView tabSelected="1" workbookViewId="0">
      <selection activeCell="V28" sqref="V28"/>
    </sheetView>
  </sheetViews>
  <sheetFormatPr baseColWidth="10" defaultRowHeight="16"/>
  <cols>
    <col min="3" max="3" width="15.5" bestFit="1" customWidth="1"/>
    <col min="4" max="4" width="15.5" customWidth="1"/>
    <col min="5" max="6" width="16.33203125" bestFit="1" customWidth="1"/>
    <col min="7" max="7" width="11" bestFit="1" customWidth="1"/>
    <col min="8" max="8" width="11.5" bestFit="1" customWidth="1"/>
    <col min="9" max="9" width="13.33203125" style="1" bestFit="1" customWidth="1"/>
    <col min="10" max="10" width="11.5" bestFit="1" customWidth="1"/>
    <col min="11" max="11" width="11.6640625" bestFit="1" customWidth="1"/>
    <col min="12" max="12" width="11.83203125" bestFit="1" customWidth="1"/>
    <col min="13" max="13" width="11" bestFit="1" customWidth="1"/>
    <col min="14" max="14" width="12.1640625" bestFit="1" customWidth="1"/>
  </cols>
  <sheetData>
    <row r="2" spans="2:9" ht="25">
      <c r="B2" s="15" t="s">
        <v>17</v>
      </c>
      <c r="C2" s="15"/>
    </row>
    <row r="3" spans="2:9" ht="20">
      <c r="B3" s="4" t="s">
        <v>10</v>
      </c>
      <c r="C3" s="5">
        <v>4.1840000000000002</v>
      </c>
      <c r="D3" s="3" t="s">
        <v>12</v>
      </c>
    </row>
    <row r="4" spans="2:9" ht="20">
      <c r="B4" s="4" t="s">
        <v>20</v>
      </c>
      <c r="C4" s="16">
        <f>24.305/1000</f>
        <v>2.4305E-2</v>
      </c>
      <c r="D4" s="3" t="s">
        <v>13</v>
      </c>
    </row>
    <row r="5" spans="2:9" ht="21" thickBot="1">
      <c r="B5" s="3"/>
      <c r="E5" s="3"/>
    </row>
    <row r="6" spans="2:9" ht="24">
      <c r="B6" s="6" t="s">
        <v>0</v>
      </c>
      <c r="C6" s="13">
        <v>6.3434109999999997</v>
      </c>
      <c r="E6" s="31" t="s">
        <v>8</v>
      </c>
      <c r="F6" s="68" t="s">
        <v>14</v>
      </c>
      <c r="G6" s="68" t="s">
        <v>9</v>
      </c>
      <c r="H6" s="68" t="s">
        <v>9</v>
      </c>
      <c r="I6" s="88" t="s">
        <v>34</v>
      </c>
    </row>
    <row r="7" spans="2:9" ht="21" thickBot="1">
      <c r="B7" s="6" t="s">
        <v>1</v>
      </c>
      <c r="C7" s="13">
        <v>-0.36640699999999998</v>
      </c>
      <c r="E7" s="33" t="s">
        <v>18</v>
      </c>
      <c r="F7" s="12" t="s">
        <v>18</v>
      </c>
      <c r="G7" s="12" t="s">
        <v>15</v>
      </c>
      <c r="H7" s="12" t="s">
        <v>16</v>
      </c>
      <c r="I7" s="67" t="s">
        <v>35</v>
      </c>
    </row>
    <row r="8" spans="2:9" ht="21" thickTop="1">
      <c r="B8" s="6" t="s">
        <v>2</v>
      </c>
      <c r="C8" s="13">
        <v>1.9269700000000001</v>
      </c>
      <c r="E8" s="38">
        <v>298</v>
      </c>
      <c r="F8" s="11">
        <f>E8/1000</f>
        <v>0.29799999999999999</v>
      </c>
      <c r="G8" s="10">
        <f>$C$6+($C$7*F8)+($C$8*F8^2)+($C$9*F8^3)+($C$10/(F8^2))</f>
        <v>5.9400655096166703</v>
      </c>
      <c r="H8" s="10">
        <f>G8*$C$3/$C$4</f>
        <v>1022.5564325133162</v>
      </c>
      <c r="I8" s="89">
        <f>(($C$6*F8)+($C$7*F8^2/2)+($C$8*F8^3/3)+($C$9*F8^4/4) - ($C$10/F8) + $C$11 - $C$13)*$C$3</f>
        <v>-3.6124139443502266E-3</v>
      </c>
    </row>
    <row r="9" spans="2:9" ht="20">
      <c r="B9" s="6" t="s">
        <v>3</v>
      </c>
      <c r="C9" s="13">
        <v>0.13675200000000001</v>
      </c>
      <c r="E9" s="40">
        <v>400</v>
      </c>
      <c r="F9" s="8">
        <f t="shared" ref="F9:F15" si="0">E9/1000</f>
        <v>0.4</v>
      </c>
      <c r="G9" s="7">
        <f>$C$6+($C$7*F9)+($C$8*F9^2)+($C$9*F9^3)+($C$10/(F9^2))</f>
        <v>6.253665528</v>
      </c>
      <c r="H9" s="7">
        <f>G9*$C$3/$C$4</f>
        <v>1076.5413112179388</v>
      </c>
      <c r="I9" s="89">
        <f t="shared" ref="I9:I15" si="1">(($C$6*F9)+($C$7*F9^2/2)+($C$8*F9^3/3)+($C$9*F9^4/4) - ($C$10/F9) + $C$11 - $C$13)*$C$3</f>
        <v>2.6033088418218653</v>
      </c>
    </row>
    <row r="10" spans="2:9" ht="20">
      <c r="B10" s="6" t="s">
        <v>4</v>
      </c>
      <c r="C10" s="13">
        <v>-4.1640000000000003E-2</v>
      </c>
      <c r="E10" s="42">
        <v>500</v>
      </c>
      <c r="F10" s="8">
        <f t="shared" si="0"/>
        <v>0.5</v>
      </c>
      <c r="G10" s="7">
        <f>$C$6+($C$7*F10)+($C$8*F10^2)+($C$9*F10^3)+($C$10/(F10^2))</f>
        <v>6.4924840000000001</v>
      </c>
      <c r="H10" s="7">
        <f>G10*$C$3/$C$4</f>
        <v>1117.6528720839335</v>
      </c>
      <c r="I10" s="89">
        <f t="shared" si="1"/>
        <v>5.2705086163333332</v>
      </c>
    </row>
    <row r="11" spans="2:9" ht="20">
      <c r="B11" s="6" t="s">
        <v>5</v>
      </c>
      <c r="C11" s="13">
        <v>-2.03193</v>
      </c>
      <c r="E11" s="42">
        <v>600</v>
      </c>
      <c r="F11" s="8">
        <f t="shared" si="0"/>
        <v>0.6</v>
      </c>
      <c r="G11" s="7">
        <f>$C$6+($C$7*F11)+($C$8*F11^2)+($C$9*F11^3)+($C$10/(F11^2))</f>
        <v>6.7311477653333327</v>
      </c>
      <c r="H11" s="7">
        <f>G11*$C$3/$C$4</f>
        <v>1158.7378008703831</v>
      </c>
      <c r="I11" s="89">
        <f t="shared" si="1"/>
        <v>8.0363591930431966</v>
      </c>
    </row>
    <row r="12" spans="2:9" ht="20">
      <c r="B12" s="6" t="s">
        <v>6</v>
      </c>
      <c r="C12" s="13">
        <v>15.2729</v>
      </c>
      <c r="E12" s="42">
        <v>700</v>
      </c>
      <c r="F12" s="8">
        <f t="shared" si="0"/>
        <v>0.7</v>
      </c>
      <c r="G12" s="7">
        <f>$C$6+($C$7*F12)+($C$8*F12^2)+($C$9*F12^3)+($C$10/(F12^2))</f>
        <v>6.9930677441632643</v>
      </c>
      <c r="H12" s="7">
        <f>G12*$C$3/$C$4</f>
        <v>1203.8261856234972</v>
      </c>
      <c r="I12" s="89">
        <f t="shared" si="1"/>
        <v>10.906429207697293</v>
      </c>
    </row>
    <row r="13" spans="2:9" ht="20">
      <c r="B13" s="6" t="s">
        <v>7</v>
      </c>
      <c r="C13" s="14">
        <v>0</v>
      </c>
      <c r="D13" s="4"/>
      <c r="E13" s="42">
        <v>800</v>
      </c>
      <c r="F13" s="8">
        <f t="shared" si="0"/>
        <v>0.8</v>
      </c>
      <c r="G13" s="7">
        <f>$C$6+($C$7*F13)+($C$8*F13^2)+($C$9*F13^3)+($C$10/(F13^2))</f>
        <v>7.2885007240000004</v>
      </c>
      <c r="H13" s="7">
        <f>G13*$C$3/$C$4</f>
        <v>1254.6836876863197</v>
      </c>
      <c r="I13" s="89">
        <f t="shared" si="1"/>
        <v>13.892852803976538</v>
      </c>
    </row>
    <row r="14" spans="2:9" ht="20">
      <c r="B14" s="3"/>
      <c r="C14" s="4"/>
      <c r="D14" s="4"/>
      <c r="E14" s="42">
        <v>900</v>
      </c>
      <c r="F14" s="8">
        <f t="shared" si="0"/>
        <v>0.9</v>
      </c>
      <c r="G14" s="7">
        <f>$C$6+($C$7*F14)+($C$8*F14^2)+($C$9*F14^3)+($C$10/(F14^2))</f>
        <v>7.6227752005925931</v>
      </c>
      <c r="H14" s="7">
        <f>G14*$C$3/$C$4</f>
        <v>1312.2275844179967</v>
      </c>
      <c r="I14" s="89">
        <f t="shared" si="1"/>
        <v>17.010872852544534</v>
      </c>
    </row>
    <row r="15" spans="2:9" ht="21" thickBot="1">
      <c r="B15" s="3"/>
      <c r="E15" s="72">
        <v>923</v>
      </c>
      <c r="F15" s="73">
        <f t="shared" si="0"/>
        <v>0.92300000000000004</v>
      </c>
      <c r="G15" s="94">
        <f>$C$6+($C$7*F15)+($C$8*F15^2)+($C$9*F15^3)+($C$10/(F15^2))</f>
        <v>7.7055139156071846</v>
      </c>
      <c r="H15" s="94">
        <f>G15*$C$3/$C$4</f>
        <v>1326.4706942152011</v>
      </c>
      <c r="I15" s="89">
        <f t="shared" si="1"/>
        <v>17.748390825538308</v>
      </c>
    </row>
    <row r="16" spans="2:9" ht="20">
      <c r="B16" s="3"/>
    </row>
    <row r="17" spans="2:9" ht="25">
      <c r="B17" s="15" t="s">
        <v>19</v>
      </c>
      <c r="C17" s="15"/>
    </row>
    <row r="18" spans="2:9" ht="20">
      <c r="B18" s="4" t="s">
        <v>11</v>
      </c>
      <c r="C18" s="16">
        <f>26.981539/1000</f>
        <v>2.6981539000000002E-2</v>
      </c>
      <c r="D18" s="3" t="s">
        <v>13</v>
      </c>
    </row>
    <row r="19" spans="2:9" ht="21" thickBot="1">
      <c r="B19" s="3"/>
      <c r="E19" s="3"/>
    </row>
    <row r="20" spans="2:9" ht="24">
      <c r="B20" s="6" t="s">
        <v>0</v>
      </c>
      <c r="C20" s="18">
        <v>28.089200000000002</v>
      </c>
      <c r="E20" s="31" t="s">
        <v>8</v>
      </c>
      <c r="F20" s="68" t="s">
        <v>14</v>
      </c>
      <c r="G20" s="68" t="s">
        <v>9</v>
      </c>
      <c r="H20" s="68" t="s">
        <v>9</v>
      </c>
      <c r="I20" s="65" t="s">
        <v>34</v>
      </c>
    </row>
    <row r="21" spans="2:9" ht="22" thickBot="1">
      <c r="B21" s="6" t="s">
        <v>1</v>
      </c>
      <c r="C21" s="18">
        <v>-5.4148490000000002</v>
      </c>
      <c r="E21" s="74" t="s">
        <v>18</v>
      </c>
      <c r="F21" s="75" t="s">
        <v>18</v>
      </c>
      <c r="G21" s="75" t="s">
        <v>15</v>
      </c>
      <c r="H21" s="75" t="s">
        <v>16</v>
      </c>
      <c r="I21" s="67" t="s">
        <v>35</v>
      </c>
    </row>
    <row r="22" spans="2:9" ht="22" thickTop="1">
      <c r="B22" s="6" t="s">
        <v>2</v>
      </c>
      <c r="C22" s="18">
        <v>8.5604230000000001</v>
      </c>
      <c r="E22" s="38">
        <v>298</v>
      </c>
      <c r="F22" s="11">
        <f>E22/1000</f>
        <v>0.29799999999999999</v>
      </c>
      <c r="G22" s="10">
        <f>$C$20+($C$21*F22)+($C$22*F22^2)+($C$23*F22^3)+($C$24/(F22^2))</f>
        <v>24.203023677082804</v>
      </c>
      <c r="H22" s="10">
        <f>G22/$C$18</f>
        <v>897.02161455959947</v>
      </c>
      <c r="I22" s="109">
        <f>(($C$20*F22)+($C$21*F22^2/2)+($C$22*F22^3/3)+($C$23*F22^4/4) - ($C$24/F22) + $C$25 - $C$27)</f>
        <v>-3.9765653163446046E-3</v>
      </c>
    </row>
    <row r="23" spans="2:9" ht="21">
      <c r="B23" s="6" t="s">
        <v>3</v>
      </c>
      <c r="C23" s="18">
        <v>3.4273699999999998</v>
      </c>
      <c r="E23" s="40">
        <v>400</v>
      </c>
      <c r="F23" s="8">
        <f t="shared" ref="F23:F28" si="2">E23/1000</f>
        <v>0.4</v>
      </c>
      <c r="G23" s="10">
        <f>$C$20+($C$21*F23)+($C$22*F23^2)+($C$23*F23^3)+($C$24/(F23^2))</f>
        <v>25.778686009999998</v>
      </c>
      <c r="H23" s="10">
        <f t="shared" ref="H23:H29" si="3">G23/$C$18</f>
        <v>955.41940769205178</v>
      </c>
      <c r="I23" s="90">
        <f>(($C$20*F23)+($C$21*F23^2/2)+($C$22*F23^3/3)+($C$23*F23^4/4) - ($C$24/F23) + $C$25 - $C$27)</f>
        <v>2.5533001053333351</v>
      </c>
    </row>
    <row r="24" spans="2:9" ht="21">
      <c r="B24" s="6" t="s">
        <v>4</v>
      </c>
      <c r="C24" s="18">
        <v>-0.27737499999999998</v>
      </c>
      <c r="E24" s="42">
        <v>500</v>
      </c>
      <c r="F24" s="8">
        <f t="shared" si="2"/>
        <v>0.5</v>
      </c>
      <c r="G24" s="10">
        <f>$C$20+($C$21*F24)+($C$22*F24^2)+($C$23*F24^3)+($C$24/(F24^2))</f>
        <v>26.840802500000002</v>
      </c>
      <c r="H24" s="10">
        <f t="shared" si="3"/>
        <v>994.78397062524857</v>
      </c>
      <c r="I24" s="90">
        <f t="shared" ref="I23:I29" si="4">(($C$20*F24)+($C$21*F24^2/2)+($C$22*F24^3/3)+($C$23*F24^4/4) - ($C$24/F24) + $C$25 - $C$27)</f>
        <v>5.1855438229166673</v>
      </c>
    </row>
    <row r="25" spans="2:9" ht="21">
      <c r="B25" s="6" t="s">
        <v>5</v>
      </c>
      <c r="C25" s="18">
        <v>-9.1471870000000006</v>
      </c>
      <c r="E25" s="42">
        <v>600</v>
      </c>
      <c r="F25" s="8">
        <f t="shared" si="2"/>
        <v>0.6</v>
      </c>
      <c r="G25" s="10">
        <f>$C$20+($C$21*F25)+($C$22*F25^2)+($C$23*F25^3)+($C$24/(F25^2))</f>
        <v>27.891868688888891</v>
      </c>
      <c r="H25" s="10">
        <f t="shared" si="3"/>
        <v>1033.7389831206028</v>
      </c>
      <c r="I25" s="90">
        <f t="shared" si="4"/>
        <v>7.9213490906666646</v>
      </c>
    </row>
    <row r="26" spans="2:9" ht="21">
      <c r="B26" s="6" t="s">
        <v>6</v>
      </c>
      <c r="C26" s="18">
        <v>61.90981</v>
      </c>
      <c r="E26" s="42">
        <v>700</v>
      </c>
      <c r="F26" s="8">
        <f t="shared" si="2"/>
        <v>0.7</v>
      </c>
      <c r="G26" s="10">
        <f>$C$20+($C$21*F26)+($C$22*F26^2)+($C$23*F26^3)+($C$24/(F26^2))</f>
        <v>29.102929451428572</v>
      </c>
      <c r="H26" s="10">
        <f t="shared" si="3"/>
        <v>1078.6237749977333</v>
      </c>
      <c r="I26" s="90">
        <f t="shared" si="4"/>
        <v>10.769334575583331</v>
      </c>
    </row>
    <row r="27" spans="2:9" ht="20">
      <c r="B27" s="6" t="s">
        <v>7</v>
      </c>
      <c r="C27" s="17">
        <v>0</v>
      </c>
      <c r="D27" s="4"/>
      <c r="E27" s="42">
        <v>800</v>
      </c>
      <c r="F27" s="8">
        <f t="shared" si="2"/>
        <v>0.8</v>
      </c>
      <c r="G27" s="10">
        <f>$C$20+($C$21*F27)+($C$22*F27^2)+($C$23*F27^3)+($C$24/(F27^2))</f>
        <v>30.557406522500003</v>
      </c>
      <c r="H27" s="10">
        <f t="shared" si="3"/>
        <v>1132.5301541361298</v>
      </c>
      <c r="I27" s="90">
        <f t="shared" si="4"/>
        <v>13.750081616666671</v>
      </c>
    </row>
    <row r="28" spans="2:9" ht="20">
      <c r="B28" s="3"/>
      <c r="C28" s="4"/>
      <c r="D28" s="4"/>
      <c r="E28" s="42">
        <v>900</v>
      </c>
      <c r="F28" s="8">
        <f t="shared" si="2"/>
        <v>0.9</v>
      </c>
      <c r="G28" s="10">
        <f>$C$20+($C$21*F28)+($C$22*F28^2)+($C$23*F28^3)+($C$24/(F28^2))</f>
        <v>32.305892988395065</v>
      </c>
      <c r="H28" s="10">
        <f t="shared" si="3"/>
        <v>1197.3332206289294</v>
      </c>
      <c r="I28" s="90">
        <f t="shared" si="4"/>
        <v>16.890630752694449</v>
      </c>
    </row>
    <row r="29" spans="2:9" ht="21" thickBot="1">
      <c r="B29" s="3"/>
      <c r="E29" s="72">
        <v>923</v>
      </c>
      <c r="F29" s="73">
        <f>E29/1000</f>
        <v>0.92300000000000004</v>
      </c>
      <c r="G29" s="112">
        <f>$C$20+($C$21*F29)+($C$22*F29^2)+($C$23*F29^3)+($C$24/(F29^2))</f>
        <v>32.753627787858051</v>
      </c>
      <c r="H29" s="112">
        <f t="shared" si="3"/>
        <v>1213.9273370528661</v>
      </c>
      <c r="I29" s="91">
        <f t="shared" si="4"/>
        <v>17.638781322667192</v>
      </c>
    </row>
    <row r="30" spans="2:9" ht="21">
      <c r="I30" s="20"/>
    </row>
    <row r="31" spans="2:9" ht="25">
      <c r="B31" s="15" t="s">
        <v>21</v>
      </c>
      <c r="C31" s="15"/>
    </row>
    <row r="32" spans="2:9" ht="20">
      <c r="B32" s="4" t="s">
        <v>27</v>
      </c>
      <c r="C32" s="16">
        <f>47.867/1000</f>
        <v>4.7867E-2</v>
      </c>
      <c r="D32" s="3" t="s">
        <v>13</v>
      </c>
    </row>
    <row r="33" spans="2:14" ht="21" thickBot="1">
      <c r="B33" s="3"/>
      <c r="E33" s="3"/>
      <c r="I33" s="30" t="s">
        <v>28</v>
      </c>
      <c r="J33" s="30"/>
      <c r="K33" s="63"/>
      <c r="L33" s="30" t="s">
        <v>26</v>
      </c>
      <c r="M33" s="30"/>
    </row>
    <row r="34" spans="2:14" ht="24">
      <c r="B34" s="22"/>
      <c r="C34" s="86" t="s">
        <v>25</v>
      </c>
      <c r="D34" s="87"/>
      <c r="E34" s="32" t="s">
        <v>26</v>
      </c>
      <c r="G34" s="31" t="s">
        <v>8</v>
      </c>
      <c r="H34" s="64" t="s">
        <v>14</v>
      </c>
      <c r="I34" s="31" t="s">
        <v>9</v>
      </c>
      <c r="J34" s="68" t="s">
        <v>9</v>
      </c>
      <c r="K34" s="70" t="s">
        <v>34</v>
      </c>
      <c r="L34" s="31" t="s">
        <v>9</v>
      </c>
      <c r="M34" s="68" t="s">
        <v>9</v>
      </c>
      <c r="N34" s="65" t="s">
        <v>34</v>
      </c>
    </row>
    <row r="35" spans="2:14" ht="22" thickBot="1">
      <c r="B35" s="23"/>
      <c r="C35" s="76" t="s">
        <v>22</v>
      </c>
      <c r="D35" s="77" t="s">
        <v>23</v>
      </c>
      <c r="E35" s="78" t="s">
        <v>24</v>
      </c>
      <c r="G35" s="33" t="s">
        <v>18</v>
      </c>
      <c r="H35" s="29" t="s">
        <v>18</v>
      </c>
      <c r="I35" s="69" t="s">
        <v>15</v>
      </c>
      <c r="J35" s="6" t="s">
        <v>16</v>
      </c>
      <c r="K35" s="71" t="s">
        <v>35</v>
      </c>
      <c r="L35" s="69" t="s">
        <v>15</v>
      </c>
      <c r="M35" s="6" t="s">
        <v>16</v>
      </c>
      <c r="N35" s="66" t="s">
        <v>35</v>
      </c>
    </row>
    <row r="36" spans="2:14" ht="22" thickTop="1">
      <c r="B36" s="24" t="s">
        <v>0</v>
      </c>
      <c r="C36" s="79">
        <v>22.619420000000002</v>
      </c>
      <c r="D36" s="80">
        <v>44.371740000000003</v>
      </c>
      <c r="E36" s="81">
        <v>23.0566</v>
      </c>
      <c r="G36" s="38">
        <v>298</v>
      </c>
      <c r="H36" s="35">
        <f>G36/1000</f>
        <v>0.29799999999999999</v>
      </c>
      <c r="I36" s="42">
        <f>$C$36+($C$37*H36)+($C$38*H36^2)+($C$39*H36^3)+($C$40/(H36^2))</f>
        <v>25.234668871664933</v>
      </c>
      <c r="J36" s="7">
        <f>I36/$C$32</f>
        <v>527.18300440104736</v>
      </c>
      <c r="K36" s="93">
        <f>(($C$36*H36)+($C$37*H36^2/2)+($C$38*H36^3/3)+($C$39*H36^4/4) - ($C$40/H36) + $C$41 - $C$43)</f>
        <v>-3.6637108672366026E-3</v>
      </c>
      <c r="L36" s="42">
        <f>$E$36+($E$37*H36)+($E$38*H36^2)+($E$39*H36^3)+($E$40/(H36^2))</f>
        <v>23.936551962087538</v>
      </c>
      <c r="M36" s="7">
        <f>L36/$C$32</f>
        <v>500.06375920963376</v>
      </c>
      <c r="N36" s="90">
        <f>(($E$36*H36)+($E$37*H36^2/2)+($E$38*H36^3/3)+($E$39*H36^4/4) - ($E$40/H36) + $E$41 - $E$43)</f>
        <v>-3.1045961176943138E-3</v>
      </c>
    </row>
    <row r="37" spans="2:14" ht="21">
      <c r="B37" s="25" t="s">
        <v>1</v>
      </c>
      <c r="C37" s="40">
        <v>18.987950000000001</v>
      </c>
      <c r="D37" s="9">
        <v>-44.09225</v>
      </c>
      <c r="E37" s="82">
        <v>5.5413309999999996</v>
      </c>
      <c r="G37" s="40">
        <v>400</v>
      </c>
      <c r="H37" s="36">
        <f t="shared" ref="H37:H42" si="5">G37/1000</f>
        <v>0.4</v>
      </c>
      <c r="I37" s="42">
        <f>$C$36+($C$37*H37)+($C$38*H37^2)+($C$39*H37^3)+($C$40/(H37^2))</f>
        <v>26.861188438000003</v>
      </c>
      <c r="J37" s="7">
        <f>I37/$C$32</f>
        <v>561.16298155305333</v>
      </c>
      <c r="K37" s="93">
        <f t="shared" ref="K37:K41" si="6">(($C$36*H37)+($C$37*H37^2/2)+($C$38*H37^3/3)+($C$39*H37^4/4) - ($C$40/H37) + $C$41 - $C$43)</f>
        <v>2.6604877688000013</v>
      </c>
      <c r="L37" s="42">
        <f>$E$36+($E$37*H37)+($E$38*H37^2)+($E$39*H37^3)+($E$40/(H37^2))</f>
        <v>24.696874369999996</v>
      </c>
      <c r="M37" s="7">
        <f>L37/$C$32</f>
        <v>515.94782146363877</v>
      </c>
      <c r="N37" s="90">
        <f t="shared" ref="N37:N52" si="7">(($E$36*H37)+($E$37*H37^2/2)+($E$38*H37^3/3)+($E$39*H37^4/4) - ($E$40/H37) + $E$41 - $E$43)</f>
        <v>2.4793593533333338</v>
      </c>
    </row>
    <row r="38" spans="2:14" ht="21">
      <c r="B38" s="25" t="s">
        <v>2</v>
      </c>
      <c r="C38" s="40">
        <v>-18.187349999999999</v>
      </c>
      <c r="D38" s="9">
        <v>31.706019999999999</v>
      </c>
      <c r="E38" s="82">
        <v>-2.0558809999999998</v>
      </c>
      <c r="G38" s="42">
        <v>500</v>
      </c>
      <c r="H38" s="36">
        <f t="shared" si="5"/>
        <v>0.5</v>
      </c>
      <c r="I38" s="42">
        <f>$C$36+($C$37*H38)+($C$38*H38^2)+($C$39*H38^3)+($C$40/(H38^2))</f>
        <v>27.877828500000007</v>
      </c>
      <c r="J38" s="7">
        <f>I38/$C$32</f>
        <v>582.4018321599433</v>
      </c>
      <c r="K38" s="93">
        <f t="shared" si="6"/>
        <v>5.4006698750000002</v>
      </c>
      <c r="L38" s="42">
        <f>$E$36+($E$37*H38)+($E$38*H38^2)+($E$39*H38^3)+($E$40/(H38^2))</f>
        <v>25.290463375000002</v>
      </c>
      <c r="M38" s="7">
        <f>L38/$C$32</f>
        <v>528.34861961267688</v>
      </c>
      <c r="N38" s="90">
        <f t="shared" si="7"/>
        <v>4.9794071822916672</v>
      </c>
    </row>
    <row r="39" spans="2:14" ht="21">
      <c r="B39" s="25" t="s">
        <v>3</v>
      </c>
      <c r="C39" s="40">
        <v>7.0807919999999998</v>
      </c>
      <c r="D39" s="9">
        <v>5.2208999999999998E-2</v>
      </c>
      <c r="E39" s="82">
        <v>1.611745</v>
      </c>
      <c r="G39" s="42">
        <v>600</v>
      </c>
      <c r="H39" s="36">
        <f t="shared" si="5"/>
        <v>0.6</v>
      </c>
      <c r="I39" s="42">
        <f>$C$36+($C$37*H39)+($C$38*H39^2)+($C$39*H39^3)+($C$40/(H39^2))</f>
        <v>28.595703405333339</v>
      </c>
      <c r="J39" s="7">
        <f>I39/$C$32</f>
        <v>597.3991143237165</v>
      </c>
      <c r="K39" s="93">
        <f t="shared" si="6"/>
        <v>8.2262274608000006</v>
      </c>
      <c r="L39" s="42">
        <f>$E$36+($E$37*H39)+($E$38*H39^2)+($E$39*H39^3)+($E$40/(H39^2))</f>
        <v>25.833654471111114</v>
      </c>
      <c r="M39" s="7">
        <f>L39/$C$32</f>
        <v>539.69654398878379</v>
      </c>
      <c r="N39" s="90">
        <f t="shared" si="7"/>
        <v>7.5358240193333321</v>
      </c>
    </row>
    <row r="40" spans="2:14" ht="21">
      <c r="B40" s="25" t="s">
        <v>4</v>
      </c>
      <c r="C40" s="40">
        <v>-0.143457</v>
      </c>
      <c r="D40" s="9">
        <v>3.6167999999999999E-2</v>
      </c>
      <c r="E40" s="82">
        <v>-5.6075E-2</v>
      </c>
      <c r="G40" s="42">
        <v>700</v>
      </c>
      <c r="H40" s="36">
        <f t="shared" si="5"/>
        <v>0.7</v>
      </c>
      <c r="I40" s="42">
        <f>$C$36+($C$37*H40)+($C$38*H40^2)+($C$39*H40^3)+($C$40/(H40^2))</f>
        <v>29.135125768244908</v>
      </c>
      <c r="J40" s="7">
        <f>I40/$C$32</f>
        <v>608.66830526761464</v>
      </c>
      <c r="K40" s="93">
        <f t="shared" si="6"/>
        <v>11.11390551122857</v>
      </c>
      <c r="L40" s="42">
        <f>$E$36+($E$37*H40)+($E$38*H40^2)+($E$39*H40^3)+($E$40/(H40^2))</f>
        <v>26.366539769489794</v>
      </c>
      <c r="M40" s="7">
        <f>L40/$C$32</f>
        <v>550.82916768315943</v>
      </c>
      <c r="N40" s="90">
        <f t="shared" si="7"/>
        <v>10.145811503815473</v>
      </c>
    </row>
    <row r="41" spans="2:14" ht="21">
      <c r="B41" s="25" t="s">
        <v>5</v>
      </c>
      <c r="C41" s="40">
        <v>-7.9222789999999996</v>
      </c>
      <c r="D41" s="9">
        <v>-12.72011</v>
      </c>
      <c r="E41" s="82">
        <v>-0.433228</v>
      </c>
      <c r="G41" s="42">
        <v>800</v>
      </c>
      <c r="H41" s="36">
        <f t="shared" si="5"/>
        <v>0.8</v>
      </c>
      <c r="I41" s="42">
        <f>$D$36+($D$37*H41)+($D$38*H41^2)+($D$39*H41^3)+($D$40/(H41^2))</f>
        <v>29.473036308000005</v>
      </c>
      <c r="J41" s="7">
        <f>I41/$C$32</f>
        <v>615.72766849813036</v>
      </c>
      <c r="K41" s="93">
        <f>(($D$36*H41)+($D$37*H41^2/2)+($D$38*H41^3/3)+($D$39*H41^4/4) - ($D$40/H41) + $D$41 - $D$43)</f>
        <v>14.039058948266666</v>
      </c>
      <c r="L41" s="42">
        <f>$E$36+($E$37*H41)+($E$38*H41^2)+($E$39*H41^3)+($E$40/(H41^2))</f>
        <v>26.911497212499999</v>
      </c>
      <c r="M41" s="7">
        <f>L41/$C$32</f>
        <v>562.21399319990803</v>
      </c>
      <c r="N41" s="90">
        <f t="shared" si="7"/>
        <v>12.80954100066667</v>
      </c>
    </row>
    <row r="42" spans="2:14" ht="21">
      <c r="B42" s="25" t="s">
        <v>6</v>
      </c>
      <c r="C42" s="40">
        <v>52.409619999999997</v>
      </c>
      <c r="D42" s="9">
        <v>93.087720000000004</v>
      </c>
      <c r="E42" s="82">
        <v>64.126909999999995</v>
      </c>
      <c r="G42" s="42">
        <v>900</v>
      </c>
      <c r="H42" s="36">
        <f t="shared" si="5"/>
        <v>0.9</v>
      </c>
      <c r="I42" s="42">
        <f>$D$36+($D$37*H42)+($D$38*H42^2)+($D$39*H42^3)+($D$40/(H42^2))</f>
        <v>30.453303412851856</v>
      </c>
      <c r="J42" s="7">
        <f>I42/$C$32</f>
        <v>636.20664367626671</v>
      </c>
      <c r="K42" s="93">
        <f t="shared" ref="K42:K50" si="8">(($D$36*H42)+($D$37*H42^2/2)+($D$38*H42^3/3)+($D$39*H42^4/4) - ($D$40/H42) + $D$41 - $D$43)</f>
        <v>17.030034524558339</v>
      </c>
      <c r="L42" s="42">
        <f>$E$36+($E$37*H42)+($E$38*H42^2)+($E$39*H42^3)+($E$40/(H42^2))</f>
        <v>27.484267999938272</v>
      </c>
      <c r="M42" s="7">
        <f>L42/$C$32</f>
        <v>574.17987339792069</v>
      </c>
      <c r="N42" s="90">
        <f t="shared" si="7"/>
        <v>15.529041001180556</v>
      </c>
    </row>
    <row r="43" spans="2:14" ht="22" thickBot="1">
      <c r="B43" s="26" t="s">
        <v>7</v>
      </c>
      <c r="C43" s="83">
        <v>0</v>
      </c>
      <c r="D43" s="84">
        <v>0</v>
      </c>
      <c r="E43" s="85">
        <v>6.8600029999999999</v>
      </c>
      <c r="G43" s="42">
        <v>1000</v>
      </c>
      <c r="H43" s="36">
        <f>G43/1000</f>
        <v>1</v>
      </c>
      <c r="I43" s="42">
        <f>$D$36+($D$37*H43)+($D$38*H43^2)+($D$39*H43^3)+($D$40/(H43^2))</f>
        <v>32.073887000000006</v>
      </c>
      <c r="J43" s="7">
        <f>I43/$C$32</f>
        <v>670.06261098460334</v>
      </c>
      <c r="K43" s="93">
        <f t="shared" si="8"/>
        <v>20.151062583333335</v>
      </c>
      <c r="L43" s="42">
        <f>$E$36+($E$37*H43)+($E$38*H43^2)+($E$39*H43^3)+($E$40/(H43^2))</f>
        <v>28.097719999999999</v>
      </c>
      <c r="M43" s="7">
        <f>L43/$C$32</f>
        <v>586.99563373514115</v>
      </c>
      <c r="N43" s="90">
        <f>(($E$36*H43)+($E$37*H43^2/2)+($E$38*H43^3/3)+($E$39*H43^4/4) - ($E$40/H43) + $E$41 - $E$43)</f>
        <v>18.307752083333334</v>
      </c>
    </row>
    <row r="44" spans="2:14" ht="20">
      <c r="G44" s="43">
        <v>1100</v>
      </c>
      <c r="H44" s="37">
        <f>G44/1000</f>
        <v>1.1000000000000001</v>
      </c>
      <c r="I44" s="42">
        <f>$D$36+($D$37*H44)+($D$38*H44^2)+($D$39*H44^3)+($D$40/(H44^2))</f>
        <v>34.333930288090912</v>
      </c>
      <c r="J44" s="7">
        <f>I44/$C$32</f>
        <v>717.27767121588806</v>
      </c>
      <c r="K44" s="93">
        <f>(($D$36*H44)+($D$37*H44^2/2)+($D$38*H44^3/3)+($D$39*H44^4/4) - ($D$40/H44) + $D$41 - $D$43)</f>
        <v>23.466126755891679</v>
      </c>
      <c r="L44" s="42">
        <f>$E$36+($E$37*H44)+($E$38*H44^2)+($E$39*H44^3)+($E$40/(H44^2))</f>
        <v>28.76333770979339</v>
      </c>
      <c r="M44" s="7">
        <f>L44/$C$32</f>
        <v>600.90119936059057</v>
      </c>
      <c r="N44" s="90">
        <f t="shared" si="7"/>
        <v>21.150324621018942</v>
      </c>
    </row>
    <row r="45" spans="2:14" ht="20">
      <c r="G45" s="43">
        <v>1200</v>
      </c>
      <c r="H45" s="37">
        <f>G45/1000</f>
        <v>1.2</v>
      </c>
      <c r="I45" s="42">
        <f>$D$36+($D$37*H45)+($D$38*H45^2)+($D$39*H45^3)+($D$40/(H45^2))</f>
        <v>37.233042618666673</v>
      </c>
      <c r="J45" s="7">
        <f>I45/$C$32</f>
        <v>777.84366303855836</v>
      </c>
      <c r="K45" s="93">
        <f t="shared" si="8"/>
        <v>27.03915066559999</v>
      </c>
      <c r="L45" s="42">
        <f>$E$36+($E$37*H45)+($E$38*H45^2)+($E$39*H45^3)+($E$40/(H45^2))</f>
        <v>29.491882947777778</v>
      </c>
      <c r="M45" s="7">
        <f>L45/$C$32</f>
        <v>616.12139778506651</v>
      </c>
      <c r="N45" s="90">
        <f t="shared" si="7"/>
        <v>24.062517638666666</v>
      </c>
    </row>
    <row r="46" spans="2:14" ht="20">
      <c r="G46" s="43">
        <v>1300</v>
      </c>
      <c r="H46" s="37">
        <f>G46/1000</f>
        <v>1.3</v>
      </c>
      <c r="I46" s="42">
        <f>$D$36+($D$37*H46)+($D$38*H46^2)+($D$39*H46^3)+($D$40/(H46^2))</f>
        <v>40.771093156431959</v>
      </c>
      <c r="J46" s="7">
        <f>I46/$C$32</f>
        <v>851.75785314375162</v>
      </c>
      <c r="K46" s="93">
        <f t="shared" si="8"/>
        <v>30.934033056096801</v>
      </c>
      <c r="L46" s="42">
        <f>$E$36+($E$37*H46)+($E$38*H46^2)+($E$39*H46^3)+($E$40/(H46^2))</f>
        <v>30.293714701627216</v>
      </c>
      <c r="M46" s="7">
        <f>L46/$C$32</f>
        <v>632.87264089304153</v>
      </c>
      <c r="N46" s="90">
        <f t="shared" si="7"/>
        <v>27.051144348342952</v>
      </c>
    </row>
    <row r="47" spans="2:14" ht="20">
      <c r="G47" s="43">
        <v>1400</v>
      </c>
      <c r="H47" s="37">
        <f>G47/1000</f>
        <v>1.4</v>
      </c>
      <c r="I47" s="42">
        <f>$D$36+($D$37*H47)+($D$38*H47^2)+($D$39*H47^3)+($D$40/(H47^2))</f>
        <v>44.948103757224487</v>
      </c>
      <c r="J47" s="7">
        <f>I47/$C$32</f>
        <v>939.02069812656919</v>
      </c>
      <c r="K47" s="93">
        <f t="shared" si="8"/>
        <v>35.214667864552375</v>
      </c>
      <c r="L47" s="42">
        <f>$E$36+($E$37*H47)+($E$38*H47^2)+($E$39*H47^3)+($E$40/(H47^2))</f>
        <v>31.178955226122444</v>
      </c>
      <c r="M47" s="7">
        <f>L47/$C$32</f>
        <v>651.36639493016992</v>
      </c>
      <c r="N47" s="90">
        <f t="shared" si="7"/>
        <v>30.124041028095228</v>
      </c>
    </row>
    <row r="48" spans="2:14" ht="20">
      <c r="G48" s="43">
        <v>1500</v>
      </c>
      <c r="H48" s="37">
        <f>G48/1000</f>
        <v>1.5</v>
      </c>
      <c r="I48" s="42">
        <f>$D$36+($D$37*H48)+($D$38*H48^2)+($D$39*H48^3)+($D$40/(H48^2))</f>
        <v>49.764190041666673</v>
      </c>
      <c r="J48" s="7">
        <f>I48/$C$32</f>
        <v>1039.6346134428034</v>
      </c>
      <c r="K48" s="93">
        <f t="shared" si="8"/>
        <v>39.944956265625009</v>
      </c>
      <c r="L48" s="42">
        <f>$E$36+($E$37*H48)+($E$38*H48^2)+($E$39*H48^3)+($E$40/(H48^2))</f>
        <v>32.15758140277778</v>
      </c>
      <c r="M48" s="7">
        <f>L48/$C$32</f>
        <v>671.81108911729962</v>
      </c>
      <c r="N48" s="90">
        <f t="shared" si="7"/>
        <v>33.290048348958329</v>
      </c>
    </row>
    <row r="49" spans="2:14" ht="20">
      <c r="G49" s="43">
        <v>1600</v>
      </c>
      <c r="H49" s="37">
        <f>G49/1000</f>
        <v>1.6</v>
      </c>
      <c r="I49" s="42">
        <f>$D$36+($D$37*H49)+($D$38*H49^2)+($D$39*H49^3)+($D$40/(H49^2))</f>
        <v>55.219527389000014</v>
      </c>
      <c r="J49" s="7">
        <f>I49/$C$32</f>
        <v>1153.6032629786703</v>
      </c>
      <c r="K49" s="93">
        <f t="shared" si="8"/>
        <v>45.188814198933343</v>
      </c>
      <c r="L49" s="42">
        <f>$E$36+($E$37*H49)+($E$38*H49^2)+($E$39*H49^3)+($E$40/(H49^2))</f>
        <v>33.239477463124992</v>
      </c>
      <c r="M49" s="7">
        <f>L49/$C$32</f>
        <v>694.41321710416344</v>
      </c>
      <c r="N49" s="90">
        <f t="shared" si="7"/>
        <v>36.558999704333338</v>
      </c>
    </row>
    <row r="50" spans="2:14" ht="21" thickBot="1">
      <c r="G50" s="43">
        <v>1700</v>
      </c>
      <c r="H50" s="37">
        <f>G50/1000</f>
        <v>1.7</v>
      </c>
      <c r="I50" s="72">
        <f>$D$36+($D$37*H50)+($D$38*H50^2)+($D$39*H50^3)+($D$40/(H50^2))</f>
        <v>61.314330495892719</v>
      </c>
      <c r="J50" s="94">
        <f>I50/$C$32</f>
        <v>1280.9311320093743</v>
      </c>
      <c r="K50" s="95">
        <f t="shared" si="8"/>
        <v>51.010177239774023</v>
      </c>
      <c r="L50" s="42">
        <f>$E$36+($E$37*H50)+($E$38*H50^2)+($E$39*H50^3)+($E$40/(H50^2))</f>
        <v>34.434466680813145</v>
      </c>
      <c r="M50" s="7">
        <f>L50/$C$32</f>
        <v>719.37799905599149</v>
      </c>
      <c r="N50" s="90">
        <f t="shared" si="7"/>
        <v>39.941713658409313</v>
      </c>
    </row>
    <row r="51" spans="2:14" ht="20">
      <c r="G51" s="43">
        <v>1800</v>
      </c>
      <c r="H51" s="44">
        <f>G51/1000</f>
        <v>1.8</v>
      </c>
      <c r="I51" s="92"/>
      <c r="J51" s="96"/>
      <c r="K51" s="97"/>
      <c r="L51" s="42">
        <f>$E$36+($E$37*H51)+($E$38*H51^2)+($E$39*H51^3)+($E$40/(H51^2))</f>
        <v>35.752331101234567</v>
      </c>
      <c r="M51" s="7">
        <f>L51/$C$32</f>
        <v>746.90979382945591</v>
      </c>
      <c r="N51" s="90">
        <f t="shared" si="7"/>
        <v>43.449988911777773</v>
      </c>
    </row>
    <row r="52" spans="2:14" ht="21" thickBot="1">
      <c r="G52" s="45">
        <v>1900</v>
      </c>
      <c r="H52" s="46">
        <f>G52/1000</f>
        <v>1.9</v>
      </c>
      <c r="I52" s="45"/>
      <c r="J52" s="98"/>
      <c r="K52" s="99"/>
      <c r="L52" s="72">
        <f>$E$36+($E$37*H52)+($E$38*H52^2)+($E$39*H52^3)+($E$40/(H52^2))</f>
        <v>37.202824204002773</v>
      </c>
      <c r="M52" s="94">
        <f>L52/$C$32</f>
        <v>777.21236350727588</v>
      </c>
      <c r="N52" s="91">
        <f t="shared" si="7"/>
        <v>47.096600856853065</v>
      </c>
    </row>
    <row r="54" spans="2:14" ht="25">
      <c r="B54" s="15" t="s">
        <v>29</v>
      </c>
      <c r="C54" s="15"/>
    </row>
    <row r="55" spans="2:14" ht="20">
      <c r="B55" s="4" t="s">
        <v>30</v>
      </c>
      <c r="C55" s="16">
        <f>91.224/1000</f>
        <v>9.1224E-2</v>
      </c>
      <c r="D55" s="3" t="s">
        <v>13</v>
      </c>
    </row>
    <row r="56" spans="2:14" ht="21" thickBot="1">
      <c r="B56" s="3"/>
      <c r="E56" s="3"/>
      <c r="I56" s="30" t="s">
        <v>28</v>
      </c>
      <c r="J56" s="30"/>
      <c r="K56" s="63"/>
      <c r="L56" s="30" t="s">
        <v>26</v>
      </c>
      <c r="M56" s="30"/>
    </row>
    <row r="57" spans="2:14" ht="24">
      <c r="B57" s="22"/>
      <c r="C57" s="49" t="s">
        <v>25</v>
      </c>
      <c r="D57" s="50" t="s">
        <v>26</v>
      </c>
      <c r="E57" s="51"/>
      <c r="G57" s="31" t="s">
        <v>8</v>
      </c>
      <c r="H57" s="32" t="s">
        <v>14</v>
      </c>
      <c r="I57" s="31" t="s">
        <v>9</v>
      </c>
      <c r="J57" s="64" t="s">
        <v>9</v>
      </c>
      <c r="K57" s="65" t="s">
        <v>34</v>
      </c>
      <c r="L57" s="31" t="s">
        <v>9</v>
      </c>
      <c r="M57" s="64" t="s">
        <v>9</v>
      </c>
      <c r="N57" s="65" t="s">
        <v>34</v>
      </c>
    </row>
    <row r="58" spans="2:14" ht="22" thickBot="1">
      <c r="B58" s="23"/>
      <c r="C58" s="47" t="s">
        <v>31</v>
      </c>
      <c r="D58" s="21" t="s">
        <v>32</v>
      </c>
      <c r="E58" s="48" t="s">
        <v>33</v>
      </c>
      <c r="G58" s="33" t="s">
        <v>18</v>
      </c>
      <c r="H58" s="34" t="s">
        <v>18</v>
      </c>
      <c r="I58" s="33" t="s">
        <v>15</v>
      </c>
      <c r="J58" s="29" t="s">
        <v>16</v>
      </c>
      <c r="K58" s="67" t="s">
        <v>35</v>
      </c>
      <c r="L58" s="33" t="s">
        <v>15</v>
      </c>
      <c r="M58" s="29" t="s">
        <v>16</v>
      </c>
      <c r="N58" s="67" t="s">
        <v>35</v>
      </c>
    </row>
    <row r="59" spans="2:14" ht="23" thickTop="1">
      <c r="B59" s="24" t="s">
        <v>0</v>
      </c>
      <c r="C59" s="52">
        <v>29.016629999999999</v>
      </c>
      <c r="D59" s="27">
        <v>25.392399999999999</v>
      </c>
      <c r="E59" s="53">
        <v>22.000689999999999</v>
      </c>
      <c r="G59" s="38">
        <v>298</v>
      </c>
      <c r="H59" s="39">
        <f>G59/1000</f>
        <v>0.29799999999999999</v>
      </c>
      <c r="I59" s="38">
        <f>$C$59+($C$60*H59)+($C$61*H59^2)+($C$62*H59^3)+($C$63/(H59^2))</f>
        <v>25.190345098166997</v>
      </c>
      <c r="J59" s="103">
        <f>I59/$C$55</f>
        <v>276.13725662289528</v>
      </c>
      <c r="K59" s="109">
        <f>(($C$59*H59)+($C$60*H59^2/2)+($C$61*H59^3/3)+($C$62*H59^4/4) - ($C$63/H59) + $C$64 - $C$66)</f>
        <v>-3.4211183604728745E-3</v>
      </c>
      <c r="L59" s="38">
        <f>$D$59+($D$60*H59)+($D$61*H59^2)+($D$62*H59^3)+($D$63/(H59^2))</f>
        <v>25.201078567581</v>
      </c>
      <c r="M59" s="103">
        <f>L59/$C$55</f>
        <v>276.25491721017494</v>
      </c>
      <c r="N59" s="109">
        <f>(($D$59*H59)+($D$60*H59^2/2)+($D$61*H59^3/3)+($D$62*H59^4/4) - ($D$63/H59) + $D$64 - $D$66)</f>
        <v>-3.2441563723892841E-3</v>
      </c>
    </row>
    <row r="60" spans="2:14" ht="22">
      <c r="B60" s="25" t="s">
        <v>1</v>
      </c>
      <c r="C60" s="54">
        <v>-12.55597</v>
      </c>
      <c r="D60" s="28">
        <v>0.43423600000000001</v>
      </c>
      <c r="E60" s="55">
        <v>2.2118929999999999</v>
      </c>
      <c r="G60" s="40">
        <v>400</v>
      </c>
      <c r="H60" s="41">
        <f t="shared" ref="H60:H65" si="9">G60/1000</f>
        <v>0.4</v>
      </c>
      <c r="I60" s="38">
        <f t="shared" ref="I60:I73" si="10">$C$59+($C$60*H60)+($C$61*H60^2)+($C$62*H60^3)+($C$63/(H60^2))</f>
        <v>25.952866150000002</v>
      </c>
      <c r="J60" s="103">
        <f t="shared" ref="J60:J73" si="11">I60/$C$55</f>
        <v>284.49603339033592</v>
      </c>
      <c r="K60" s="90">
        <f>(($C$59*H60)+($C$60*H60^2/2)+($C$61*H60^3/3)+($C$62*H60^4/4) - ($C$63/H60) + $C$64 - $C$66)</f>
        <v>2.6081801533333362</v>
      </c>
      <c r="L60" s="38">
        <f>$D$59+($D$60*H60)+($D$61*H60^2)+($D$62*H60^3)+($D$63/(H60^2))</f>
        <v>25.923660261999999</v>
      </c>
      <c r="M60" s="103">
        <f t="shared" ref="M60:M78" si="12">L60/$C$55</f>
        <v>284.17587764184861</v>
      </c>
      <c r="N60" s="109">
        <f t="shared" ref="N60:N63" si="13">(($D$59*H60)+($D$60*H60^2/2)+($D$61*H60^3/3)+($D$62*H60^4/4) - ($D$63/H60) + $D$64 - $D$66)</f>
        <v>2.6055977992000017</v>
      </c>
    </row>
    <row r="61" spans="2:14" ht="22">
      <c r="B61" s="25" t="s">
        <v>2</v>
      </c>
      <c r="C61" s="54">
        <v>20.74954</v>
      </c>
      <c r="D61" s="28">
        <v>4.3845390000000002</v>
      </c>
      <c r="E61" s="55">
        <v>0.41063300000000003</v>
      </c>
      <c r="G61" s="42">
        <v>500</v>
      </c>
      <c r="H61" s="41">
        <f t="shared" si="9"/>
        <v>0.5</v>
      </c>
      <c r="I61" s="38">
        <f t="shared" si="10"/>
        <v>26.557783999999998</v>
      </c>
      <c r="J61" s="103">
        <f t="shared" si="11"/>
        <v>291.12715951942471</v>
      </c>
      <c r="K61" s="90">
        <f t="shared" ref="K60:K73" si="14">(($C$59*H61)+($C$60*H61^2/2)+($C$61*H61^3/3)+($C$62*H61^4/4) - ($C$63/H61) + $C$64 - $C$66)</f>
        <v>5.233550666666666</v>
      </c>
      <c r="L61" s="38">
        <f>$D$59+($D$60*H61)+($D$61*H61^2)+($D$62*H61^3)+($D$63/(H61^2))</f>
        <v>26.570997124999998</v>
      </c>
      <c r="M61" s="103">
        <f t="shared" si="12"/>
        <v>291.27200215951939</v>
      </c>
      <c r="N61" s="109">
        <f t="shared" si="13"/>
        <v>5.2301891718749989</v>
      </c>
    </row>
    <row r="62" spans="2:14" ht="22">
      <c r="B62" s="25" t="s">
        <v>3</v>
      </c>
      <c r="C62" s="54">
        <v>-5.9139999999999997</v>
      </c>
      <c r="D62" s="28">
        <v>1.017123</v>
      </c>
      <c r="E62" s="55">
        <v>0.70536799999999999</v>
      </c>
      <c r="G62" s="42">
        <v>600</v>
      </c>
      <c r="H62" s="41">
        <f t="shared" si="9"/>
        <v>0.6</v>
      </c>
      <c r="I62" s="38">
        <f t="shared" si="10"/>
        <v>27.238655622222222</v>
      </c>
      <c r="J62" s="103">
        <f t="shared" si="11"/>
        <v>298.59089299112321</v>
      </c>
      <c r="K62" s="90">
        <f t="shared" si="14"/>
        <v>7.922414346666665</v>
      </c>
      <c r="L62" s="38">
        <f>$D$59+($D$60*H62)+($D$61*H62^2)+($D$62*H62^3)+($D$63/(H62^2))</f>
        <v>27.269271430222219</v>
      </c>
      <c r="M62" s="103">
        <f t="shared" si="12"/>
        <v>298.92650432147479</v>
      </c>
      <c r="N62" s="109">
        <f t="shared" si="13"/>
        <v>7.9215557398666654</v>
      </c>
    </row>
    <row r="63" spans="2:14" ht="22">
      <c r="B63" s="25" t="s">
        <v>4</v>
      </c>
      <c r="C63" s="54">
        <v>-0.157249</v>
      </c>
      <c r="D63" s="28">
        <v>-6.5448999999999993E-2</v>
      </c>
      <c r="E63" s="55">
        <v>2.9271349999999998</v>
      </c>
      <c r="G63" s="42">
        <v>700</v>
      </c>
      <c r="H63" s="41">
        <f t="shared" si="9"/>
        <v>0.7</v>
      </c>
      <c r="I63" s="38">
        <f t="shared" si="10"/>
        <v>28.04530727346939</v>
      </c>
      <c r="J63" s="103">
        <f t="shared" si="11"/>
        <v>307.43343060454913</v>
      </c>
      <c r="K63" s="90">
        <f t="shared" si="14"/>
        <v>10.68552200190476</v>
      </c>
      <c r="L63" s="38">
        <f>$D$59+($D$60*H63)+($D$61*H63^2)+($D$62*H63^3)+($D$63/(H63^2))</f>
        <v>28.060093111244896</v>
      </c>
      <c r="M63" s="103">
        <f t="shared" si="12"/>
        <v>307.59551336539613</v>
      </c>
      <c r="N63" s="109">
        <f t="shared" si="13"/>
        <v>10.687148158503568</v>
      </c>
    </row>
    <row r="64" spans="2:14" ht="22">
      <c r="B64" s="25" t="s">
        <v>5</v>
      </c>
      <c r="C64" s="54">
        <v>-8.7919239999999999</v>
      </c>
      <c r="D64" s="28">
        <v>-3.0397599999999998</v>
      </c>
      <c r="E64" s="55">
        <v>3.5620319999999999</v>
      </c>
      <c r="G64" s="42">
        <v>800</v>
      </c>
      <c r="H64" s="41">
        <f t="shared" si="9"/>
        <v>0.8</v>
      </c>
      <c r="I64" s="38">
        <f t="shared" si="10"/>
        <v>28.9778900375</v>
      </c>
      <c r="J64" s="103">
        <f t="shared" si="11"/>
        <v>317.65642854402353</v>
      </c>
      <c r="K64" s="90">
        <f t="shared" si="14"/>
        <v>13.535692076666665</v>
      </c>
      <c r="L64" s="38">
        <f>$D$59+($D$60*H64)+($D$61*H64^2)+($D$62*H64^3)+($D$63/(H64^2))</f>
        <v>28.964396673499998</v>
      </c>
      <c r="M64" s="103">
        <f t="shared" si="12"/>
        <v>317.50851391629391</v>
      </c>
      <c r="N64" s="90">
        <f t="shared" ref="N60:N78" si="15">(($E$59*H64)+($E$60*H64^2/2)+($E$61*H64^3/3)+($E$62*H64^4/4) - ($E$63/H64) + $E$64 - $E$66)</f>
        <v>13.543772058533333</v>
      </c>
    </row>
    <row r="65" spans="1:14" ht="22">
      <c r="B65" s="25" t="s">
        <v>6</v>
      </c>
      <c r="C65" s="54">
        <v>75.972650000000002</v>
      </c>
      <c r="D65" s="28">
        <v>73.22</v>
      </c>
      <c r="E65" s="55">
        <v>74.712010000000006</v>
      </c>
      <c r="G65" s="42">
        <v>900</v>
      </c>
      <c r="H65" s="41">
        <f t="shared" si="9"/>
        <v>0.9</v>
      </c>
      <c r="I65" s="38">
        <f t="shared" si="10"/>
        <v>30.017943832098762</v>
      </c>
      <c r="J65" s="103">
        <f t="shared" si="11"/>
        <v>329.05752687997415</v>
      </c>
      <c r="K65" s="90">
        <f t="shared" si="14"/>
        <v>16.484690631111114</v>
      </c>
      <c r="L65" s="38">
        <f>$E$59+($E$60*H65)+($E$61*H65^2)+($E$62*H65^3)+($E$63/(H65^2))</f>
        <v>28.451966615580247</v>
      </c>
      <c r="M65" s="103">
        <f t="shared" si="12"/>
        <v>311.89124151078937</v>
      </c>
      <c r="N65" s="90">
        <f t="shared" si="15"/>
        <v>16.411569247977781</v>
      </c>
    </row>
    <row r="66" spans="1:14" ht="23" thickBot="1">
      <c r="B66" s="26" t="s">
        <v>7</v>
      </c>
      <c r="C66" s="56">
        <v>0</v>
      </c>
      <c r="D66" s="57">
        <v>4.8100100000000001</v>
      </c>
      <c r="E66" s="58">
        <v>4.8100100000000001</v>
      </c>
      <c r="G66" s="42">
        <v>1000</v>
      </c>
      <c r="H66" s="41">
        <f>G66/1000</f>
        <v>1</v>
      </c>
      <c r="I66" s="38">
        <f t="shared" si="10"/>
        <v>31.138950999999999</v>
      </c>
      <c r="J66" s="103">
        <f t="shared" si="11"/>
        <v>341.34603832324825</v>
      </c>
      <c r="K66" s="90">
        <f t="shared" si="14"/>
        <v>19.541983333333334</v>
      </c>
      <c r="L66" s="38">
        <f t="shared" ref="L66:L78" si="16">$E$59+($E$60*H66)+($E$61*H66^2)+($E$62*H66^3)+($E$63/(H66^2))</f>
        <v>28.255718999999999</v>
      </c>
      <c r="M66" s="103">
        <f t="shared" si="12"/>
        <v>309.739969744804</v>
      </c>
      <c r="N66" s="90">
        <f t="shared" si="15"/>
        <v>19.244743166666666</v>
      </c>
    </row>
    <row r="67" spans="1:14" ht="20">
      <c r="G67" s="43">
        <v>1100</v>
      </c>
      <c r="H67" s="44">
        <f>G67/1000</f>
        <v>1.1000000000000001</v>
      </c>
      <c r="I67" s="38">
        <f t="shared" si="10"/>
        <v>32.310514548760331</v>
      </c>
      <c r="J67" s="103">
        <f t="shared" si="11"/>
        <v>354.18875020565127</v>
      </c>
      <c r="K67" s="90">
        <f t="shared" si="14"/>
        <v>22.714168183030303</v>
      </c>
      <c r="L67" s="38">
        <f t="shared" si="16"/>
        <v>28.28860287271074</v>
      </c>
      <c r="M67" s="103">
        <f t="shared" si="12"/>
        <v>310.10044366296961</v>
      </c>
      <c r="N67" s="90">
        <f t="shared" si="15"/>
        <v>22.070310943351515</v>
      </c>
    </row>
    <row r="68" spans="1:14" ht="20">
      <c r="G68" s="43">
        <v>1200</v>
      </c>
      <c r="H68" s="44">
        <f>G68/1000</f>
        <v>1.2</v>
      </c>
      <c r="I68" s="38">
        <f t="shared" si="10"/>
        <v>33.500210905555555</v>
      </c>
      <c r="J68" s="103">
        <f t="shared" si="11"/>
        <v>367.23023442904889</v>
      </c>
      <c r="K68" s="90">
        <f t="shared" si="14"/>
        <v>26.004691873333329</v>
      </c>
      <c r="L68" s="38">
        <f t="shared" si="16"/>
        <v>28.49788166288889</v>
      </c>
      <c r="M68" s="103">
        <f t="shared" si="12"/>
        <v>312.39456352373156</v>
      </c>
      <c r="N68" s="90">
        <f t="shared" si="15"/>
        <v>24.908321172533327</v>
      </c>
    </row>
    <row r="69" spans="1:14" ht="20">
      <c r="G69" s="43">
        <v>1300</v>
      </c>
      <c r="H69" s="44">
        <f>G69/1000</f>
        <v>1.3</v>
      </c>
      <c r="I69" s="38">
        <f t="shared" si="10"/>
        <v>34.674486854437873</v>
      </c>
      <c r="J69" s="103">
        <f t="shared" si="11"/>
        <v>380.1026797162794</v>
      </c>
      <c r="K69" s="90">
        <f t="shared" si="14"/>
        <v>29.413697062564097</v>
      </c>
      <c r="L69" s="38">
        <f t="shared" si="16"/>
        <v>28.851846710378695</v>
      </c>
      <c r="M69" s="103">
        <f t="shared" si="12"/>
        <v>316.27473812131342</v>
      </c>
      <c r="N69" s="90">
        <f t="shared" si="15"/>
        <v>27.774696897174358</v>
      </c>
    </row>
    <row r="70" spans="1:14" ht="20">
      <c r="G70" s="43">
        <v>1400</v>
      </c>
      <c r="H70" s="44">
        <f>G70/1000</f>
        <v>1.4</v>
      </c>
      <c r="I70" s="38">
        <f t="shared" si="10"/>
        <v>35.799125318367345</v>
      </c>
      <c r="J70" s="103">
        <f t="shared" si="11"/>
        <v>392.43099752660862</v>
      </c>
      <c r="K70" s="90">
        <f t="shared" si="14"/>
        <v>32.93793510095238</v>
      </c>
      <c r="L70" s="38">
        <f t="shared" si="16"/>
        <v>29.331146896489795</v>
      </c>
      <c r="M70" s="103">
        <f t="shared" si="12"/>
        <v>321.52883995976708</v>
      </c>
      <c r="N70" s="90">
        <f t="shared" si="15"/>
        <v>30.682860170247622</v>
      </c>
    </row>
    <row r="71" spans="1:14" ht="22">
      <c r="A71" s="19"/>
      <c r="B71" s="2"/>
      <c r="C71" s="2"/>
      <c r="D71" s="2"/>
      <c r="G71" s="43">
        <v>1500</v>
      </c>
      <c r="H71" s="44">
        <f>G71/1000</f>
        <v>1.5</v>
      </c>
      <c r="I71" s="38">
        <f t="shared" si="10"/>
        <v>36.839501555555557</v>
      </c>
      <c r="J71" s="103">
        <f t="shared" si="11"/>
        <v>403.8356304871038</v>
      </c>
      <c r="K71" s="90">
        <f t="shared" si="14"/>
        <v>36.570713666666663</v>
      </c>
      <c r="L71" s="38">
        <f t="shared" si="16"/>
        <v>29.924019638888886</v>
      </c>
      <c r="M71" s="103">
        <f t="shared" si="12"/>
        <v>328.02792728765331</v>
      </c>
      <c r="N71" s="90">
        <f t="shared" si="15"/>
        <v>33.644706791666671</v>
      </c>
    </row>
    <row r="72" spans="1:14" ht="22">
      <c r="A72" s="19"/>
      <c r="B72" s="2"/>
      <c r="C72" s="2"/>
      <c r="D72" s="2"/>
      <c r="G72" s="43">
        <v>1600</v>
      </c>
      <c r="H72" s="44">
        <f>G72/1000</f>
        <v>1.6</v>
      </c>
      <c r="I72" s="38">
        <f t="shared" si="10"/>
        <v>37.760731009375007</v>
      </c>
      <c r="J72" s="103">
        <f t="shared" si="11"/>
        <v>413.93417312741173</v>
      </c>
      <c r="K72" s="90">
        <f t="shared" si="14"/>
        <v>40.301864038333335</v>
      </c>
      <c r="L72" s="38">
        <f t="shared" si="16"/>
        <v>30.623538717375002</v>
      </c>
      <c r="M72" s="103">
        <f t="shared" si="12"/>
        <v>335.69607468840439</v>
      </c>
      <c r="N72" s="90">
        <f t="shared" si="15"/>
        <v>36.671215518866674</v>
      </c>
    </row>
    <row r="73" spans="1:14" ht="23" thickBot="1">
      <c r="A73" s="19"/>
      <c r="B73" s="2"/>
      <c r="C73" s="2"/>
      <c r="D73" s="2"/>
      <c r="G73" s="43">
        <v>1700</v>
      </c>
      <c r="H73" s="44">
        <f>G73/1000</f>
        <v>1.7</v>
      </c>
      <c r="I73" s="100">
        <f t="shared" si="10"/>
        <v>38.52775818131488</v>
      </c>
      <c r="J73" s="104">
        <f t="shared" si="11"/>
        <v>422.34234610754714</v>
      </c>
      <c r="K73" s="91">
        <f t="shared" si="14"/>
        <v>44.117719918431369</v>
      </c>
      <c r="L73" s="38">
        <f t="shared" si="16"/>
        <v>31.425959934968851</v>
      </c>
      <c r="M73" s="103">
        <f t="shared" si="12"/>
        <v>344.49223817163085</v>
      </c>
      <c r="N73" s="90">
        <f t="shared" si="15"/>
        <v>39.772842261886282</v>
      </c>
    </row>
    <row r="74" spans="1:14" ht="22">
      <c r="A74" s="19"/>
      <c r="B74" s="2"/>
      <c r="C74" s="2"/>
      <c r="D74" s="2"/>
      <c r="G74" s="43">
        <v>1800</v>
      </c>
      <c r="H74" s="44">
        <f>G74/1000</f>
        <v>1.8</v>
      </c>
      <c r="I74" s="92"/>
      <c r="J74" s="105"/>
      <c r="K74" s="106"/>
      <c r="L74" s="38">
        <f t="shared" si="16"/>
        <v>32.329691224395063</v>
      </c>
      <c r="M74" s="103">
        <f t="shared" si="12"/>
        <v>354.39896545201992</v>
      </c>
      <c r="N74" s="90">
        <f t="shared" si="15"/>
        <v>42.959782880088888</v>
      </c>
    </row>
    <row r="75" spans="1:14" ht="22">
      <c r="A75" s="19"/>
      <c r="B75" s="2"/>
      <c r="C75" s="2"/>
      <c r="D75" s="2"/>
      <c r="G75" s="43">
        <v>1900</v>
      </c>
      <c r="H75" s="44">
        <f>G75/1000</f>
        <v>1.9</v>
      </c>
      <c r="I75" s="43"/>
      <c r="J75" s="107"/>
      <c r="K75" s="108"/>
      <c r="L75" s="42">
        <f t="shared" si="16"/>
        <v>33.334631662221604</v>
      </c>
      <c r="M75" s="103">
        <f t="shared" si="12"/>
        <v>365.41515020413055</v>
      </c>
      <c r="N75" s="90">
        <f t="shared" si="15"/>
        <v>46.242152990445611</v>
      </c>
    </row>
    <row r="76" spans="1:14" ht="22">
      <c r="A76" s="19"/>
      <c r="B76" s="2"/>
      <c r="C76" s="2"/>
      <c r="D76" s="2"/>
      <c r="G76" s="59">
        <v>2000</v>
      </c>
      <c r="H76" s="60">
        <f>G76/1000</f>
        <v>2</v>
      </c>
      <c r="I76" s="101"/>
      <c r="J76" s="101"/>
      <c r="K76" s="110"/>
      <c r="L76" s="59">
        <f t="shared" si="16"/>
        <v>34.441735749999999</v>
      </c>
      <c r="M76" s="103">
        <f t="shared" si="12"/>
        <v>377.55125570025433</v>
      </c>
      <c r="N76" s="90">
        <f t="shared" si="15"/>
        <v>49.630113833333333</v>
      </c>
    </row>
    <row r="77" spans="1:14" ht="22">
      <c r="A77" s="19"/>
      <c r="B77" s="2"/>
      <c r="C77" s="2"/>
      <c r="D77" s="2"/>
      <c r="G77" s="59">
        <v>2100</v>
      </c>
      <c r="H77" s="60">
        <f>G77/1000</f>
        <v>2.1</v>
      </c>
      <c r="I77" s="101"/>
      <c r="J77" s="101"/>
      <c r="K77" s="110"/>
      <c r="L77" s="59">
        <f t="shared" si="16"/>
        <v>35.652719311106573</v>
      </c>
      <c r="M77" s="103">
        <f t="shared" si="12"/>
        <v>390.82609084349048</v>
      </c>
      <c r="N77" s="90">
        <f t="shared" si="15"/>
        <v>53.133962176676192</v>
      </c>
    </row>
    <row r="78" spans="1:14" ht="23" thickBot="1">
      <c r="A78" s="19"/>
      <c r="B78" s="2"/>
      <c r="C78" s="2"/>
      <c r="D78" s="2"/>
      <c r="G78" s="61">
        <v>2125</v>
      </c>
      <c r="H78" s="62">
        <f>G78/1000</f>
        <v>2.125</v>
      </c>
      <c r="I78" s="102"/>
      <c r="J78" s="102"/>
      <c r="K78" s="111"/>
      <c r="L78" s="61">
        <f t="shared" si="16"/>
        <v>35.971952855320069</v>
      </c>
      <c r="M78" s="104">
        <f t="shared" si="12"/>
        <v>394.3255377457694</v>
      </c>
      <c r="N78" s="91">
        <f t="shared" si="15"/>
        <v>54.02925671971699</v>
      </c>
    </row>
  </sheetData>
  <mergeCells count="10">
    <mergeCell ref="B54:C54"/>
    <mergeCell ref="I56:J56"/>
    <mergeCell ref="L56:M56"/>
    <mergeCell ref="D57:E57"/>
    <mergeCell ref="B2:C2"/>
    <mergeCell ref="B17:C17"/>
    <mergeCell ref="B31:C31"/>
    <mergeCell ref="C34:D34"/>
    <mergeCell ref="I33:J33"/>
    <mergeCell ref="L33:M33"/>
  </mergeCells>
  <pageMargins left="0.7" right="0.7" top="0.75" bottom="0.75" header="0.3" footer="0.3"/>
  <ignoredErrors>
    <ignoredError sqref="L3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2022-05-08T20:37:18Z</dcterms:created>
  <dcterms:modified xsi:type="dcterms:W3CDTF">2022-05-09T01:31:22Z</dcterms:modified>
</cp:coreProperties>
</file>