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<sst xmlns="http://schemas.openxmlformats.org/spreadsheetml/2006/main" count="5911" uniqueCount="704">
  <si>
    <t/>
  </si>
  <si>
    <t>Company Name:L'OREAL MALAYSIA SDN BHD</t>
  </si>
  <si>
    <t>Report ID: Monthly Payroll Report</t>
  </si>
  <si>
    <t>Report Title: Monthly Payroll Report</t>
  </si>
  <si>
    <t>For Year 2018</t>
  </si>
  <si>
    <t>JAN</t>
  </si>
  <si>
    <t>DEC</t>
  </si>
  <si>
    <t>Employee ID</t>
  </si>
  <si>
    <t>Old Job Order No</t>
  </si>
  <si>
    <t>Current 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</si>
  <si>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</si>
  <si>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</si>
  <si>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</si>
  <si>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</si>
  <si>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</si>
  <si>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</si>
  <si>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</si>
  <si>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</si>
  <si>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Incentive</t>
  </si>
  <si>
    <t>Car Maintenance</t>
  </si>
  <si>
    <t>Reimbursement</t>
  </si>
  <si>
    <t>Shoe</t>
  </si>
  <si>
    <t xml:space="preserve"> Annual Leave in Lieu</t>
  </si>
  <si>
    <t xml:space="preserve"> Std 1.50 HR</t>
  </si>
  <si>
    <t>Std 1.50 HR Amount</t>
  </si>
  <si>
    <t>Std 2.00 HR</t>
  </si>
  <si>
    <t>Std 2.00 HR Amount</t>
  </si>
  <si>
    <t>Std 3.00 HR</t>
  </si>
  <si>
    <t>Std 3.00 HR Amount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</si>
  <si>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</si>
  <si>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</si>
  <si>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</si>
  <si>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</si>
  <si>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</si>
  <si>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</si>
  <si>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</si>
  <si>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</si>
  <si>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</si>
  <si>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</si>
  <si>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</si>
  <si>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</si>
  <si>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</si>
  <si>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100121423</t>
  </si>
  <si>
    <t>200137401</t>
  </si>
  <si>
    <t>Leong Chui Ling</t>
  </si>
  <si>
    <t>741003-08-5766</t>
  </si>
  <si>
    <t>100121430</t>
  </si>
  <si>
    <t>200137396</t>
  </si>
  <si>
    <t>Siti Farhana Binti Mohd Abu Jaafar</t>
  </si>
  <si>
    <t>921018-08-6516</t>
  </si>
  <si>
    <t>100121448</t>
  </si>
  <si>
    <t>200137230</t>
  </si>
  <si>
    <t>Azilah Binti Ab Majib</t>
  </si>
  <si>
    <t>831115-03-5658</t>
  </si>
  <si>
    <t>100121462</t>
  </si>
  <si>
    <t>200137228</t>
  </si>
  <si>
    <t>Roszalina Binti Osman</t>
  </si>
  <si>
    <t>810705-06-5002</t>
  </si>
  <si>
    <t>100121502</t>
  </si>
  <si>
    <t>200137323</t>
  </si>
  <si>
    <t>Chong Onn Nee</t>
  </si>
  <si>
    <t>800303-05-5136</t>
  </si>
  <si>
    <t>100121516</t>
  </si>
  <si>
    <t>200137330</t>
  </si>
  <si>
    <t>Ng Mei Chien</t>
  </si>
  <si>
    <t>751003-01-6698</t>
  </si>
  <si>
    <t>100121768</t>
  </si>
  <si>
    <t>200137436</t>
  </si>
  <si>
    <t>Lim Lee Na</t>
  </si>
  <si>
    <t>960326-13-5334</t>
  </si>
  <si>
    <t>100122073</t>
  </si>
  <si>
    <t>200137405</t>
  </si>
  <si>
    <t>Chea Mei Poh</t>
  </si>
  <si>
    <t>930402-01-5848</t>
  </si>
  <si>
    <t>100123713</t>
  </si>
  <si>
    <t>200137398</t>
  </si>
  <si>
    <t>Ng Choi Yee</t>
  </si>
  <si>
    <t>901102-08-6270</t>
  </si>
  <si>
    <t>100124183</t>
  </si>
  <si>
    <t>200137440</t>
  </si>
  <si>
    <t>Nur Emylia Martinus Binti Abdullah</t>
  </si>
  <si>
    <t>910915-13-5986</t>
  </si>
  <si>
    <t>100128481</t>
  </si>
  <si>
    <t>200135550</t>
  </si>
  <si>
    <t>Norhasmida Binti Farok</t>
  </si>
  <si>
    <t>911005-13-5180</t>
  </si>
  <si>
    <t>100128609</t>
  </si>
  <si>
    <t>200135819</t>
  </si>
  <si>
    <t>Nur Atikah Binti Aini</t>
  </si>
  <si>
    <t>941210-13-5582</t>
  </si>
  <si>
    <t>100128867</t>
  </si>
  <si>
    <t>200136583</t>
  </si>
  <si>
    <t>Zalila Binti Deraman</t>
  </si>
  <si>
    <t>770205-03-6084</t>
  </si>
  <si>
    <t>100128955</t>
  </si>
  <si>
    <t>200136802</t>
  </si>
  <si>
    <t>Noor Hazwani Binti Muhamad Fazil</t>
  </si>
  <si>
    <t>960705-08-5832</t>
  </si>
  <si>
    <t>100132263</t>
  </si>
  <si>
    <t>200142750</t>
  </si>
  <si>
    <t>Nur Ethika Binti Khallid</t>
  </si>
  <si>
    <t>930723-13-5998</t>
  </si>
  <si>
    <t>100121432</t>
  </si>
  <si>
    <t>200145100</t>
  </si>
  <si>
    <t>200137406</t>
  </si>
  <si>
    <t>Aisya Binti Mohd Yusuf</t>
  </si>
  <si>
    <t>810805-12-5260</t>
  </si>
  <si>
    <t>CPD Central</t>
  </si>
  <si>
    <t>100121440</t>
  </si>
  <si>
    <t>200137409</t>
  </si>
  <si>
    <t>200145094</t>
  </si>
  <si>
    <t>Norziyah Binti Md Yusup</t>
  </si>
  <si>
    <t>800713-06-5548</t>
  </si>
  <si>
    <t>100121443</t>
  </si>
  <si>
    <t>200145092</t>
  </si>
  <si>
    <t>200135892</t>
  </si>
  <si>
    <t>Siti Hairina Binti M Kusri</t>
  </si>
  <si>
    <t>850123-10-5066</t>
  </si>
  <si>
    <t>100121579</t>
  </si>
  <si>
    <t>200137200</t>
  </si>
  <si>
    <t>200145078</t>
  </si>
  <si>
    <t>Alha Binti Ab Salam</t>
  </si>
  <si>
    <t>840310-12-6058</t>
  </si>
  <si>
    <t>100121581</t>
  </si>
  <si>
    <t>200145073</t>
  </si>
  <si>
    <t>Aminah Binti Mohd Arsath</t>
  </si>
  <si>
    <t>811203-06-5672</t>
  </si>
  <si>
    <t>100121584</t>
  </si>
  <si>
    <t>200145101</t>
  </si>
  <si>
    <t>200137218</t>
  </si>
  <si>
    <t>Ang Lit Charn</t>
  </si>
  <si>
    <t>790311-01-5568</t>
  </si>
  <si>
    <t>100121585</t>
  </si>
  <si>
    <t>200137407</t>
  </si>
  <si>
    <t>200145079</t>
  </si>
  <si>
    <t>Aslinah Binti Ibrahim</t>
  </si>
  <si>
    <t>820616-01-6590</t>
  </si>
  <si>
    <t>100121588</t>
  </si>
  <si>
    <t>200137212</t>
  </si>
  <si>
    <t>200145095</t>
  </si>
  <si>
    <t>Cheong Pooi Kei</t>
  </si>
  <si>
    <t>930713-66-5012</t>
  </si>
  <si>
    <t>100121591</t>
  </si>
  <si>
    <t>200138483</t>
  </si>
  <si>
    <t>200145087</t>
  </si>
  <si>
    <t>Eva Binti Mohd Usman</t>
  </si>
  <si>
    <t>810529-12-6178</t>
  </si>
  <si>
    <t>100121594</t>
  </si>
  <si>
    <t>200145090</t>
  </si>
  <si>
    <t>200137209</t>
  </si>
  <si>
    <t>Farrah Binti Sahrin</t>
  </si>
  <si>
    <t>900809-14-5946</t>
  </si>
  <si>
    <t>100121597</t>
  </si>
  <si>
    <t>200145083</t>
  </si>
  <si>
    <t>200137203</t>
  </si>
  <si>
    <t>Hadina Binti Abd Nasi</t>
  </si>
  <si>
    <t>870921-49-6362</t>
  </si>
  <si>
    <t>100121601</t>
  </si>
  <si>
    <t>200145098</t>
  </si>
  <si>
    <t>200137216</t>
  </si>
  <si>
    <t>Jane Lo Beng Ling</t>
  </si>
  <si>
    <t>740721-14-5546</t>
  </si>
  <si>
    <t>100121604</t>
  </si>
  <si>
    <t>200145099</t>
  </si>
  <si>
    <t>200137217</t>
  </si>
  <si>
    <t>Lim Suat Feng</t>
  </si>
  <si>
    <t>840629-10-5056</t>
  </si>
  <si>
    <t>100121605</t>
  </si>
  <si>
    <t>200137201</t>
  </si>
  <si>
    <t>200145075</t>
  </si>
  <si>
    <t>Marlina Binti Mohd Yusoff</t>
  </si>
  <si>
    <t>860225-03-5002</t>
  </si>
  <si>
    <t>100121608</t>
  </si>
  <si>
    <t>200137408</t>
  </si>
  <si>
    <t>200145080</t>
  </si>
  <si>
    <t>Noor Hafiza Binti Ramli</t>
  </si>
  <si>
    <t>870215-02-5176</t>
  </si>
  <si>
    <t>100121609</t>
  </si>
  <si>
    <t>200137211</t>
  </si>
  <si>
    <t>200145093</t>
  </si>
  <si>
    <t>Noor Haslinda Binti Mohd Zain</t>
  </si>
  <si>
    <t>781230-03-5706</t>
  </si>
  <si>
    <t>100121612</t>
  </si>
  <si>
    <t>200145091</t>
  </si>
  <si>
    <t>200137207</t>
  </si>
  <si>
    <t>Nor Aisyah Binti Muhamad</t>
  </si>
  <si>
    <t>881019-01-6014</t>
  </si>
  <si>
    <t>100121618</t>
  </si>
  <si>
    <t>200137199</t>
  </si>
  <si>
    <t>200145081</t>
  </si>
  <si>
    <t>Normelin Binti Abdul Salam</t>
  </si>
  <si>
    <t>900410-12-5986</t>
  </si>
  <si>
    <t>100121624</t>
  </si>
  <si>
    <t>200145097</t>
  </si>
  <si>
    <t>200137215</t>
  </si>
  <si>
    <t>Pisahrin Binti Shaari</t>
  </si>
  <si>
    <t>900605-04-5572</t>
  </si>
  <si>
    <t>100121625</t>
  </si>
  <si>
    <t>200145084</t>
  </si>
  <si>
    <t>200137204</t>
  </si>
  <si>
    <t>Rosarizal Binti Umar</t>
  </si>
  <si>
    <t>751010-11-5192</t>
  </si>
  <si>
    <t>100121627</t>
  </si>
  <si>
    <t>200145086</t>
  </si>
  <si>
    <t>200137206</t>
  </si>
  <si>
    <t>Siti Hafizah Binti Majon</t>
  </si>
  <si>
    <t>860612-49-5770</t>
  </si>
  <si>
    <t>100121630</t>
  </si>
  <si>
    <t>200145082</t>
  </si>
  <si>
    <t>Siti Mazanum Binti Mohd Jamal</t>
  </si>
  <si>
    <t>811221-14-6070</t>
  </si>
  <si>
    <t>100121633</t>
  </si>
  <si>
    <t>200145096</t>
  </si>
  <si>
    <t>200137214</t>
  </si>
  <si>
    <t>Sri Wahyuni Binti Safruddin</t>
  </si>
  <si>
    <t>840917-71-5000</t>
  </si>
  <si>
    <t>100121634</t>
  </si>
  <si>
    <t>200137208</t>
  </si>
  <si>
    <t>200145089</t>
  </si>
  <si>
    <t>Suhana Bt Md Khairi</t>
  </si>
  <si>
    <t>791127-01-5474</t>
  </si>
  <si>
    <t>100121641</t>
  </si>
  <si>
    <t>200138369</t>
  </si>
  <si>
    <t>200145102</t>
  </si>
  <si>
    <t>Yap Siew May</t>
  </si>
  <si>
    <t>711014-08-5780</t>
  </si>
  <si>
    <t>100127789</t>
  </si>
  <si>
    <t>200145072</t>
  </si>
  <si>
    <t>200137196</t>
  </si>
  <si>
    <t>Zaleha Binti Hamdan</t>
  </si>
  <si>
    <t>960320-14-5996</t>
  </si>
  <si>
    <t>100127792</t>
  </si>
  <si>
    <t>200145085</t>
  </si>
  <si>
    <t>200137205</t>
  </si>
  <si>
    <t>Teh Rosliza Binti Hairi</t>
  </si>
  <si>
    <t>820202-08-6564</t>
  </si>
  <si>
    <t>100128353</t>
  </si>
  <si>
    <t>200135249</t>
  </si>
  <si>
    <t>200145076</t>
  </si>
  <si>
    <t>Nurul Farhanim Binti Abdulllah</t>
  </si>
  <si>
    <t>941105-06-5340</t>
  </si>
  <si>
    <t>100128512</t>
  </si>
  <si>
    <t>200145077</t>
  </si>
  <si>
    <t>200136089</t>
  </si>
  <si>
    <t>Siti Nurayu Amani Binti Mohd Syukor</t>
  </si>
  <si>
    <t>970501-03-5322</t>
  </si>
  <si>
    <t>100128732</t>
  </si>
  <si>
    <t>200145088</t>
  </si>
  <si>
    <t>200139458</t>
  </si>
  <si>
    <t>Nurmarziana Azrini Binti Ahmad</t>
  </si>
  <si>
    <t>981130-14-5656</t>
  </si>
  <si>
    <t>100121449</t>
  </si>
  <si>
    <t>200145351</t>
  </si>
  <si>
    <t>200137224</t>
  </si>
  <si>
    <t>Che Nor Amira Binti Che Abdul Ghani</t>
  </si>
  <si>
    <t>910407-06-5096</t>
  </si>
  <si>
    <t>CPD East Region</t>
  </si>
  <si>
    <t>100121450</t>
  </si>
  <si>
    <t>200137231</t>
  </si>
  <si>
    <t>200145352</t>
  </si>
  <si>
    <t>Chong Foong Pin @ Cheong Foong</t>
  </si>
  <si>
    <t>560823-06-5258</t>
  </si>
  <si>
    <t>100121451</t>
  </si>
  <si>
    <t>200145353</t>
  </si>
  <si>
    <t>200137225</t>
  </si>
  <si>
    <t>Chong Mei Thin</t>
  </si>
  <si>
    <t>860716-59-5258</t>
  </si>
  <si>
    <t>100121452</t>
  </si>
  <si>
    <t>200137220</t>
  </si>
  <si>
    <t>200145354</t>
  </si>
  <si>
    <t>Fatimah Binti Ali</t>
  </si>
  <si>
    <t>800414-11-5146</t>
  </si>
  <si>
    <t>100121453</t>
  </si>
  <si>
    <t>200145133</t>
  </si>
  <si>
    <t>200137221</t>
  </si>
  <si>
    <t>Herlina Binti Kamaruzaman</t>
  </si>
  <si>
    <t>890311-03-5698</t>
  </si>
  <si>
    <t>100121459</t>
  </si>
  <si>
    <t>200137222</t>
  </si>
  <si>
    <t>200145135</t>
  </si>
  <si>
    <t>Noritah Binti Mohd Safian</t>
  </si>
  <si>
    <t>881010-06-5194</t>
  </si>
  <si>
    <t>100121460</t>
  </si>
  <si>
    <t>200145209</t>
  </si>
  <si>
    <t>200137226</t>
  </si>
  <si>
    <t>Nurul Asikin Binti Anuar</t>
  </si>
  <si>
    <t>861104-29-6008</t>
  </si>
  <si>
    <t>100121463</t>
  </si>
  <si>
    <t>200145218</t>
  </si>
  <si>
    <t>200137229</t>
  </si>
  <si>
    <t>Rusmazila Binti Hassan</t>
  </si>
  <si>
    <t>781026-03-5768</t>
  </si>
  <si>
    <t>100121467</t>
  </si>
  <si>
    <t>200145214</t>
  </si>
  <si>
    <t>200137227</t>
  </si>
  <si>
    <t>Wan Noor Wahida Binti Wan Ibrahim</t>
  </si>
  <si>
    <t>870904-03-5548</t>
  </si>
  <si>
    <t>100128632</t>
  </si>
  <si>
    <t>200145136</t>
  </si>
  <si>
    <t>200142988</t>
  </si>
  <si>
    <t>Afifah Binti Zainol</t>
  </si>
  <si>
    <t>950209-06-5286</t>
  </si>
  <si>
    <t>100129234</t>
  </si>
  <si>
    <t>200145137</t>
  </si>
  <si>
    <t>200137513</t>
  </si>
  <si>
    <t>Nur Aida Binti Mohamad</t>
  </si>
  <si>
    <t>900422-11-5224</t>
  </si>
  <si>
    <t>100129321</t>
  </si>
  <si>
    <t>200137653</t>
  </si>
  <si>
    <t>200145134</t>
  </si>
  <si>
    <t>Irma Binti Omar</t>
  </si>
  <si>
    <t>810826-11-5432</t>
  </si>
  <si>
    <t>100132042</t>
  </si>
  <si>
    <t>200145113</t>
  </si>
  <si>
    <t>Aida Rahayu Binti Abdullah</t>
  </si>
  <si>
    <t>800906-11-5038</t>
  </si>
  <si>
    <t>100121433</t>
  </si>
  <si>
    <t>200137321</t>
  </si>
  <si>
    <t>200145207</t>
  </si>
  <si>
    <t>Asilah Binti Senen</t>
  </si>
  <si>
    <t>870313-01-5406</t>
  </si>
  <si>
    <t>CPD Johor</t>
  </si>
  <si>
    <t>100121474</t>
  </si>
  <si>
    <t>200145229</t>
  </si>
  <si>
    <t>200137240</t>
  </si>
  <si>
    <t>Choo Li Fan</t>
  </si>
  <si>
    <t>810826-01-6266</t>
  </si>
  <si>
    <t>100121475</t>
  </si>
  <si>
    <t>200145212</t>
  </si>
  <si>
    <t>Chow Pei Boon</t>
  </si>
  <si>
    <t>850806-01-5262</t>
  </si>
  <si>
    <t>100121476</t>
  </si>
  <si>
    <t>200137232</t>
  </si>
  <si>
    <t>200145122</t>
  </si>
  <si>
    <t>Eva Lim Shwu Ching</t>
  </si>
  <si>
    <t>890525-01-5326</t>
  </si>
  <si>
    <t>100121483</t>
  </si>
  <si>
    <t>200137241</t>
  </si>
  <si>
    <t>200145231</t>
  </si>
  <si>
    <t>Ng Ying Peng</t>
  </si>
  <si>
    <t>801007-01-5310</t>
  </si>
  <si>
    <t>100121488</t>
  </si>
  <si>
    <t>200145124</t>
  </si>
  <si>
    <t>200137234</t>
  </si>
  <si>
    <t>Rohana Binti Jamain</t>
  </si>
  <si>
    <t>860315-52-5830</t>
  </si>
  <si>
    <t>100121497</t>
  </si>
  <si>
    <t>200137237</t>
  </si>
  <si>
    <t>200145208</t>
  </si>
  <si>
    <t>Zakiah Binti Arbaain</t>
  </si>
  <si>
    <t>861208-23-5998</t>
  </si>
  <si>
    <t>100124531</t>
  </si>
  <si>
    <t>200139979</t>
  </si>
  <si>
    <t>200145126</t>
  </si>
  <si>
    <t>Phemie Tan Jin Loon</t>
  </si>
  <si>
    <t>950223-01-6640</t>
  </si>
  <si>
    <t>100126861</t>
  </si>
  <si>
    <t>200145215</t>
  </si>
  <si>
    <t>200139805</t>
  </si>
  <si>
    <t>Fah Jia Yi</t>
  </si>
  <si>
    <t>980117-01-5756</t>
  </si>
  <si>
    <t>100127738</t>
  </si>
  <si>
    <t>200142129</t>
  </si>
  <si>
    <t>Goh Chew Hong</t>
  </si>
  <si>
    <t>861019-23-6238</t>
  </si>
  <si>
    <t>100127739</t>
  </si>
  <si>
    <t>200142128</t>
  </si>
  <si>
    <t>200145125</t>
  </si>
  <si>
    <t>Ong Teng Teng</t>
  </si>
  <si>
    <t>781221-01-5842</t>
  </si>
  <si>
    <t>100128630</t>
  </si>
  <si>
    <t>200135859</t>
  </si>
  <si>
    <t>Phang Sin Yee</t>
  </si>
  <si>
    <t>950228-01-6682</t>
  </si>
  <si>
    <t>100129373</t>
  </si>
  <si>
    <t>200145118</t>
  </si>
  <si>
    <t>200137849</t>
  </si>
  <si>
    <t>Nurul Hazwani Binti Jasmani</t>
  </si>
  <si>
    <t>870808-46-5062</t>
  </si>
  <si>
    <t>100129475</t>
  </si>
  <si>
    <t>200138252</t>
  </si>
  <si>
    <t>200145116</t>
  </si>
  <si>
    <t>Chen Wai Ling</t>
  </si>
  <si>
    <t>940610-08-5110</t>
  </si>
  <si>
    <t>100129524</t>
  </si>
  <si>
    <t>200139057</t>
  </si>
  <si>
    <t>200145117</t>
  </si>
  <si>
    <t>Norsyafrina Nabiha Binti Mohamad Shaifudin</t>
  </si>
  <si>
    <t>951130-01-6910</t>
  </si>
  <si>
    <t>100133292</t>
  </si>
  <si>
    <t>200144833</t>
  </si>
  <si>
    <t>Norazwin Binti  Nordin</t>
  </si>
  <si>
    <t>881129-01-5610</t>
  </si>
  <si>
    <t>100121472</t>
  </si>
  <si>
    <t>200145211</t>
  </si>
  <si>
    <t>200137329</t>
  </si>
  <si>
    <t>Bu Soo Pey</t>
  </si>
  <si>
    <t>801111-01-5572</t>
  </si>
  <si>
    <t>CPD Melaka</t>
  </si>
  <si>
    <t>100121489</t>
  </si>
  <si>
    <t>200137331</t>
  </si>
  <si>
    <t>200145213</t>
  </si>
  <si>
    <t>Tan Toh Wah</t>
  </si>
  <si>
    <t>650320-01-5792</t>
  </si>
  <si>
    <t>100121501</t>
  </si>
  <si>
    <t>200145109</t>
  </si>
  <si>
    <t>200137322</t>
  </si>
  <si>
    <t>Cheok Li Gek</t>
  </si>
  <si>
    <t>910110-05-5030</t>
  </si>
  <si>
    <t>100121504</t>
  </si>
  <si>
    <t>200135404</t>
  </si>
  <si>
    <t>200145219</t>
  </si>
  <si>
    <t>Er Kim Lee</t>
  </si>
  <si>
    <t>800102-01-6130</t>
  </si>
  <si>
    <t>100121505</t>
  </si>
  <si>
    <t>200137332</t>
  </si>
  <si>
    <t>200145223</t>
  </si>
  <si>
    <t>Khoo Wen Soak</t>
  </si>
  <si>
    <t>860513-33-5616</t>
  </si>
  <si>
    <t>100121514</t>
  </si>
  <si>
    <t>200137324</t>
  </si>
  <si>
    <t>200145110</t>
  </si>
  <si>
    <t>Ng Geok Lu</t>
  </si>
  <si>
    <t>781011-01-6046</t>
  </si>
  <si>
    <t>100121517</t>
  </si>
  <si>
    <t>200145115</t>
  </si>
  <si>
    <t>200137326</t>
  </si>
  <si>
    <t>Nofrime Binti Omar</t>
  </si>
  <si>
    <t>841016-12-5980</t>
  </si>
  <si>
    <t>100121519</t>
  </si>
  <si>
    <t>200145131</t>
  </si>
  <si>
    <t>200135893</t>
  </si>
  <si>
    <t>Ong Syow Lit</t>
  </si>
  <si>
    <t>890918-04-5024</t>
  </si>
  <si>
    <t>100121521</t>
  </si>
  <si>
    <t>200145114</t>
  </si>
  <si>
    <t>200137325</t>
  </si>
  <si>
    <t>Soh Bee Suan</t>
  </si>
  <si>
    <t>750506-08-5586</t>
  </si>
  <si>
    <t>100121522</t>
  </si>
  <si>
    <t>200137333</t>
  </si>
  <si>
    <t>200145235</t>
  </si>
  <si>
    <t>Tin Shaw Yi</t>
  </si>
  <si>
    <t>840730-05-5022</t>
  </si>
  <si>
    <t>100121524</t>
  </si>
  <si>
    <t>200137328</t>
  </si>
  <si>
    <t>200145206</t>
  </si>
  <si>
    <t>Yung Poh Chui</t>
  </si>
  <si>
    <t>821208-13-5720</t>
  </si>
  <si>
    <t>100123873</t>
  </si>
  <si>
    <t>200145111</t>
  </si>
  <si>
    <t>200137581</t>
  </si>
  <si>
    <t>Wong Te Lin</t>
  </si>
  <si>
    <t>831209-05-5262</t>
  </si>
  <si>
    <t>100132221</t>
  </si>
  <si>
    <t>200142583</t>
  </si>
  <si>
    <t>200145119</t>
  </si>
  <si>
    <t>Kua Bee Suan</t>
  </si>
  <si>
    <t>920729-04-5206</t>
  </si>
  <si>
    <t>100121535</t>
  </si>
  <si>
    <t>200137390</t>
  </si>
  <si>
    <t>200145228</t>
  </si>
  <si>
    <t>Lim Kah Ying</t>
  </si>
  <si>
    <t>860427-35-5186</t>
  </si>
  <si>
    <t>CPD North Penang</t>
  </si>
  <si>
    <t>100121543</t>
  </si>
  <si>
    <t>200137387</t>
  </si>
  <si>
    <t>200145221</t>
  </si>
  <si>
    <t>Neoh Lay Hwa</t>
  </si>
  <si>
    <t>851219-07-5572</t>
  </si>
  <si>
    <t>100121545</t>
  </si>
  <si>
    <t>200137384</t>
  </si>
  <si>
    <t>200145121</t>
  </si>
  <si>
    <t>Nor Atiqah Binti Asri</t>
  </si>
  <si>
    <t>920810-09-5040</t>
  </si>
  <si>
    <t>100121552</t>
  </si>
  <si>
    <t>200145234</t>
  </si>
  <si>
    <t>200137393</t>
  </si>
  <si>
    <t>Sathiyathai a/p Govindasamy</t>
  </si>
  <si>
    <t>800704-07-5496</t>
  </si>
  <si>
    <t>100121556</t>
  </si>
  <si>
    <t>200145222</t>
  </si>
  <si>
    <t>200137388</t>
  </si>
  <si>
    <t>Song Siew Kian</t>
  </si>
  <si>
    <t>821030-07-5432</t>
  </si>
  <si>
    <t>100121559</t>
  </si>
  <si>
    <t>200145216</t>
  </si>
  <si>
    <t>200137385</t>
  </si>
  <si>
    <t>Teoh Siaw Hooi</t>
  </si>
  <si>
    <t>930403-07-5412</t>
  </si>
  <si>
    <t>100121566</t>
  </si>
  <si>
    <t>200137392</t>
  </si>
  <si>
    <t>200145230</t>
  </si>
  <si>
    <t>Yee Lee Shi</t>
  </si>
  <si>
    <t>800827-09-5008</t>
  </si>
  <si>
    <t>100122153</t>
  </si>
  <si>
    <t>200145233</t>
  </si>
  <si>
    <t>200137391</t>
  </si>
  <si>
    <t>Choong Jenn Ling</t>
  </si>
  <si>
    <t>880114-07-5210</t>
  </si>
  <si>
    <t>100127693</t>
  </si>
  <si>
    <t>200145220</t>
  </si>
  <si>
    <t>200137386</t>
  </si>
  <si>
    <t>Noorsabariah Binti Rosli</t>
  </si>
  <si>
    <t>941208-09-5032</t>
  </si>
  <si>
    <t>100128633</t>
  </si>
  <si>
    <t>200145067</t>
  </si>
  <si>
    <t>200135862</t>
  </si>
  <si>
    <t>Nur Azlin Binti Zainal</t>
  </si>
  <si>
    <t>920408-09-5018</t>
  </si>
  <si>
    <t>100129803</t>
  </si>
  <si>
    <t>200138807</t>
  </si>
  <si>
    <t>200145355</t>
  </si>
  <si>
    <t>Nurul Syazwani Binti Rosli</t>
  </si>
  <si>
    <t>930611-02-5014</t>
  </si>
  <si>
    <t>100131188</t>
  </si>
  <si>
    <t>200140553</t>
  </si>
  <si>
    <t>200145112</t>
  </si>
  <si>
    <t>Nor Azila Binti Azizan</t>
  </si>
  <si>
    <t>961209-26-5070</t>
  </si>
  <si>
    <t>100132588</t>
  </si>
  <si>
    <t>200143210</t>
  </si>
  <si>
    <t>Kristina Tasya Budiman</t>
  </si>
  <si>
    <t>920924-61-5008</t>
  </si>
  <si>
    <t>100132707</t>
  </si>
  <si>
    <t>200143390</t>
  </si>
  <si>
    <t>Norisah Binti Mat Nasin</t>
  </si>
  <si>
    <t>831213-03-5440</t>
  </si>
  <si>
    <t>100121419</t>
  </si>
  <si>
    <t>200145226</t>
  </si>
  <si>
    <t>200137404</t>
  </si>
  <si>
    <t>Chew Poi Fong</t>
  </si>
  <si>
    <t>761005-08-5514</t>
  </si>
  <si>
    <t>CPD North Perak</t>
  </si>
  <si>
    <t>100121420</t>
  </si>
  <si>
    <t>200137403</t>
  </si>
  <si>
    <t>200145128</t>
  </si>
  <si>
    <t>Han Kah Chie</t>
  </si>
  <si>
    <t>930211-08-5616</t>
  </si>
  <si>
    <t>100121429</t>
  </si>
  <si>
    <t>200145232</t>
  </si>
  <si>
    <t>200137397</t>
  </si>
  <si>
    <t>See Ngan Ying</t>
  </si>
  <si>
    <t>801202-08-5736</t>
  </si>
  <si>
    <t>100121442</t>
  </si>
  <si>
    <t>200145130</t>
  </si>
  <si>
    <t>200137319</t>
  </si>
  <si>
    <t>Shuhada Binti Mohd Shaidan</t>
  </si>
  <si>
    <t>901117-08-6046</t>
  </si>
  <si>
    <t>100128035</t>
  </si>
  <si>
    <t>200137395</t>
  </si>
  <si>
    <t>200145210</t>
  </si>
  <si>
    <t>Wong Lee Sar</t>
  </si>
  <si>
    <t>770723-08-6380</t>
  </si>
  <si>
    <t>100129152</t>
  </si>
  <si>
    <t>200137180</t>
  </si>
  <si>
    <t>Lim Pei Yee</t>
  </si>
  <si>
    <t>901205-08-5078</t>
  </si>
  <si>
    <t>100129591</t>
  </si>
  <si>
    <t>200145129</t>
  </si>
  <si>
    <t>200138523</t>
  </si>
  <si>
    <t>Nor Hayati Binti Ishak</t>
  </si>
  <si>
    <t>830710-08-6308</t>
  </si>
  <si>
    <t>100129919</t>
  </si>
  <si>
    <t>200138885</t>
  </si>
  <si>
    <t>Pua Mei Ying</t>
  </si>
  <si>
    <t>970302-38-5346</t>
  </si>
  <si>
    <t>100121789</t>
  </si>
  <si>
    <t>200145238</t>
  </si>
  <si>
    <t>200137429</t>
  </si>
  <si>
    <t>Alundra Jarimin</t>
  </si>
  <si>
    <t>940529-12-5218</t>
  </si>
  <si>
    <t>CPD Sabah</t>
  </si>
  <si>
    <t>100121792</t>
  </si>
  <si>
    <t>200137428</t>
  </si>
  <si>
    <t>200145239</t>
  </si>
  <si>
    <t>Eulalia Dosuil</t>
  </si>
  <si>
    <t>730501-12-5878</t>
  </si>
  <si>
    <t>100121794</t>
  </si>
  <si>
    <t>200137427</t>
  </si>
  <si>
    <t>200145240</t>
  </si>
  <si>
    <t>Farahdilla Binti Amir Hamzah</t>
  </si>
  <si>
    <t>830119-12-5664</t>
  </si>
  <si>
    <t>100121795</t>
  </si>
  <si>
    <t>200145241</t>
  </si>
  <si>
    <t>Fauziah Binti Abdul Karim</t>
  </si>
  <si>
    <t>750809-12-5610</t>
  </si>
  <si>
    <t>100121797</t>
  </si>
  <si>
    <t>200137425</t>
  </si>
  <si>
    <t>200145242</t>
  </si>
  <si>
    <t>Florina Langau</t>
  </si>
  <si>
    <t>860312-49-5584</t>
  </si>
  <si>
    <t>100121799</t>
  </si>
  <si>
    <t>200145243</t>
  </si>
  <si>
    <t>200137424</t>
  </si>
  <si>
    <t>Jahsemah Binti Kesi</t>
  </si>
  <si>
    <t>870324-49-5310</t>
  </si>
  <si>
    <t>100121801</t>
  </si>
  <si>
    <t>200145258</t>
  </si>
  <si>
    <t>Laina Binti Langau</t>
  </si>
  <si>
    <t>770404-12-5186</t>
  </si>
  <si>
    <t>100121803</t>
  </si>
  <si>
    <t>200137421</t>
  </si>
  <si>
    <t>200145259</t>
  </si>
  <si>
    <t>Norzanah Binti Laode</t>
  </si>
  <si>
    <t>870414-12-5014</t>
  </si>
  <si>
    <t>100121805</t>
  </si>
  <si>
    <t>200145260</t>
  </si>
  <si>
    <t>Robina Binti Balduin</t>
  </si>
  <si>
    <t>751002-12-5454</t>
  </si>
  <si>
    <t>100121806</t>
  </si>
  <si>
    <t>200137418</t>
  </si>
  <si>
    <t>200145262</t>
  </si>
  <si>
    <t>Salmiah Binti Abdul Majid</t>
  </si>
  <si>
    <t>860317-12-5590</t>
  </si>
  <si>
    <t>100121807</t>
  </si>
  <si>
    <t>200145263</t>
  </si>
  <si>
    <t>200137417</t>
  </si>
  <si>
    <t>Sarifah Binti Rahmin</t>
  </si>
  <si>
    <t>920615-12-5988</t>
  </si>
  <si>
    <t>100121808</t>
  </si>
  <si>
    <t>200137416</t>
  </si>
  <si>
    <t>200145264</t>
  </si>
  <si>
    <t>Siti Rozainah Binti Abdul Wahap</t>
  </si>
  <si>
    <t>871223-12-5016</t>
  </si>
  <si>
    <t>100121812</t>
  </si>
  <si>
    <t>200145265</t>
  </si>
  <si>
    <t>200137415</t>
  </si>
  <si>
    <t>Winah Binti Gilbert</t>
  </si>
  <si>
    <t>830924-12-6184</t>
  </si>
  <si>
    <t>100121813</t>
  </si>
  <si>
    <t>200137414</t>
  </si>
  <si>
    <t>200145107</t>
  </si>
  <si>
    <t>Yong Sui Ken</t>
  </si>
  <si>
    <t>710325-12-5108</t>
  </si>
  <si>
    <t>100122212</t>
  </si>
  <si>
    <t>200137423</t>
  </si>
  <si>
    <t>200145257</t>
  </si>
  <si>
    <t>Jumira Binti Domali</t>
  </si>
  <si>
    <t>941013-12-6214</t>
  </si>
  <si>
    <t>100123544</t>
  </si>
  <si>
    <t>200137419</t>
  </si>
  <si>
    <t>200145261</t>
  </si>
  <si>
    <t>Rodzaimah Binti Othman Basah</t>
  </si>
  <si>
    <t>771219-12-5736</t>
  </si>
  <si>
    <t>100128456</t>
  </si>
  <si>
    <t>200145104</t>
  </si>
  <si>
    <t>200135405</t>
  </si>
  <si>
    <t>Zaliha Binti Hassan @ Ritus</t>
  </si>
  <si>
    <t>731122-12-5274</t>
  </si>
  <si>
    <t>100121756</t>
  </si>
  <si>
    <t>200137443</t>
  </si>
  <si>
    <t>200145123</t>
  </si>
  <si>
    <t>Annie Atiqah Abdullah</t>
  </si>
  <si>
    <t>780426-13-5472</t>
  </si>
  <si>
    <t>CPD Sarawak</t>
  </si>
  <si>
    <t>100121762</t>
  </si>
  <si>
    <t>200137439</t>
  </si>
  <si>
    <t>200145108</t>
  </si>
  <si>
    <t>Eriaana Binti Rimba</t>
  </si>
  <si>
    <t>830704-13-5206</t>
  </si>
  <si>
    <t>100121765</t>
  </si>
  <si>
    <t>200145132</t>
  </si>
  <si>
    <t>200137438</t>
  </si>
  <si>
    <t>Jin Siew Eng</t>
  </si>
  <si>
    <t>891207-13-6100</t>
  </si>
  <si>
    <t>100121767</t>
  </si>
  <si>
    <t>200145217</t>
  </si>
  <si>
    <t>200137437</t>
  </si>
  <si>
    <t>Lim Boon Sua</t>
  </si>
  <si>
    <t>650720-13-5152</t>
  </si>
  <si>
    <t>100121772</t>
  </si>
  <si>
    <t>200137410</t>
  </si>
  <si>
    <t>Nuraisah Moi Abdullah</t>
  </si>
  <si>
    <t>760805-13-5634</t>
  </si>
  <si>
    <t>100121777</t>
  </si>
  <si>
    <t>200145120</t>
  </si>
  <si>
    <t>Rebecca Bina</t>
  </si>
  <si>
    <t>800307-13-5926</t>
  </si>
  <si>
    <t>100121780</t>
  </si>
  <si>
    <t>200137433</t>
  </si>
  <si>
    <t>200145106</t>
  </si>
  <si>
    <t>Sarina Binti Ibrahim</t>
  </si>
  <si>
    <t>760113-13-5086</t>
  </si>
  <si>
    <t>100123781</t>
  </si>
  <si>
    <t>200137432</t>
  </si>
  <si>
    <t>200145205</t>
  </si>
  <si>
    <t>Wendy Lim Wee Ging</t>
  </si>
  <si>
    <t>950620-13-5934</t>
  </si>
  <si>
    <t>100123782</t>
  </si>
  <si>
    <t>200145103</t>
  </si>
  <si>
    <t>200137441</t>
  </si>
  <si>
    <t>Nur Arissa Ariyana Binti Upol</t>
  </si>
  <si>
    <t>880402-13-5046</t>
  </si>
  <si>
    <t>100123876</t>
  </si>
  <si>
    <t>200145236</t>
  </si>
  <si>
    <t>Yeo Hui Hua</t>
  </si>
  <si>
    <t>880506-52-5292</t>
  </si>
  <si>
    <t>100130127</t>
  </si>
  <si>
    <t>200145105</t>
  </si>
  <si>
    <t>200139322</t>
  </si>
  <si>
    <t>Tang  Suk Yian</t>
  </si>
  <si>
    <t>930802-13-6120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</si>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</sst>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435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0</v>
      </c>
      <c r="C1" t="s">
        <v>0</v>
      </c>
      <c r="D1" t="s">
        <v>1</v>
      </c>
    </row>
    <row r="2">
      <c r="A2" t="s">
        <v>0</v>
      </c>
      <c r="B2" t="s">
        <v>0</v>
      </c>
      <c r="C2" t="s">
        <v>0</v>
      </c>
      <c r="D2" t="s">
        <v>2</v>
      </c>
    </row>
    <row r="3">
      <c r="A3" t="s">
        <v>0</v>
      </c>
      <c r="B3" t="s">
        <v>0</v>
      </c>
      <c r="C3" t="s">
        <v>0</v>
      </c>
      <c r="D3" t="s">
        <v>3</v>
      </c>
    </row>
    <row r="4">
      <c r="A4" t="s">
        <v>0</v>
      </c>
      <c r="B4" t="s">
        <v>0</v>
      </c>
      <c r="C4" t="s">
        <v>0</v>
      </c>
      <c r="D4" t="s">
        <v>4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8627">
        <v>5</v>
      </c>
      <c r="AD4" t="n" s="8629">
        <v>2018.0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8628">
        <v>6</v>
      </c>
      <c r="AD5" t="n" s="8630">
        <v>2017.0</v>
      </c>
    </row>
    <row r="6"/>
    <row r="7" ht="35.0" customHeight="true">
      <c r="A7" t="s" s="8557">
        <v>7</v>
      </c>
      <c r="B7" t="s" s="8558">
        <v>8</v>
      </c>
      <c r="C7" t="s" s="8559">
        <v>9</v>
      </c>
      <c r="D7" t="s" s="8560">
        <v>10</v>
      </c>
      <c r="E7" t="s" s="8561">
        <v>11</v>
      </c>
      <c r="F7" t="s" s="8562">
        <v>12</v>
      </c>
      <c r="G7" t="s" s="8563">
        <v>13</v>
      </c>
      <c r="H7" t="s" s="8564">
        <v>14</v>
      </c>
      <c r="I7" t="s" s="8565">
        <v>15</v>
      </c>
      <c r="J7" t="s" s="8566">
        <v>16</v>
      </c>
      <c r="K7" t="s" s="8567">
        <v>17</v>
      </c>
      <c r="L7" t="s" s="8568">
        <v>18</v>
      </c>
      <c r="M7" t="s" s="8569">
        <v>19</v>
      </c>
      <c r="N7" t="s" s="8570">
        <v>20</v>
      </c>
      <c r="O7" t="s" s="8571">
        <v>21</v>
      </c>
      <c r="P7" t="s" s="8572">
        <v>22</v>
      </c>
      <c r="Q7" t="s" s="8573">
        <v>23</v>
      </c>
      <c r="R7" t="s" s="8574">
        <v>24</v>
      </c>
      <c r="S7" t="s" s="8575">
        <v>25</v>
      </c>
      <c r="T7" t="s" s="8576">
        <v>26</v>
      </c>
      <c r="U7" t="s" s="8577">
        <v>27</v>
      </c>
      <c r="V7" t="s" s="8578">
        <v>28</v>
      </c>
      <c r="W7" t="s" s="8579">
        <v>29</v>
      </c>
      <c r="X7" t="s" s="8580">
        <v>30</v>
      </c>
      <c r="Y7" t="s" s="8581">
        <v>31</v>
      </c>
      <c r="Z7" t="s" s="8582">
        <v>32</v>
      </c>
      <c r="AA7" t="s" s="8583">
        <v>33</v>
      </c>
      <c r="AB7" t="s" s="8584">
        <v>34</v>
      </c>
      <c r="AC7" t="s" s="8585">
        <v>35</v>
      </c>
      <c r="AD7" t="s" s="8586">
        <v>36</v>
      </c>
      <c r="AE7" t="s" s="8587">
        <v>37</v>
      </c>
      <c r="AF7" t="s" s="8588">
        <v>38</v>
      </c>
      <c r="AG7" t="s" s="8589">
        <v>39</v>
      </c>
      <c r="AH7" t="s" s="8590">
        <v>40</v>
      </c>
      <c r="AI7" t="s" s="8591">
        <v>41</v>
      </c>
    </row>
    <row r="8">
      <c r="A8" t="s" s="3727">
        <v>42</v>
      </c>
      <c r="B8" t="s" s="3728">
        <v>0</v>
      </c>
      <c r="C8" t="s" s="3729">
        <v>43</v>
      </c>
      <c r="D8" t="s" s="3730">
        <v>44</v>
      </c>
      <c r="E8" t="s" s="3731">
        <v>45</v>
      </c>
      <c r="F8" t="s" s="3732">
        <v>0</v>
      </c>
      <c r="G8" t="n" s="8631">
        <v>42005.0</v>
      </c>
      <c r="H8" t="s" s="8632">
        <v>0</v>
      </c>
      <c r="I8" t="n" s="3735">
        <v>0.0</v>
      </c>
      <c r="J8" t="n" s="3736">
        <v>0.0</v>
      </c>
      <c r="K8" t="n" s="3737">
        <v>0.0</v>
      </c>
      <c r="L8" t="n" s="3738">
        <v>300.0</v>
      </c>
      <c r="M8" t="n" s="3739">
        <v>0.0</v>
      </c>
      <c r="N8" t="n" s="3740">
        <v>10.0</v>
      </c>
      <c r="O8" t="n" s="3741">
        <v>0.0</v>
      </c>
      <c r="P8" t="n" s="3742">
        <v>0.0</v>
      </c>
      <c r="Q8" t="n" s="3743">
        <v>12.0</v>
      </c>
      <c r="R8" t="n" s="3744">
        <v>103.8</v>
      </c>
      <c r="S8" t="n" s="3745">
        <v>8.0</v>
      </c>
      <c r="T8" t="n" s="3746">
        <v>92.32</v>
      </c>
      <c r="U8" t="n" s="3747">
        <v>3.0</v>
      </c>
      <c r="V8" t="n" s="3748">
        <v>51.93</v>
      </c>
      <c r="W8" t="n" s="3749">
        <f>r8+t8+v8</f>
      </c>
      <c r="X8" t="n" s="3750">
        <v>0.0</v>
      </c>
      <c r="Y8" t="n" s="3751">
        <v>0.0</v>
      </c>
      <c r="Z8" t="n" s="3752">
        <v>0.0</v>
      </c>
      <c r="AA8" t="n" s="3753">
        <f>i8+j8+k8+l8+m8+n8+o8+p8+x8+y8+z8</f>
      </c>
      <c r="AB8" t="n" s="3754">
        <v>39.0</v>
      </c>
      <c r="AC8" t="n" s="3755">
        <v>9.65</v>
      </c>
      <c r="AD8" t="n" s="3756">
        <v>1.1</v>
      </c>
      <c r="AE8" t="n" s="3757">
        <v>80.0</v>
      </c>
      <c r="AF8" t="n" s="3758">
        <f>ROUND((aa8+ab8+ac8+ad8+ae8),2)</f>
      </c>
      <c r="AG8" t="n" s="3759">
        <f>af8*0.06</f>
      </c>
      <c r="AH8" t="n" s="3760">
        <f>af8+ag8</f>
      </c>
      <c r="AI8" t="s" s="3761">
        <v>0</v>
      </c>
    </row>
    <row r="9">
      <c r="A9" t="s" s="3762">
        <v>46</v>
      </c>
      <c r="B9" t="s" s="3763">
        <v>0</v>
      </c>
      <c r="C9" t="s" s="3764">
        <v>47</v>
      </c>
      <c r="D9" t="s" s="3765">
        <v>48</v>
      </c>
      <c r="E9" t="s" s="3766">
        <v>49</v>
      </c>
      <c r="F9" t="s" s="3767">
        <v>0</v>
      </c>
      <c r="G9" t="n" s="8633">
        <v>42005.0</v>
      </c>
      <c r="H9" t="s" s="8634">
        <v>0</v>
      </c>
      <c r="I9" t="n" s="3770">
        <v>0.0</v>
      </c>
      <c r="J9" t="n" s="3771">
        <v>0.0</v>
      </c>
      <c r="K9" t="n" s="3772">
        <v>0.0</v>
      </c>
      <c r="L9" t="n" s="3773">
        <v>0.0</v>
      </c>
      <c r="M9" t="n" s="3774">
        <v>0.0</v>
      </c>
      <c r="N9" t="n" s="3775">
        <v>20.6</v>
      </c>
      <c r="O9" t="n" s="3776">
        <v>0.0</v>
      </c>
      <c r="P9" t="n" s="3777">
        <v>0.0</v>
      </c>
      <c r="Q9" t="n" s="3778">
        <v>20.0</v>
      </c>
      <c r="R9" t="n" s="3779">
        <v>173.0</v>
      </c>
      <c r="S9" t="n" s="3780">
        <v>0.0</v>
      </c>
      <c r="T9" t="n" s="3781">
        <v>0.0</v>
      </c>
      <c r="U9" t="n" s="3782">
        <v>0.0</v>
      </c>
      <c r="V9" t="n" s="3783">
        <v>0.0</v>
      </c>
      <c r="W9" t="n" s="3784">
        <f>r9+t9+v9</f>
      </c>
      <c r="X9" t="n" s="3785">
        <v>0.0</v>
      </c>
      <c r="Y9" t="n" s="3786">
        <v>0.0</v>
      </c>
      <c r="Z9" t="n" s="3787">
        <v>0.0</v>
      </c>
      <c r="AA9" t="n" s="3788">
        <f>i9+j9+k9+l9+m9+n9+o9+p9+x9+y9+z9</f>
      </c>
      <c r="AB9" t="n" s="3789">
        <v>0.0</v>
      </c>
      <c r="AC9" t="n" s="3790">
        <v>2.95</v>
      </c>
      <c r="AD9" t="n" s="3791">
        <v>0.35</v>
      </c>
      <c r="AE9" t="n" s="3792">
        <v>80.0</v>
      </c>
      <c r="AF9" t="n" s="3793">
        <f>ROUND((aa9+ab9+ac9+ad9+ae9),2)</f>
      </c>
      <c r="AG9" t="n" s="3794">
        <f>af9*0.06</f>
      </c>
      <c r="AH9" t="n" s="3795">
        <f>af9+ag9</f>
      </c>
      <c r="AI9" t="s" s="3796">
        <v>0</v>
      </c>
    </row>
    <row r="10">
      <c r="A10" t="s" s="3797">
        <v>50</v>
      </c>
      <c r="B10" t="s" s="3798">
        <v>0</v>
      </c>
      <c r="C10" t="s" s="3799">
        <v>51</v>
      </c>
      <c r="D10" t="s" s="3800">
        <v>52</v>
      </c>
      <c r="E10" t="s" s="3801">
        <v>53</v>
      </c>
      <c r="F10" t="s" s="3802">
        <v>0</v>
      </c>
      <c r="G10" t="n" s="8635">
        <v>42005.0</v>
      </c>
      <c r="H10" t="s" s="8636">
        <v>0</v>
      </c>
      <c r="I10" t="n" s="3805">
        <v>0.0</v>
      </c>
      <c r="J10" t="n" s="3806">
        <v>0.0</v>
      </c>
      <c r="K10" t="n" s="3807">
        <v>0.0</v>
      </c>
      <c r="L10" t="n" s="3808">
        <v>1922.0</v>
      </c>
      <c r="M10" t="n" s="3809">
        <v>0.0</v>
      </c>
      <c r="N10" t="n" s="3810">
        <v>100.0</v>
      </c>
      <c r="O10" t="n" s="3811">
        <v>0.0</v>
      </c>
      <c r="P10" t="n" s="3812">
        <v>0.0</v>
      </c>
      <c r="Q10" t="n" s="3813">
        <v>6.0</v>
      </c>
      <c r="R10" t="n" s="3814">
        <v>61.44</v>
      </c>
      <c r="S10" t="n" s="3815">
        <v>8.0</v>
      </c>
      <c r="T10" t="n" s="3816">
        <v>109.2</v>
      </c>
      <c r="U10" t="n" s="3817">
        <v>0.0</v>
      </c>
      <c r="V10" t="n" s="3818">
        <v>0.0</v>
      </c>
      <c r="W10" t="n" s="3819">
        <f>r10+t10+v10</f>
      </c>
      <c r="X10" t="n" s="3820">
        <v>0.0</v>
      </c>
      <c r="Y10" t="n" s="3821">
        <v>0.0</v>
      </c>
      <c r="Z10" t="n" s="3822">
        <v>0.0</v>
      </c>
      <c r="AA10" t="n" s="3823">
        <f>i10+j10+k10+l10+m10+n10+o10+p10+x10+y10+z10</f>
      </c>
      <c r="AB10" t="n" s="3824">
        <v>253.0</v>
      </c>
      <c r="AC10" t="n" s="3825">
        <v>35.85</v>
      </c>
      <c r="AD10" t="n" s="3826">
        <v>4.1</v>
      </c>
      <c r="AE10" t="n" s="3827">
        <v>80.0</v>
      </c>
      <c r="AF10" t="n" s="3828">
        <f>ROUND((aa10+ab10+ac10+ad10+ae10),2)</f>
      </c>
      <c r="AG10" t="n" s="3829">
        <f>af10*0.06</f>
      </c>
      <c r="AH10" t="n" s="3830">
        <f>af10+ag10</f>
      </c>
      <c r="AI10" t="s" s="3831">
        <v>0</v>
      </c>
    </row>
    <row r="11">
      <c r="A11" t="s" s="3832">
        <v>54</v>
      </c>
      <c r="B11" t="s" s="3833">
        <v>0</v>
      </c>
      <c r="C11" t="s" s="3834">
        <v>55</v>
      </c>
      <c r="D11" t="s" s="3835">
        <v>56</v>
      </c>
      <c r="E11" t="s" s="3836">
        <v>57</v>
      </c>
      <c r="F11" t="s" s="3837">
        <v>0</v>
      </c>
      <c r="G11" t="n" s="8637">
        <v>42005.0</v>
      </c>
      <c r="H11" t="s" s="8638">
        <v>0</v>
      </c>
      <c r="I11" t="n" s="3840">
        <v>0.0</v>
      </c>
      <c r="J11" t="n" s="3841">
        <v>0.0</v>
      </c>
      <c r="K11" t="n" s="3842">
        <v>0.0</v>
      </c>
      <c r="L11" t="n" s="3843">
        <v>1386.0</v>
      </c>
      <c r="M11" t="n" s="3844">
        <v>0.0</v>
      </c>
      <c r="N11" t="n" s="3845">
        <v>8.0</v>
      </c>
      <c r="O11" t="n" s="3846">
        <v>0.0</v>
      </c>
      <c r="P11" t="n" s="3847">
        <v>0.0</v>
      </c>
      <c r="Q11" t="n" s="3848">
        <v>5.0</v>
      </c>
      <c r="R11" t="n" s="3849">
        <v>47.6</v>
      </c>
      <c r="S11" t="n" s="3850">
        <v>8.0</v>
      </c>
      <c r="T11" t="n" s="3851">
        <v>101.52</v>
      </c>
      <c r="U11" t="n" s="3852">
        <v>0.0</v>
      </c>
      <c r="V11" t="n" s="3853">
        <v>0.0</v>
      </c>
      <c r="W11" t="n" s="3854">
        <f>r11+t11+v11</f>
      </c>
      <c r="X11" t="n" s="3855">
        <v>0.0</v>
      </c>
      <c r="Y11" t="n" s="3856">
        <v>0.0</v>
      </c>
      <c r="Z11" t="n" s="3857">
        <v>0.0</v>
      </c>
      <c r="AA11" t="n" s="3858">
        <f>i11+j11+k11+l11+m11+n11+o11+p11+x11+y11+z11</f>
      </c>
      <c r="AB11" t="n" s="3859">
        <v>182.0</v>
      </c>
      <c r="AC11" t="n" s="3860">
        <v>27.15</v>
      </c>
      <c r="AD11" t="n" s="3861">
        <v>3.1</v>
      </c>
      <c r="AE11" t="n" s="3862">
        <v>80.0</v>
      </c>
      <c r="AF11" t="n" s="3863">
        <f>ROUND((aa11+ab11+ac11+ad11+ae11),2)</f>
      </c>
      <c r="AG11" t="n" s="3864">
        <f>af11*0.06</f>
      </c>
      <c r="AH11" t="n" s="3865">
        <f>af11+ag11</f>
      </c>
      <c r="AI11" t="s" s="3866">
        <v>0</v>
      </c>
    </row>
    <row r="12">
      <c r="A12" t="s" s="3867">
        <v>58</v>
      </c>
      <c r="B12" t="s" s="3868">
        <v>0</v>
      </c>
      <c r="C12" t="s" s="3869">
        <v>59</v>
      </c>
      <c r="D12" t="s" s="3870">
        <v>60</v>
      </c>
      <c r="E12" t="s" s="3871">
        <v>61</v>
      </c>
      <c r="F12" t="s" s="3872">
        <v>0</v>
      </c>
      <c r="G12" t="n" s="8639">
        <v>42005.0</v>
      </c>
      <c r="H12" t="s" s="8640">
        <v>0</v>
      </c>
      <c r="I12" t="n" s="3875">
        <v>0.0</v>
      </c>
      <c r="J12" t="n" s="3876">
        <v>0.0</v>
      </c>
      <c r="K12" t="n" s="3877">
        <v>0.0</v>
      </c>
      <c r="L12" t="n" s="3878">
        <v>200.0</v>
      </c>
      <c r="M12" t="n" s="3879">
        <v>0.0</v>
      </c>
      <c r="N12" t="n" s="3880">
        <v>10.0</v>
      </c>
      <c r="O12" t="n" s="3881">
        <v>0.0</v>
      </c>
      <c r="P12" t="n" s="3882">
        <v>0.0</v>
      </c>
      <c r="Q12" t="n" s="3883">
        <v>9.0</v>
      </c>
      <c r="R12" t="n" s="3884">
        <v>72.0</v>
      </c>
      <c r="S12" t="n" s="3885">
        <v>0.0</v>
      </c>
      <c r="T12" t="n" s="3886">
        <v>0.0</v>
      </c>
      <c r="U12" t="n" s="3887">
        <v>0.0</v>
      </c>
      <c r="V12" t="n" s="3888">
        <v>0.0</v>
      </c>
      <c r="W12" t="n" s="3889">
        <f>r12+t12+v12</f>
      </c>
      <c r="X12" t="n" s="3890">
        <v>0.0</v>
      </c>
      <c r="Y12" t="n" s="3891">
        <v>0.0</v>
      </c>
      <c r="Z12" t="n" s="3892">
        <v>0.0</v>
      </c>
      <c r="AA12" t="n" s="3893">
        <f>i12+j12+k12+l12+m12+n12+o12+p12+x12+y12+z12</f>
      </c>
      <c r="AB12" t="n" s="3894">
        <v>26.0</v>
      </c>
      <c r="AC12" t="n" s="3895">
        <v>4.35</v>
      </c>
      <c r="AD12" t="n" s="3896">
        <v>0.5</v>
      </c>
      <c r="AE12" t="n" s="3897">
        <v>80.0</v>
      </c>
      <c r="AF12" t="n" s="3898">
        <f>ROUND((aa12+ab12+ac12+ad12+ae12),2)</f>
      </c>
      <c r="AG12" t="n" s="3899">
        <f>af12*0.06</f>
      </c>
      <c r="AH12" t="n" s="3900">
        <f>af12+ag12</f>
      </c>
      <c r="AI12" t="s" s="3901">
        <v>0</v>
      </c>
    </row>
    <row r="13">
      <c r="A13" t="s" s="3902">
        <v>62</v>
      </c>
      <c r="B13" t="s" s="3903">
        <v>0</v>
      </c>
      <c r="C13" t="s" s="3904">
        <v>63</v>
      </c>
      <c r="D13" t="s" s="3905">
        <v>64</v>
      </c>
      <c r="E13" t="s" s="3906">
        <v>65</v>
      </c>
      <c r="F13" t="s" s="3907">
        <v>0</v>
      </c>
      <c r="G13" t="n" s="8641">
        <v>42005.0</v>
      </c>
      <c r="H13" t="s" s="8642">
        <v>0</v>
      </c>
      <c r="I13" t="n" s="3910">
        <v>0.0</v>
      </c>
      <c r="J13" t="n" s="3911">
        <v>0.0</v>
      </c>
      <c r="K13" t="n" s="3912">
        <v>0.0</v>
      </c>
      <c r="L13" t="n" s="3913">
        <v>800.0</v>
      </c>
      <c r="M13" t="n" s="3914">
        <v>0.0</v>
      </c>
      <c r="N13" t="n" s="3915">
        <v>10.0</v>
      </c>
      <c r="O13" t="n" s="3916">
        <v>0.0</v>
      </c>
      <c r="P13" t="n" s="3917">
        <v>0.0</v>
      </c>
      <c r="Q13" t="n" s="3918">
        <v>12.0</v>
      </c>
      <c r="R13" t="n" s="3919">
        <v>111.6</v>
      </c>
      <c r="S13" t="n" s="3920">
        <v>8.0</v>
      </c>
      <c r="T13" t="n" s="3921">
        <v>99.2</v>
      </c>
      <c r="U13" t="n" s="3922">
        <v>1.0</v>
      </c>
      <c r="V13" t="n" s="3923">
        <v>18.61</v>
      </c>
      <c r="W13" t="n" s="3924">
        <f>r13+t13+v13</f>
      </c>
      <c r="X13" t="n" s="3925">
        <v>0.0</v>
      </c>
      <c r="Y13" t="n" s="3926">
        <v>0.0</v>
      </c>
      <c r="Z13" t="n" s="3927">
        <v>0.0</v>
      </c>
      <c r="AA13" t="n" s="3928">
        <f>i13+j13+k13+l13+m13+n13+o13+p13+x13+y13+z13</f>
      </c>
      <c r="AB13" t="n" s="3929">
        <v>104.0</v>
      </c>
      <c r="AC13" t="n" s="3930">
        <v>18.35</v>
      </c>
      <c r="AD13" t="n" s="3931">
        <v>2.1</v>
      </c>
      <c r="AE13" t="n" s="3932">
        <v>80.0</v>
      </c>
      <c r="AF13" t="n" s="3933">
        <f>ROUND((aa13+ab13+ac13+ad13+ae13),2)</f>
      </c>
      <c r="AG13" t="n" s="3934">
        <f>af13*0.06</f>
      </c>
      <c r="AH13" t="n" s="3935">
        <f>af13+ag13</f>
      </c>
      <c r="AI13" t="s" s="3936">
        <v>0</v>
      </c>
    </row>
    <row r="14">
      <c r="A14" t="s" s="3937">
        <v>66</v>
      </c>
      <c r="B14" t="s" s="3938">
        <v>0</v>
      </c>
      <c r="C14" t="s" s="3939">
        <v>67</v>
      </c>
      <c r="D14" t="s" s="3940">
        <v>68</v>
      </c>
      <c r="E14" t="s" s="3941">
        <v>69</v>
      </c>
      <c r="F14" t="s" s="3942">
        <v>0</v>
      </c>
      <c r="G14" t="n" s="8643">
        <v>42005.0</v>
      </c>
      <c r="H14" t="s" s="8644">
        <v>0</v>
      </c>
      <c r="I14" t="n" s="3945">
        <v>0.0</v>
      </c>
      <c r="J14" t="n" s="3946">
        <v>0.0</v>
      </c>
      <c r="K14" t="n" s="3947">
        <v>0.0</v>
      </c>
      <c r="L14" t="n" s="3948">
        <v>1400.0</v>
      </c>
      <c r="M14" t="n" s="3949">
        <v>0.0</v>
      </c>
      <c r="N14" t="n" s="3950">
        <v>10.0</v>
      </c>
      <c r="O14" t="n" s="3951">
        <v>0.0</v>
      </c>
      <c r="P14" t="n" s="3952">
        <v>0.0</v>
      </c>
      <c r="Q14" t="n" s="3953">
        <v>0.0</v>
      </c>
      <c r="R14" t="n" s="3954">
        <v>0.0</v>
      </c>
      <c r="S14" t="n" s="3955">
        <v>0.0</v>
      </c>
      <c r="T14" t="n" s="3956">
        <v>0.0</v>
      </c>
      <c r="U14" t="n" s="3957">
        <v>0.0</v>
      </c>
      <c r="V14" t="n" s="3958">
        <v>0.0</v>
      </c>
      <c r="W14" t="n" s="3959">
        <f>r14+t14+v14</f>
      </c>
      <c r="X14" t="n" s="3960">
        <v>0.0</v>
      </c>
      <c r="Y14" t="n" s="3961">
        <v>0.0</v>
      </c>
      <c r="Z14" t="n" s="3962">
        <v>0.0</v>
      </c>
      <c r="AA14" t="n" s="3963">
        <f>i14+j14+k14+l14+m14+n14+o14+p14+x14+y14+z14</f>
      </c>
      <c r="AB14" t="n" s="3964">
        <v>182.0</v>
      </c>
      <c r="AC14" t="n" s="3965">
        <v>23.65</v>
      </c>
      <c r="AD14" t="n" s="3966">
        <v>2.7</v>
      </c>
      <c r="AE14" t="n" s="3967">
        <v>80.0</v>
      </c>
      <c r="AF14" t="n" s="3968">
        <f>ROUND((aa14+ab14+ac14+ad14+ae14),2)</f>
      </c>
      <c r="AG14" t="n" s="3969">
        <f>af14*0.06</f>
      </c>
      <c r="AH14" t="n" s="3970">
        <f>af14+ag14</f>
      </c>
      <c r="AI14" t="s" s="3971">
        <v>0</v>
      </c>
    </row>
    <row r="15">
      <c r="A15" t="s" s="3972">
        <v>70</v>
      </c>
      <c r="B15" t="s" s="3973">
        <v>0</v>
      </c>
      <c r="C15" t="s" s="3974">
        <v>71</v>
      </c>
      <c r="D15" t="s" s="3975">
        <v>72</v>
      </c>
      <c r="E15" t="s" s="3976">
        <v>73</v>
      </c>
      <c r="F15" t="s" s="3977">
        <v>0</v>
      </c>
      <c r="G15" t="n" s="8645">
        <v>42005.0</v>
      </c>
      <c r="H15" t="s" s="8646">
        <v>0</v>
      </c>
      <c r="I15" t="n" s="3980">
        <v>0.0</v>
      </c>
      <c r="J15" t="n" s="3981">
        <v>0.0</v>
      </c>
      <c r="K15" t="n" s="3982">
        <v>0.0</v>
      </c>
      <c r="L15" t="n" s="3983">
        <v>850.0</v>
      </c>
      <c r="M15" t="n" s="3984">
        <v>0.0</v>
      </c>
      <c r="N15" t="n" s="3985">
        <v>10.0</v>
      </c>
      <c r="O15" t="n" s="3986">
        <v>0.0</v>
      </c>
      <c r="P15" t="n" s="3987">
        <v>0.0</v>
      </c>
      <c r="Q15" t="n" s="3988">
        <v>26.0</v>
      </c>
      <c r="R15" t="n" s="3989">
        <v>224.9</v>
      </c>
      <c r="S15" t="n" s="3990">
        <v>8.0</v>
      </c>
      <c r="T15" t="n" s="3991">
        <v>92.32</v>
      </c>
      <c r="U15" t="n" s="3992">
        <v>4.0</v>
      </c>
      <c r="V15" t="n" s="3993">
        <v>69.24</v>
      </c>
      <c r="W15" t="n" s="3994">
        <f>r15+t15+v15</f>
      </c>
      <c r="X15" t="n" s="3995">
        <v>0.0</v>
      </c>
      <c r="Y15" t="n" s="3996">
        <v>0.0</v>
      </c>
      <c r="Z15" t="n" s="3997">
        <v>0.0</v>
      </c>
      <c r="AA15" t="n" s="3998">
        <f>i15+j15+k15+l15+m15+n15+o15+p15+x15+y15+z15</f>
      </c>
      <c r="AB15" t="n" s="3999">
        <v>112.0</v>
      </c>
      <c r="AC15" t="n" s="4000">
        <v>21.85</v>
      </c>
      <c r="AD15" t="n" s="4001">
        <v>2.5</v>
      </c>
      <c r="AE15" t="n" s="4002">
        <v>80.0</v>
      </c>
      <c r="AF15" t="n" s="4003">
        <f>ROUND((aa15+ab15+ac15+ad15+ae15),2)</f>
      </c>
      <c r="AG15" t="n" s="4004">
        <f>af15*0.06</f>
      </c>
      <c r="AH15" t="n" s="4005">
        <f>af15+ag15</f>
      </c>
      <c r="AI15" t="s" s="4006">
        <v>0</v>
      </c>
    </row>
    <row r="16">
      <c r="A16" t="s" s="4007">
        <v>74</v>
      </c>
      <c r="B16" t="s" s="4008">
        <v>0</v>
      </c>
      <c r="C16" t="s" s="4009">
        <v>75</v>
      </c>
      <c r="D16" t="s" s="4010">
        <v>76</v>
      </c>
      <c r="E16" t="s" s="4011">
        <v>77</v>
      </c>
      <c r="F16" t="s" s="4012">
        <v>0</v>
      </c>
      <c r="G16" t="n" s="8647">
        <v>42125.0</v>
      </c>
      <c r="H16" t="s" s="8648">
        <v>0</v>
      </c>
      <c r="I16" t="n" s="4015">
        <v>0.0</v>
      </c>
      <c r="J16" t="n" s="4016">
        <v>0.0</v>
      </c>
      <c r="K16" t="n" s="4017">
        <v>0.0</v>
      </c>
      <c r="L16" t="n" s="4018">
        <v>0.0</v>
      </c>
      <c r="M16" t="n" s="4019">
        <v>0.0</v>
      </c>
      <c r="N16" t="n" s="4020">
        <v>20.8</v>
      </c>
      <c r="O16" t="n" s="4021">
        <v>0.0</v>
      </c>
      <c r="P16" t="n" s="4022">
        <v>0.0</v>
      </c>
      <c r="Q16" t="n" s="4023">
        <v>12.0</v>
      </c>
      <c r="R16" t="n" s="4024">
        <v>103.8</v>
      </c>
      <c r="S16" t="n" s="4025">
        <v>8.0</v>
      </c>
      <c r="T16" t="n" s="4026">
        <v>92.32</v>
      </c>
      <c r="U16" t="n" s="4027">
        <v>4.0</v>
      </c>
      <c r="V16" t="n" s="4028">
        <v>69.24</v>
      </c>
      <c r="W16" t="n" s="4029">
        <f>r16+t16+v16</f>
      </c>
      <c r="X16" t="n" s="4030">
        <v>0.0</v>
      </c>
      <c r="Y16" t="n" s="4031">
        <v>0.0</v>
      </c>
      <c r="Z16" t="n" s="4032">
        <v>0.0</v>
      </c>
      <c r="AA16" t="n" s="4033">
        <f>i16+j16+k16+l16+m16+n16+o16+p16+x16+y16+z16</f>
      </c>
      <c r="AB16" t="n" s="4034">
        <v>0.0</v>
      </c>
      <c r="AC16" t="n" s="4035">
        <v>4.35</v>
      </c>
      <c r="AD16" t="n" s="4036">
        <v>0.5</v>
      </c>
      <c r="AE16" t="n" s="4037">
        <v>80.0</v>
      </c>
      <c r="AF16" t="n" s="4038">
        <f>ROUND((aa16+ab16+ac16+ad16+ae16),2)</f>
      </c>
      <c r="AG16" t="n" s="4039">
        <f>af16*0.06</f>
      </c>
      <c r="AH16" t="n" s="4040">
        <f>af16+ag16</f>
      </c>
      <c r="AI16" t="s" s="4041">
        <v>0</v>
      </c>
    </row>
    <row r="17">
      <c r="A17" t="s" s="4042">
        <v>78</v>
      </c>
      <c r="B17" t="s" s="4043">
        <v>0</v>
      </c>
      <c r="C17" t="s" s="4044">
        <v>79</v>
      </c>
      <c r="D17" t="s" s="4045">
        <v>80</v>
      </c>
      <c r="E17" t="s" s="4046">
        <v>81</v>
      </c>
      <c r="F17" t="s" s="4047">
        <v>0</v>
      </c>
      <c r="G17" t="n" s="8649">
        <v>42177.0</v>
      </c>
      <c r="H17" t="s" s="8650">
        <v>0</v>
      </c>
      <c r="I17" t="n" s="4050">
        <v>0.0</v>
      </c>
      <c r="J17" t="n" s="4051">
        <v>0.0</v>
      </c>
      <c r="K17" t="n" s="4052">
        <v>0.0</v>
      </c>
      <c r="L17" t="n" s="4053">
        <v>108.0</v>
      </c>
      <c r="M17" t="n" s="4054">
        <v>0.0</v>
      </c>
      <c r="N17" t="n" s="4055">
        <v>10.0</v>
      </c>
      <c r="O17" t="n" s="4056">
        <v>0.0</v>
      </c>
      <c r="P17" t="n" s="4057">
        <v>0.0</v>
      </c>
      <c r="Q17" t="n" s="4058">
        <v>0.0</v>
      </c>
      <c r="R17" t="n" s="4059">
        <v>0.0</v>
      </c>
      <c r="S17" t="n" s="4060">
        <v>8.0</v>
      </c>
      <c r="T17" t="n" s="4061">
        <v>72.32</v>
      </c>
      <c r="U17" t="n" s="4062">
        <v>0.0</v>
      </c>
      <c r="V17" t="n" s="4063">
        <v>0.0</v>
      </c>
      <c r="W17" t="n" s="4064">
        <f>r17+t17+v17</f>
      </c>
      <c r="X17" t="n" s="4065">
        <v>0.0</v>
      </c>
      <c r="Y17" t="n" s="4066">
        <v>0.0</v>
      </c>
      <c r="Z17" t="n" s="4067">
        <v>0.0</v>
      </c>
      <c r="AA17" t="n" s="4068">
        <f>i17+j17+k17+l17+m17+n17+o17+p17+x17+y17+z17</f>
      </c>
      <c r="AB17" t="n" s="4069">
        <v>16.0</v>
      </c>
      <c r="AC17" t="n" s="4070">
        <v>2.95</v>
      </c>
      <c r="AD17" t="n" s="4071">
        <v>0.35</v>
      </c>
      <c r="AE17" t="n" s="4072">
        <v>80.0</v>
      </c>
      <c r="AF17" t="n" s="4073">
        <f>ROUND((aa17+ab17+ac17+ad17+ae17),2)</f>
      </c>
      <c r="AG17" t="n" s="4074">
        <f>af17*0.06</f>
      </c>
      <c r="AH17" t="n" s="4075">
        <f>af17+ag17</f>
      </c>
      <c r="AI17" t="s" s="4076">
        <v>0</v>
      </c>
    </row>
    <row r="18">
      <c r="A18" t="s" s="4077">
        <v>82</v>
      </c>
      <c r="B18" t="s" s="4078">
        <v>0</v>
      </c>
      <c r="C18" t="s" s="4079">
        <v>83</v>
      </c>
      <c r="D18" t="s" s="4080">
        <v>84</v>
      </c>
      <c r="E18" t="s" s="4081">
        <v>85</v>
      </c>
      <c r="F18" t="s" s="4082">
        <v>0</v>
      </c>
      <c r="G18" t="n" s="8651">
        <v>42658.0</v>
      </c>
      <c r="H18" t="s" s="8652">
        <v>0</v>
      </c>
      <c r="I18" t="n" s="4085">
        <v>0.0</v>
      </c>
      <c r="J18" t="n" s="4086">
        <v>0.0</v>
      </c>
      <c r="K18" t="n" s="4087">
        <v>0.0</v>
      </c>
      <c r="L18" t="n" s="4088">
        <v>600.0</v>
      </c>
      <c r="M18" t="n" s="4089">
        <v>0.0</v>
      </c>
      <c r="N18" t="n" s="4090">
        <v>10.0</v>
      </c>
      <c r="O18" t="n" s="4091">
        <v>0.0</v>
      </c>
      <c r="P18" t="n" s="4092">
        <v>0.0</v>
      </c>
      <c r="Q18" t="n" s="4093">
        <v>0.0</v>
      </c>
      <c r="R18" t="n" s="4094">
        <v>0.0</v>
      </c>
      <c r="S18" t="n" s="4095">
        <v>0.0</v>
      </c>
      <c r="T18" t="n" s="4096">
        <v>0.0</v>
      </c>
      <c r="U18" t="n" s="4097">
        <v>0.0</v>
      </c>
      <c r="V18" t="n" s="4098">
        <v>0.0</v>
      </c>
      <c r="W18" t="n" s="4099">
        <f>r18+t18+v18</f>
      </c>
      <c r="X18" t="n" s="4100">
        <v>0.0</v>
      </c>
      <c r="Y18" t="n" s="4101">
        <v>0.0</v>
      </c>
      <c r="Z18" t="n" s="4102">
        <v>0.0</v>
      </c>
      <c r="AA18" t="n" s="4103">
        <f>i18+j18+k18+l18+m18+n18+o18+p18+x18+y18+z18</f>
      </c>
      <c r="AB18" t="n" s="4104">
        <v>78.0</v>
      </c>
      <c r="AC18" t="n" s="4105">
        <v>9.65</v>
      </c>
      <c r="AD18" t="n" s="4106">
        <v>1.1</v>
      </c>
      <c r="AE18" t="n" s="4107">
        <v>80.0</v>
      </c>
      <c r="AF18" t="n" s="4108">
        <f>ROUND((aa18+ab18+ac18+ad18+ae18),2)</f>
      </c>
      <c r="AG18" t="n" s="4109">
        <f>af18*0.06</f>
      </c>
      <c r="AH18" t="n" s="4110">
        <f>af18+ag18</f>
      </c>
      <c r="AI18" t="s" s="4111">
        <v>0</v>
      </c>
    </row>
    <row r="19">
      <c r="A19" t="s" s="4112">
        <v>86</v>
      </c>
      <c r="B19" t="s" s="4113">
        <v>0</v>
      </c>
      <c r="C19" t="s" s="4114">
        <v>87</v>
      </c>
      <c r="D19" t="s" s="4115">
        <v>88</v>
      </c>
      <c r="E19" t="s" s="4116">
        <v>89</v>
      </c>
      <c r="F19" t="s" s="4117">
        <v>0</v>
      </c>
      <c r="G19" t="n" s="8653">
        <v>42675.0</v>
      </c>
      <c r="H19" t="s" s="8654">
        <v>0</v>
      </c>
      <c r="I19" t="n" s="4120">
        <v>0.0</v>
      </c>
      <c r="J19" t="n" s="4121">
        <v>0.0</v>
      </c>
      <c r="K19" t="n" s="4122">
        <v>0.0</v>
      </c>
      <c r="L19" t="n" s="4123">
        <v>700.0</v>
      </c>
      <c r="M19" t="n" s="4124">
        <v>0.0</v>
      </c>
      <c r="N19" t="n" s="4125">
        <v>17.9</v>
      </c>
      <c r="O19" t="n" s="4126">
        <v>0.0</v>
      </c>
      <c r="P19" t="n" s="4127">
        <v>0.0</v>
      </c>
      <c r="Q19" t="n" s="4128">
        <v>0.0</v>
      </c>
      <c r="R19" t="n" s="4129">
        <v>0.0</v>
      </c>
      <c r="S19" t="n" s="4130">
        <v>8.0</v>
      </c>
      <c r="T19" t="n" s="4131">
        <v>76.96</v>
      </c>
      <c r="U19" t="n" s="4132">
        <v>0.0</v>
      </c>
      <c r="V19" t="n" s="4133">
        <v>0.0</v>
      </c>
      <c r="W19" t="n" s="4134">
        <f>r19+t19+v19</f>
      </c>
      <c r="X19" t="n" s="4135">
        <v>0.0</v>
      </c>
      <c r="Y19" t="n" s="4136">
        <v>0.0</v>
      </c>
      <c r="Z19" t="n" s="4137">
        <v>0.0</v>
      </c>
      <c r="AA19" t="n" s="4138">
        <f>i19+j19+k19+l19+m19+n19+o19+p19+x19+y19+z19</f>
      </c>
      <c r="AB19" t="n" s="4139">
        <v>91.0</v>
      </c>
      <c r="AC19" t="n" s="4140">
        <v>13.15</v>
      </c>
      <c r="AD19" t="n" s="4141">
        <v>1.5</v>
      </c>
      <c r="AE19" t="n" s="4142">
        <v>80.0</v>
      </c>
      <c r="AF19" t="n" s="4143">
        <f>ROUND((aa19+ab19+ac19+ad19+ae19),2)</f>
      </c>
      <c r="AG19" t="n" s="4144">
        <f>af19*0.06</f>
      </c>
      <c r="AH19" t="n" s="4145">
        <f>af19+ag19</f>
      </c>
      <c r="AI19" t="s" s="4146">
        <v>0</v>
      </c>
    </row>
    <row r="20">
      <c r="A20" t="s" s="4147">
        <v>90</v>
      </c>
      <c r="B20" t="s" s="4148">
        <v>0</v>
      </c>
      <c r="C20" t="s" s="4149">
        <v>91</v>
      </c>
      <c r="D20" t="s" s="4150">
        <v>92</v>
      </c>
      <c r="E20" t="s" s="4151">
        <v>93</v>
      </c>
      <c r="F20" t="s" s="4152">
        <v>0</v>
      </c>
      <c r="G20" t="n" s="8655">
        <v>42705.0</v>
      </c>
      <c r="H20" t="s" s="8656">
        <v>0</v>
      </c>
      <c r="I20" t="n" s="4155">
        <v>0.0</v>
      </c>
      <c r="J20" t="n" s="4156">
        <v>0.0</v>
      </c>
      <c r="K20" t="n" s="4157">
        <v>0.0</v>
      </c>
      <c r="L20" t="n" s="4158">
        <v>462.0</v>
      </c>
      <c r="M20" t="n" s="4159">
        <v>0.0</v>
      </c>
      <c r="N20" t="n" s="4160">
        <v>4.5</v>
      </c>
      <c r="O20" t="n" s="4161">
        <v>0.0</v>
      </c>
      <c r="P20" t="n" s="4162">
        <v>0.0</v>
      </c>
      <c r="Q20" t="n" s="4163">
        <v>0.0</v>
      </c>
      <c r="R20" t="n" s="4164">
        <v>0.0</v>
      </c>
      <c r="S20" t="n" s="4165">
        <v>8.0</v>
      </c>
      <c r="T20" t="n" s="4166">
        <v>92.32</v>
      </c>
      <c r="U20" t="n" s="4167">
        <v>0.0</v>
      </c>
      <c r="V20" t="n" s="4168">
        <v>0.0</v>
      </c>
      <c r="W20" t="n" s="4169">
        <f>r20+t20+v20</f>
      </c>
      <c r="X20" t="n" s="4170">
        <v>0.0</v>
      </c>
      <c r="Y20" t="n" s="4171">
        <v>0.0</v>
      </c>
      <c r="Z20" t="n" s="4172">
        <v>0.0</v>
      </c>
      <c r="AA20" t="n" s="4173">
        <f>i20+j20+k20+l20+m20+n20+o20+p20+x20+y20+z20</f>
      </c>
      <c r="AB20" t="n" s="4174">
        <v>63.0</v>
      </c>
      <c r="AC20" t="n" s="4175">
        <v>9.65</v>
      </c>
      <c r="AD20" t="n" s="4176">
        <v>1.1</v>
      </c>
      <c r="AE20" t="n" s="4177">
        <v>80.0</v>
      </c>
      <c r="AF20" t="n" s="4178">
        <f>ROUND((aa20+ab20+ac20+ad20+ae20),2)</f>
      </c>
      <c r="AG20" t="n" s="4179">
        <f>af20*0.06</f>
      </c>
      <c r="AH20" t="n" s="4180">
        <f>af20+ag20</f>
      </c>
      <c r="AI20" t="s" s="4181">
        <v>0</v>
      </c>
    </row>
    <row r="21">
      <c r="A21" t="s" s="4182">
        <v>94</v>
      </c>
      <c r="B21" t="s" s="4183">
        <v>0</v>
      </c>
      <c r="C21" t="s" s="4184">
        <v>95</v>
      </c>
      <c r="D21" t="s" s="4185">
        <v>96</v>
      </c>
      <c r="E21" t="s" s="4186">
        <v>97</v>
      </c>
      <c r="F21" t="s" s="4187">
        <v>0</v>
      </c>
      <c r="G21" t="n" s="8657">
        <v>42705.0</v>
      </c>
      <c r="H21" t="s" s="8658">
        <v>0</v>
      </c>
      <c r="I21" t="n" s="4190">
        <v>0.0</v>
      </c>
      <c r="J21" t="n" s="4191">
        <v>0.0</v>
      </c>
      <c r="K21" t="n" s="4192">
        <v>0.0</v>
      </c>
      <c r="L21" t="n" s="4193">
        <v>400.0</v>
      </c>
      <c r="M21" t="n" s="4194">
        <v>0.0</v>
      </c>
      <c r="N21" t="n" s="4195">
        <v>10.0</v>
      </c>
      <c r="O21" t="n" s="4196">
        <v>0.0</v>
      </c>
      <c r="P21" t="n" s="4197">
        <v>0.0</v>
      </c>
      <c r="Q21" t="n" s="4198">
        <v>0.0</v>
      </c>
      <c r="R21" t="n" s="4199">
        <v>0.0</v>
      </c>
      <c r="S21" t="n" s="4200">
        <v>8.0</v>
      </c>
      <c r="T21" t="n" s="4201">
        <v>76.96</v>
      </c>
      <c r="U21" t="n" s="4202">
        <v>2.0</v>
      </c>
      <c r="V21" t="n" s="4203">
        <v>28.84</v>
      </c>
      <c r="W21" t="n" s="4204">
        <f>r21+t21+v21</f>
      </c>
      <c r="X21" t="n" s="4205">
        <v>0.0</v>
      </c>
      <c r="Y21" t="n" s="4206">
        <v>0.0</v>
      </c>
      <c r="Z21" t="n" s="4207">
        <v>0.0</v>
      </c>
      <c r="AA21" t="n" s="4208">
        <f>i21+j21+k21+l21+m21+n21+o21+p21+x21+y21+z21</f>
      </c>
      <c r="AB21" t="n" s="4209">
        <v>52.0</v>
      </c>
      <c r="AC21" t="n" s="4210">
        <v>9.65</v>
      </c>
      <c r="AD21" t="n" s="4211">
        <v>1.1</v>
      </c>
      <c r="AE21" t="n" s="4212">
        <v>80.0</v>
      </c>
      <c r="AF21" t="n" s="4213">
        <f>ROUND((aa21+ab21+ac21+ad21+ae21),2)</f>
      </c>
      <c r="AG21" t="n" s="4214">
        <f>af21*0.06</f>
      </c>
      <c r="AH21" t="n" s="4215">
        <f>af21+ag21</f>
      </c>
      <c r="AI21" t="s" s="4216">
        <v>0</v>
      </c>
    </row>
    <row r="22">
      <c r="A22" t="s" s="4217">
        <v>98</v>
      </c>
      <c r="B22" t="s" s="4218">
        <v>0</v>
      </c>
      <c r="C22" t="s" s="4219">
        <v>99</v>
      </c>
      <c r="D22" t="s" s="4220">
        <v>100</v>
      </c>
      <c r="E22" t="s" s="4221">
        <v>101</v>
      </c>
      <c r="F22" t="s" s="4222">
        <v>0</v>
      </c>
      <c r="G22" t="n" s="8659">
        <v>43009.0</v>
      </c>
      <c r="H22" t="s" s="8660">
        <v>0</v>
      </c>
      <c r="I22" t="n" s="4225">
        <v>0.0</v>
      </c>
      <c r="J22" t="n" s="4226">
        <v>0.0</v>
      </c>
      <c r="K22" t="n" s="4227">
        <v>0.0</v>
      </c>
      <c r="L22" t="n" s="4228">
        <v>1400.0</v>
      </c>
      <c r="M22" t="n" s="4229">
        <v>0.0</v>
      </c>
      <c r="N22" t="n" s="4230">
        <v>0.0</v>
      </c>
      <c r="O22" t="n" s="4231">
        <v>0.0</v>
      </c>
      <c r="P22" t="n" s="4232">
        <v>0.0</v>
      </c>
      <c r="Q22" t="n" s="4233">
        <v>0.0</v>
      </c>
      <c r="R22" t="n" s="4234">
        <v>0.0</v>
      </c>
      <c r="S22" t="n" s="4235">
        <v>0.0</v>
      </c>
      <c r="T22" t="n" s="4236">
        <v>0.0</v>
      </c>
      <c r="U22" t="n" s="4237">
        <v>0.0</v>
      </c>
      <c r="V22" t="n" s="4238">
        <v>0.0</v>
      </c>
      <c r="W22" t="n" s="4239">
        <f>r22+t22+v22</f>
      </c>
      <c r="X22" t="n" s="4240">
        <v>0.0</v>
      </c>
      <c r="Y22" t="n" s="4241">
        <v>0.0</v>
      </c>
      <c r="Z22" t="n" s="4242">
        <v>0.0</v>
      </c>
      <c r="AA22" t="n" s="4243">
        <f>i22+j22+k22+l22+m22+n22+o22+p22+x22+y22+z22</f>
      </c>
      <c r="AB22" t="n" s="4244">
        <v>182.0</v>
      </c>
      <c r="AC22" t="n" s="4245">
        <v>23.65</v>
      </c>
      <c r="AD22" t="n" s="4246">
        <v>2.7</v>
      </c>
      <c r="AE22" t="n" s="4247">
        <v>80.42</v>
      </c>
      <c r="AF22" t="n" s="4248">
        <f>ROUND((aa22+ab22+ac22+ad22+ae22),2)</f>
      </c>
      <c r="AG22" t="n" s="4249">
        <f>af22*0.06</f>
      </c>
      <c r="AH22" t="n" s="4250">
        <f>af22+ag22</f>
      </c>
      <c r="AI22" t="s" s="4251">
        <v>0</v>
      </c>
    </row>
    <row r="23">
      <c r="A23" t="s" s="4252">
        <v>102</v>
      </c>
      <c r="B23" t="s" s="4253">
        <v>103</v>
      </c>
      <c r="C23" t="s" s="4254">
        <v>104</v>
      </c>
      <c r="D23" t="s" s="4255">
        <v>105</v>
      </c>
      <c r="E23" t="s" s="4256">
        <v>106</v>
      </c>
      <c r="F23" t="s" s="4257">
        <v>107</v>
      </c>
      <c r="G23" t="n" s="8661">
        <v>41944.0</v>
      </c>
      <c r="H23" t="s" s="8662">
        <v>0</v>
      </c>
      <c r="I23" t="n" s="4260">
        <v>1660.0</v>
      </c>
      <c r="J23" t="n" s="4261">
        <v>100.0</v>
      </c>
      <c r="K23" t="n" s="4262">
        <v>0.0</v>
      </c>
      <c r="L23" t="n" s="4263">
        <v>3376.0</v>
      </c>
      <c r="M23" t="n" s="4264">
        <v>0.0</v>
      </c>
      <c r="N23" t="n" s="4265">
        <v>10.0</v>
      </c>
      <c r="O23" t="n" s="4266">
        <v>60.0</v>
      </c>
      <c r="P23" t="n" s="4267">
        <v>0.0</v>
      </c>
      <c r="Q23" t="n" s="4268">
        <v>0.0</v>
      </c>
      <c r="R23" t="n" s="4269">
        <v>0.0</v>
      </c>
      <c r="S23" t="n" s="4270">
        <v>16.0</v>
      </c>
      <c r="T23" t="n" s="4271">
        <v>238.4</v>
      </c>
      <c r="U23" t="n" s="4272">
        <v>0.0</v>
      </c>
      <c r="V23" t="n" s="4273">
        <v>0.0</v>
      </c>
      <c r="W23" t="n" s="4274">
        <f>r23+t23+v23</f>
      </c>
      <c r="X23" t="n" s="4275">
        <v>0.0</v>
      </c>
      <c r="Y23" t="n" s="4276">
        <v>0.0</v>
      </c>
      <c r="Z23" t="n" s="4277">
        <v>0.0</v>
      </c>
      <c r="AA23" t="n" s="4278">
        <f>i23+j23+k23+l23+m23+n23+o23+p23+x23+y23+z23</f>
      </c>
      <c r="AB23" t="n" s="4279">
        <v>1352.0</v>
      </c>
      <c r="AC23" t="n" s="4280">
        <v>138.1</v>
      </c>
      <c r="AD23" t="n" s="4281">
        <v>15.8</v>
      </c>
      <c r="AE23" t="n" s="4282">
        <v>80.0</v>
      </c>
      <c r="AF23" t="n" s="4283">
        <f>ROUND((aa23+ab23+ac23+ad23+ae23),2)</f>
      </c>
      <c r="AG23" t="n" s="4284">
        <f>af23*0.06</f>
      </c>
      <c r="AH23" t="n" s="4285">
        <f>af23+ag23</f>
      </c>
      <c r="AI23" t="s" s="4286">
        <v>0</v>
      </c>
    </row>
    <row r="24">
      <c r="A24" t="s" s="4287">
        <v>108</v>
      </c>
      <c r="B24" t="s" s="4288">
        <v>109</v>
      </c>
      <c r="C24" t="s" s="4289">
        <v>110</v>
      </c>
      <c r="D24" t="s" s="4290">
        <v>111</v>
      </c>
      <c r="E24" t="s" s="4291">
        <v>112</v>
      </c>
      <c r="F24" t="s" s="4292">
        <v>107</v>
      </c>
      <c r="G24" t="n" s="8663">
        <v>41944.0</v>
      </c>
      <c r="H24" t="s" s="8664">
        <v>0</v>
      </c>
      <c r="I24" t="n" s="4295">
        <v>1400.0</v>
      </c>
      <c r="J24" t="n" s="4296">
        <v>100.0</v>
      </c>
      <c r="K24" t="n" s="4297">
        <v>0.0</v>
      </c>
      <c r="L24" t="n" s="4298">
        <v>740.0</v>
      </c>
      <c r="M24" t="n" s="4299">
        <v>0.0</v>
      </c>
      <c r="N24" t="n" s="4300">
        <v>10.0</v>
      </c>
      <c r="O24" t="n" s="4301">
        <v>60.0</v>
      </c>
      <c r="P24" t="n" s="4302">
        <v>0.0</v>
      </c>
      <c r="Q24" t="n" s="4303">
        <v>3.0</v>
      </c>
      <c r="R24" t="n" s="4304">
        <v>28.56</v>
      </c>
      <c r="S24" t="n" s="4305">
        <v>8.0</v>
      </c>
      <c r="T24" t="n" s="4306">
        <v>101.52</v>
      </c>
      <c r="U24" t="n" s="4307">
        <v>0.0</v>
      </c>
      <c r="V24" t="n" s="4308">
        <v>0.0</v>
      </c>
      <c r="W24" t="n" s="4309">
        <f>r24+t24+v24</f>
      </c>
      <c r="X24" t="n" s="4310">
        <v>0.0</v>
      </c>
      <c r="Y24" t="n" s="4311">
        <v>0.0</v>
      </c>
      <c r="Z24" t="n" s="4312">
        <v>0.0</v>
      </c>
      <c r="AA24" t="n" s="4313">
        <f>i24+j24+k24+l24+m24+n24+o24+p24+x24+y24+z24</f>
      </c>
      <c r="AB24" t="n" s="4314">
        <v>598.0</v>
      </c>
      <c r="AC24" t="n" s="4315">
        <v>82.3</v>
      </c>
      <c r="AD24" t="n" s="4316">
        <v>9.4</v>
      </c>
      <c r="AE24" t="n" s="4317">
        <v>80.0</v>
      </c>
      <c r="AF24" t="n" s="4318">
        <f>ROUND((aa24+ab24+ac24+ad24+ae24),2)</f>
      </c>
      <c r="AG24" t="n" s="4319">
        <f>af24*0.06</f>
      </c>
      <c r="AH24" t="n" s="4320">
        <f>af24+ag24</f>
      </c>
      <c r="AI24" t="s" s="4321">
        <v>0</v>
      </c>
    </row>
    <row r="25">
      <c r="A25" t="s" s="4322">
        <v>113</v>
      </c>
      <c r="B25" t="s" s="4323">
        <v>114</v>
      </c>
      <c r="C25" t="s" s="4324">
        <v>115</v>
      </c>
      <c r="D25" t="s" s="4325">
        <v>116</v>
      </c>
      <c r="E25" t="s" s="4326">
        <v>117</v>
      </c>
      <c r="F25" t="s" s="4327">
        <v>107</v>
      </c>
      <c r="G25" t="n" s="8665">
        <v>42700.0</v>
      </c>
      <c r="H25" t="s" s="8666">
        <v>0</v>
      </c>
      <c r="I25" t="n" s="4330">
        <v>1370.0</v>
      </c>
      <c r="J25" t="n" s="4331">
        <v>100.0</v>
      </c>
      <c r="K25" t="n" s="4332">
        <v>0.0</v>
      </c>
      <c r="L25" t="n" s="4333">
        <v>1500.0</v>
      </c>
      <c r="M25" t="n" s="4334">
        <v>0.0</v>
      </c>
      <c r="N25" t="n" s="4335">
        <v>10.0</v>
      </c>
      <c r="O25" t="n" s="4336">
        <v>60.0</v>
      </c>
      <c r="P25" t="n" s="4337">
        <v>0.0</v>
      </c>
      <c r="Q25" t="n" s="4338">
        <v>4.0</v>
      </c>
      <c r="R25" t="n" s="4339">
        <v>37.52</v>
      </c>
      <c r="S25" t="n" s="4340">
        <v>8.0</v>
      </c>
      <c r="T25" t="n" s="4341">
        <v>100.0</v>
      </c>
      <c r="U25" t="n" s="4342">
        <v>0.0</v>
      </c>
      <c r="V25" t="n" s="4343">
        <v>0.0</v>
      </c>
      <c r="W25" t="n" s="4344">
        <f>r25+t25+v25</f>
      </c>
      <c r="X25" t="n" s="4345">
        <v>0.0</v>
      </c>
      <c r="Y25" t="n" s="4346">
        <v>0.0</v>
      </c>
      <c r="Z25" t="n" s="4347">
        <v>0.0</v>
      </c>
      <c r="AA25" t="n" s="4348">
        <f>i25+j25+k25+l25+m25+n25+o25+p25+x25+y25+z25</f>
      </c>
      <c r="AB25" t="n" s="4349">
        <v>792.0</v>
      </c>
      <c r="AC25" t="n" s="4350">
        <v>113.7</v>
      </c>
      <c r="AD25" t="n" s="4351">
        <v>13.0</v>
      </c>
      <c r="AE25" t="n" s="4352">
        <v>80.0</v>
      </c>
      <c r="AF25" t="n" s="4353">
        <f>ROUND((aa25+ab25+ac25+ad25+ae25),2)</f>
      </c>
      <c r="AG25" t="n" s="4354">
        <f>af25*0.06</f>
      </c>
      <c r="AH25" t="n" s="4355">
        <f>af25+ag25</f>
      </c>
      <c r="AI25" t="s" s="4356">
        <v>0</v>
      </c>
    </row>
    <row r="26">
      <c r="A26" t="s" s="4357">
        <v>118</v>
      </c>
      <c r="B26" t="s" s="4358">
        <v>119</v>
      </c>
      <c r="C26" t="s" s="4359">
        <v>120</v>
      </c>
      <c r="D26" t="s" s="4360">
        <v>121</v>
      </c>
      <c r="E26" t="s" s="4361">
        <v>122</v>
      </c>
      <c r="F26" t="s" s="4362">
        <v>107</v>
      </c>
      <c r="G26" t="n" s="8667">
        <v>41944.0</v>
      </c>
      <c r="H26" t="s" s="8668">
        <v>0</v>
      </c>
      <c r="I26" t="n" s="4365">
        <v>1280.0</v>
      </c>
      <c r="J26" t="n" s="4366">
        <v>100.0</v>
      </c>
      <c r="K26" t="n" s="4367">
        <v>0.0</v>
      </c>
      <c r="L26" t="n" s="4368">
        <v>2300.0</v>
      </c>
      <c r="M26" t="n" s="4369">
        <v>0.0</v>
      </c>
      <c r="N26" t="n" s="4370">
        <v>10.0</v>
      </c>
      <c r="O26" t="n" s="4371">
        <v>60.0</v>
      </c>
      <c r="P26" t="n" s="4372">
        <v>0.0</v>
      </c>
      <c r="Q26" t="n" s="4373">
        <v>0.0</v>
      </c>
      <c r="R26" t="n" s="4374">
        <v>0.0</v>
      </c>
      <c r="S26" t="n" s="4375">
        <v>16.0</v>
      </c>
      <c r="T26" t="n" s="4376">
        <v>186.08</v>
      </c>
      <c r="U26" t="n" s="4377">
        <v>0.0</v>
      </c>
      <c r="V26" t="n" s="4378">
        <v>0.0</v>
      </c>
      <c r="W26" t="n" s="4379">
        <f>r26+t26+v26</f>
      </c>
      <c r="X26" t="n" s="4380">
        <v>0.0</v>
      </c>
      <c r="Y26" t="n" s="4381">
        <v>0.0</v>
      </c>
      <c r="Z26" t="n" s="4382">
        <v>0.0</v>
      </c>
      <c r="AA26" t="n" s="4383">
        <f>i26+j26+k26+l26+m26+n26+o26+p26+x26+y26+z26</f>
      </c>
      <c r="AB26" t="n" s="4384">
        <v>974.0</v>
      </c>
      <c r="AC26" t="n" s="4385">
        <v>138.3</v>
      </c>
      <c r="AD26" t="n" s="4386">
        <v>15.8</v>
      </c>
      <c r="AE26" t="n" s="4387">
        <v>80.0</v>
      </c>
      <c r="AF26" t="n" s="4388">
        <f>ROUND((aa26+ab26+ac26+ad26+ae26),2)</f>
      </c>
      <c r="AG26" t="n" s="4389">
        <f>af26*0.06</f>
      </c>
      <c r="AH26" t="n" s="4390">
        <f>af26+ag26</f>
      </c>
      <c r="AI26" t="s" s="4391">
        <v>0</v>
      </c>
    </row>
    <row r="27">
      <c r="A27" t="s" s="4392">
        <v>123</v>
      </c>
      <c r="B27" t="s" s="4393">
        <v>0</v>
      </c>
      <c r="C27" t="s" s="4394">
        <v>124</v>
      </c>
      <c r="D27" t="s" s="4395">
        <v>125</v>
      </c>
      <c r="E27" t="s" s="4396">
        <v>126</v>
      </c>
      <c r="F27" t="s" s="4397">
        <v>107</v>
      </c>
      <c r="G27" t="n" s="8669">
        <v>41944.0</v>
      </c>
      <c r="H27" t="s" s="8670">
        <v>0</v>
      </c>
      <c r="I27" t="n" s="4400">
        <v>1240.0</v>
      </c>
      <c r="J27" t="n" s="4401">
        <v>100.0</v>
      </c>
      <c r="K27" t="n" s="4402">
        <v>0.0</v>
      </c>
      <c r="L27" t="n" s="4403">
        <v>1750.0</v>
      </c>
      <c r="M27" t="n" s="4404">
        <v>0.0</v>
      </c>
      <c r="N27" t="n" s="4405">
        <v>10.0</v>
      </c>
      <c r="O27" t="n" s="4406">
        <v>60.0</v>
      </c>
      <c r="P27" t="n" s="4407">
        <v>0.0</v>
      </c>
      <c r="Q27" t="n" s="4408">
        <v>0.0</v>
      </c>
      <c r="R27" t="n" s="4409">
        <v>0.0</v>
      </c>
      <c r="S27" t="n" s="4410">
        <v>16.0</v>
      </c>
      <c r="T27" t="n" s="4411">
        <v>190.72</v>
      </c>
      <c r="U27" t="n" s="4412">
        <v>0.0</v>
      </c>
      <c r="V27" t="n" s="4413">
        <v>0.0</v>
      </c>
      <c r="W27" t="n" s="4414">
        <f>r27+t27+v27</f>
      </c>
      <c r="X27" t="n" s="4415">
        <v>0.0</v>
      </c>
      <c r="Y27" t="n" s="4416">
        <v>0.0</v>
      </c>
      <c r="Z27" t="n" s="4417">
        <v>0.0</v>
      </c>
      <c r="AA27" t="n" s="4418">
        <f>i27+j27+k27+l27+m27+n27+o27+p27+x27+y27+z27</f>
      </c>
      <c r="AB27" t="n" s="4419">
        <v>411.0</v>
      </c>
      <c r="AC27" t="n" s="4420">
        <v>58.65</v>
      </c>
      <c r="AD27" t="n" s="4421">
        <v>6.7</v>
      </c>
      <c r="AE27" t="n" s="4422">
        <v>80.0</v>
      </c>
      <c r="AF27" t="n" s="4423">
        <f>ROUND((aa27+ab27+ac27+ad27+ae27),2)</f>
      </c>
      <c r="AG27" t="n" s="4424">
        <f>af27*0.06</f>
      </c>
      <c r="AH27" t="n" s="4425">
        <f>af27+ag27</f>
      </c>
      <c r="AI27" t="s" s="4426">
        <v>0</v>
      </c>
    </row>
    <row r="28">
      <c r="A28" t="s" s="4427">
        <v>127</v>
      </c>
      <c r="B28" t="s" s="4428">
        <v>128</v>
      </c>
      <c r="C28" t="s" s="4429">
        <v>129</v>
      </c>
      <c r="D28" t="s" s="4430">
        <v>130</v>
      </c>
      <c r="E28" t="s" s="4431">
        <v>131</v>
      </c>
      <c r="F28" t="s" s="4432">
        <v>107</v>
      </c>
      <c r="G28" t="n" s="8671">
        <v>41944.0</v>
      </c>
      <c r="H28" t="s" s="8672">
        <v>0</v>
      </c>
      <c r="I28" t="n" s="4435">
        <v>1660.0</v>
      </c>
      <c r="J28" t="n" s="4436">
        <v>100.0</v>
      </c>
      <c r="K28" t="n" s="4437">
        <v>0.0</v>
      </c>
      <c r="L28" t="n" s="4438">
        <v>740.0</v>
      </c>
      <c r="M28" t="n" s="4439">
        <v>0.0</v>
      </c>
      <c r="N28" t="n" s="4440">
        <v>20.9</v>
      </c>
      <c r="O28" t="n" s="4441">
        <v>60.0</v>
      </c>
      <c r="P28" t="n" s="4442">
        <v>0.0</v>
      </c>
      <c r="Q28" t="n" s="4443">
        <v>14.0</v>
      </c>
      <c r="R28" t="n" s="4444">
        <v>157.5</v>
      </c>
      <c r="S28" t="n" s="4445">
        <v>8.0</v>
      </c>
      <c r="T28" t="n" s="4446">
        <v>120.0</v>
      </c>
      <c r="U28" t="n" s="4447">
        <v>0.5</v>
      </c>
      <c r="V28" t="n" s="4448">
        <v>11.25</v>
      </c>
      <c r="W28" t="n" s="4449">
        <f>r28+t28+v28</f>
      </c>
      <c r="X28" t="n" s="4450">
        <v>0.0</v>
      </c>
      <c r="Y28" t="n" s="4451">
        <v>0.0</v>
      </c>
      <c r="Z28" t="n" s="4452">
        <v>0.0</v>
      </c>
      <c r="AA28" t="n" s="4453">
        <f>i28+j28+k28+l28+m28+n28+o28+p28+x28+y28+z28</f>
      </c>
      <c r="AB28" t="n" s="4454">
        <v>666.0</v>
      </c>
      <c r="AC28" t="n" s="4455">
        <v>99.9</v>
      </c>
      <c r="AD28" t="n" s="4456">
        <v>11.4</v>
      </c>
      <c r="AE28" t="n" s="4457">
        <v>80.0</v>
      </c>
      <c r="AF28" t="n" s="4458">
        <f>ROUND((aa28+ab28+ac28+ad28+ae28),2)</f>
      </c>
      <c r="AG28" t="n" s="4459">
        <f>af28*0.06</f>
      </c>
      <c r="AH28" t="n" s="4460">
        <f>af28+ag28</f>
      </c>
      <c r="AI28" t="s" s="4461">
        <v>0</v>
      </c>
    </row>
    <row r="29">
      <c r="A29" t="s" s="4462">
        <v>132</v>
      </c>
      <c r="B29" t="s" s="4463">
        <v>133</v>
      </c>
      <c r="C29" t="s" s="4464">
        <v>134</v>
      </c>
      <c r="D29" t="s" s="4465">
        <v>135</v>
      </c>
      <c r="E29" t="s" s="4466">
        <v>136</v>
      </c>
      <c r="F29" t="s" s="4467">
        <v>107</v>
      </c>
      <c r="G29" t="n" s="8673">
        <v>41944.0</v>
      </c>
      <c r="H29" t="s" s="8674">
        <v>0</v>
      </c>
      <c r="I29" t="n" s="4470">
        <v>1300.0</v>
      </c>
      <c r="J29" t="n" s="4471">
        <v>100.0</v>
      </c>
      <c r="K29" t="n" s="4472">
        <v>0.0</v>
      </c>
      <c r="L29" t="n" s="4473">
        <v>2300.0</v>
      </c>
      <c r="M29" t="n" s="4474">
        <v>0.0</v>
      </c>
      <c r="N29" t="n" s="4475">
        <v>10.0</v>
      </c>
      <c r="O29" t="n" s="4476">
        <v>60.0</v>
      </c>
      <c r="P29" t="n" s="4477">
        <v>0.0</v>
      </c>
      <c r="Q29" t="n" s="4478">
        <v>4.0</v>
      </c>
      <c r="R29" t="n" s="4479">
        <v>36.04</v>
      </c>
      <c r="S29" t="n" s="4480">
        <v>8.0</v>
      </c>
      <c r="T29" t="n" s="4481">
        <v>96.16</v>
      </c>
      <c r="U29" t="n" s="4482">
        <v>0.0</v>
      </c>
      <c r="V29" t="n" s="4483">
        <v>0.0</v>
      </c>
      <c r="W29" t="n" s="4484">
        <f>r29+t29+v29</f>
      </c>
      <c r="X29" t="n" s="4485">
        <v>0.0</v>
      </c>
      <c r="Y29" t="n" s="4486">
        <v>0.0</v>
      </c>
      <c r="Z29" t="n" s="4487">
        <v>0.0</v>
      </c>
      <c r="AA29" t="n" s="4488">
        <f>i29+j29+k29+l29+m29+n29+o29+p29+x29+y29+z29</f>
      </c>
      <c r="AB29" t="n" s="4489">
        <v>978.0</v>
      </c>
      <c r="AC29" t="n" s="4490">
        <v>138.3</v>
      </c>
      <c r="AD29" t="n" s="4491">
        <v>15.8</v>
      </c>
      <c r="AE29" t="n" s="4492">
        <v>80.0</v>
      </c>
      <c r="AF29" t="n" s="4493">
        <f>ROUND((aa29+ab29+ac29+ad29+ae29),2)</f>
      </c>
      <c r="AG29" t="n" s="4494">
        <f>af29*0.06</f>
      </c>
      <c r="AH29" t="n" s="4495">
        <f>af29+ag29</f>
      </c>
      <c r="AI29" t="s" s="4496">
        <v>0</v>
      </c>
    </row>
    <row r="30">
      <c r="A30" t="s" s="4497">
        <v>137</v>
      </c>
      <c r="B30" t="s" s="4498">
        <v>138</v>
      </c>
      <c r="C30" t="s" s="4499">
        <v>139</v>
      </c>
      <c r="D30" t="s" s="4500">
        <v>140</v>
      </c>
      <c r="E30" t="s" s="4501">
        <v>141</v>
      </c>
      <c r="F30" t="s" s="4502">
        <v>107</v>
      </c>
      <c r="G30" t="n" s="8675">
        <v>41944.0</v>
      </c>
      <c r="H30" t="s" s="8676">
        <v>0</v>
      </c>
      <c r="I30" t="n" s="4505">
        <v>1430.0</v>
      </c>
      <c r="J30" t="n" s="4506">
        <v>100.0</v>
      </c>
      <c r="K30" t="n" s="4507">
        <v>0.0</v>
      </c>
      <c r="L30" t="n" s="4508">
        <v>1100.0</v>
      </c>
      <c r="M30" t="n" s="4509">
        <v>0.0</v>
      </c>
      <c r="N30" t="n" s="4510">
        <v>36.2</v>
      </c>
      <c r="O30" t="n" s="4511">
        <v>60.0</v>
      </c>
      <c r="P30" t="n" s="4512">
        <v>0.0</v>
      </c>
      <c r="Q30" t="n" s="4513">
        <v>13.0</v>
      </c>
      <c r="R30" t="n" s="4514">
        <v>128.44</v>
      </c>
      <c r="S30" t="n" s="4515">
        <v>8.0</v>
      </c>
      <c r="T30" t="n" s="4516">
        <v>105.36</v>
      </c>
      <c r="U30" t="n" s="4517">
        <v>2.0</v>
      </c>
      <c r="V30" t="n" s="4518">
        <v>39.52</v>
      </c>
      <c r="W30" t="n" s="4519">
        <f>r30+t30+v30</f>
      </c>
      <c r="X30" t="n" s="4520">
        <v>0.0</v>
      </c>
      <c r="Y30" t="n" s="4521">
        <v>0.0</v>
      </c>
      <c r="Z30" t="n" s="4522">
        <v>0.0</v>
      </c>
      <c r="AA30" t="n" s="4523">
        <f>i30+j30+k30+l30+m30+n30+o30+p30+x30+y30+z30</f>
      </c>
      <c r="AB30" t="n" s="4524">
        <v>702.0</v>
      </c>
      <c r="AC30" t="n" s="4525">
        <v>103.1</v>
      </c>
      <c r="AD30" t="n" s="4526">
        <v>11.8</v>
      </c>
      <c r="AE30" t="n" s="4527">
        <v>80.0</v>
      </c>
      <c r="AF30" t="n" s="4528">
        <f>ROUND((aa30+ab30+ac30+ad30+ae30),2)</f>
      </c>
      <c r="AG30" t="n" s="4529">
        <f>af30*0.06</f>
      </c>
      <c r="AH30" t="n" s="4530">
        <f>af30+ag30</f>
      </c>
      <c r="AI30" t="s" s="4531">
        <v>0</v>
      </c>
    </row>
    <row r="31">
      <c r="A31" t="s" s="4532">
        <v>142</v>
      </c>
      <c r="B31" t="s" s="4533">
        <v>143</v>
      </c>
      <c r="C31" t="s" s="4534">
        <v>144</v>
      </c>
      <c r="D31" t="s" s="4535">
        <v>145</v>
      </c>
      <c r="E31" t="s" s="4536">
        <v>146</v>
      </c>
      <c r="F31" t="s" s="4537">
        <v>107</v>
      </c>
      <c r="G31" t="n" s="8677">
        <v>42811.0</v>
      </c>
      <c r="H31" t="s" s="8678">
        <v>0</v>
      </c>
      <c r="I31" t="n" s="4540">
        <v>1340.0</v>
      </c>
      <c r="J31" t="n" s="4541">
        <v>100.0</v>
      </c>
      <c r="K31" t="n" s="4542">
        <v>0.0</v>
      </c>
      <c r="L31" t="n" s="4543">
        <v>2754.0</v>
      </c>
      <c r="M31" t="n" s="4544">
        <v>0.0</v>
      </c>
      <c r="N31" t="n" s="4545">
        <v>10.0</v>
      </c>
      <c r="O31" t="n" s="4546">
        <v>60.0</v>
      </c>
      <c r="P31" t="n" s="4547">
        <v>0.0</v>
      </c>
      <c r="Q31" t="n" s="4548">
        <v>15.0</v>
      </c>
      <c r="R31" t="n" s="4549">
        <v>140.7</v>
      </c>
      <c r="S31" t="n" s="4550">
        <v>16.0</v>
      </c>
      <c r="T31" t="n" s="4551">
        <v>200.0</v>
      </c>
      <c r="U31" t="n" s="4552">
        <v>0.0</v>
      </c>
      <c r="V31" t="n" s="4553">
        <v>0.0</v>
      </c>
      <c r="W31" t="n" s="4554">
        <f>r31+t31+v31</f>
      </c>
      <c r="X31" t="n" s="4555">
        <v>0.0</v>
      </c>
      <c r="Y31" t="n" s="4556">
        <v>0.0</v>
      </c>
      <c r="Z31" t="n" s="4557">
        <v>0.0</v>
      </c>
      <c r="AA31" t="n" s="4558">
        <f>i31+j31+k31+l31+m31+n31+o31+p31+x31+y31+z31</f>
      </c>
      <c r="AB31" t="n" s="4559">
        <v>1248.0</v>
      </c>
      <c r="AC31" t="n" s="4560">
        <v>138.1</v>
      </c>
      <c r="AD31" t="n" s="4561">
        <v>15.8</v>
      </c>
      <c r="AE31" t="n" s="4562">
        <v>80.0</v>
      </c>
      <c r="AF31" t="n" s="4563">
        <f>ROUND((aa31+ab31+ac31+ad31+ae31),2)</f>
      </c>
      <c r="AG31" t="n" s="4564">
        <f>af31*0.06</f>
      </c>
      <c r="AH31" t="n" s="4565">
        <f>af31+ag31</f>
      </c>
      <c r="AI31" t="s" s="4566">
        <v>0</v>
      </c>
    </row>
    <row r="32">
      <c r="A32" t="s" s="4567">
        <v>147</v>
      </c>
      <c r="B32" t="s" s="4568">
        <v>148</v>
      </c>
      <c r="C32" t="s" s="4569">
        <v>149</v>
      </c>
      <c r="D32" t="s" s="4570">
        <v>150</v>
      </c>
      <c r="E32" t="s" s="4571">
        <v>151</v>
      </c>
      <c r="F32" t="s" s="4572">
        <v>107</v>
      </c>
      <c r="G32" t="n" s="8679">
        <v>41944.0</v>
      </c>
      <c r="H32" t="s" s="8680">
        <v>0</v>
      </c>
      <c r="I32" t="n" s="4575">
        <v>1350.0</v>
      </c>
      <c r="J32" t="n" s="4576">
        <v>100.0</v>
      </c>
      <c r="K32" t="n" s="4577">
        <v>-3.23</v>
      </c>
      <c r="L32" t="n" s="4578">
        <v>1500.0</v>
      </c>
      <c r="M32" t="n" s="4579">
        <v>0.0</v>
      </c>
      <c r="N32" t="n" s="4580">
        <v>10.0</v>
      </c>
      <c r="O32" t="n" s="4581">
        <v>60.0</v>
      </c>
      <c r="P32" t="n" s="4582">
        <v>0.0</v>
      </c>
      <c r="Q32" t="n" s="4583">
        <v>5.0</v>
      </c>
      <c r="R32" t="n" s="4584">
        <v>46.15</v>
      </c>
      <c r="S32" t="n" s="4585">
        <v>8.0</v>
      </c>
      <c r="T32" t="n" s="4586">
        <v>98.48</v>
      </c>
      <c r="U32" t="n" s="4587">
        <v>0.0</v>
      </c>
      <c r="V32" t="n" s="4588">
        <v>0.0</v>
      </c>
      <c r="W32" t="n" s="4589">
        <f>r32+t32+v32</f>
      </c>
      <c r="X32" t="n" s="4590">
        <v>-41.29</v>
      </c>
      <c r="Y32" t="n" s="4591">
        <v>0.0</v>
      </c>
      <c r="Z32" t="n" s="4592">
        <v>0.0</v>
      </c>
      <c r="AA32" t="n" s="4593">
        <f>i32+j32+k32+l32+m32+n32+o32+p32+x32+y32+z32</f>
      </c>
      <c r="AB32" t="n" s="4594">
        <v>776.0</v>
      </c>
      <c r="AC32" t="n" s="4595">
        <v>106.7</v>
      </c>
      <c r="AD32" t="n" s="4596">
        <v>12.2</v>
      </c>
      <c r="AE32" t="n" s="4597">
        <v>80.0</v>
      </c>
      <c r="AF32" t="n" s="4598">
        <f>ROUND((aa32+ab32+ac32+ad32+ae32),2)</f>
      </c>
      <c r="AG32" t="n" s="4599">
        <f>af32*0.06</f>
      </c>
      <c r="AH32" t="n" s="4600">
        <f>af32+ag32</f>
      </c>
      <c r="AI32" t="s" s="4601">
        <v>0</v>
      </c>
    </row>
    <row r="33">
      <c r="A33" t="s" s="4602">
        <v>152</v>
      </c>
      <c r="B33" t="s" s="4603">
        <v>153</v>
      </c>
      <c r="C33" t="s" s="4604">
        <v>154</v>
      </c>
      <c r="D33" t="s" s="4605">
        <v>155</v>
      </c>
      <c r="E33" t="s" s="4606">
        <v>156</v>
      </c>
      <c r="F33" t="s" s="4607">
        <v>107</v>
      </c>
      <c r="G33" t="n" s="8681">
        <v>41944.0</v>
      </c>
      <c r="H33" t="s" s="8682">
        <v>0</v>
      </c>
      <c r="I33" t="n" s="4610">
        <v>1310.0</v>
      </c>
      <c r="J33" t="n" s="4611">
        <v>100.0</v>
      </c>
      <c r="K33" t="n" s="4612">
        <v>0.0</v>
      </c>
      <c r="L33" t="n" s="4613">
        <v>2300.0</v>
      </c>
      <c r="M33" t="n" s="4614">
        <v>0.0</v>
      </c>
      <c r="N33" t="n" s="4615">
        <v>10.0</v>
      </c>
      <c r="O33" t="n" s="4616">
        <v>60.0</v>
      </c>
      <c r="P33" t="n" s="4617">
        <v>0.0</v>
      </c>
      <c r="Q33" t="n" s="4618">
        <v>12.0</v>
      </c>
      <c r="R33" t="n" s="4619">
        <v>107.28</v>
      </c>
      <c r="S33" t="n" s="4620">
        <v>16.0</v>
      </c>
      <c r="T33" t="n" s="4621">
        <v>190.72</v>
      </c>
      <c r="U33" t="n" s="4622">
        <v>0.0</v>
      </c>
      <c r="V33" t="n" s="4623">
        <v>0.0</v>
      </c>
      <c r="W33" t="n" s="4624">
        <f>r33+t33+v33</f>
      </c>
      <c r="X33" t="n" s="4625">
        <v>0.0</v>
      </c>
      <c r="Y33" t="n" s="4626">
        <v>0.0</v>
      </c>
      <c r="Z33" t="n" s="4627">
        <v>0.0</v>
      </c>
      <c r="AA33" t="n" s="4628">
        <f>i33+j33+k33+l33+m33+n33+o33+p33+x33+y33+z33</f>
      </c>
      <c r="AB33" t="n" s="4629">
        <v>984.0</v>
      </c>
      <c r="AC33" t="n" s="4630">
        <v>138.1</v>
      </c>
      <c r="AD33" t="n" s="4631">
        <v>15.8</v>
      </c>
      <c r="AE33" t="n" s="4632">
        <v>80.0</v>
      </c>
      <c r="AF33" t="n" s="4633">
        <f>ROUND((aa33+ab33+ac33+ad33+ae33),2)</f>
      </c>
      <c r="AG33" t="n" s="4634">
        <f>af33*0.06</f>
      </c>
      <c r="AH33" t="n" s="4635">
        <f>af33+ag33</f>
      </c>
      <c r="AI33" t="s" s="4636">
        <v>0</v>
      </c>
    </row>
    <row r="34">
      <c r="A34" t="s" s="4637">
        <v>157</v>
      </c>
      <c r="B34" t="s" s="4638">
        <v>158</v>
      </c>
      <c r="C34" t="s" s="4639">
        <v>159</v>
      </c>
      <c r="D34" t="s" s="4640">
        <v>160</v>
      </c>
      <c r="E34" t="s" s="4641">
        <v>161</v>
      </c>
      <c r="F34" t="s" s="4642">
        <v>107</v>
      </c>
      <c r="G34" t="n" s="8683">
        <v>42005.0</v>
      </c>
      <c r="H34" t="s" s="8684">
        <v>0</v>
      </c>
      <c r="I34" t="n" s="4645">
        <v>1540.0</v>
      </c>
      <c r="J34" t="n" s="4646">
        <v>100.0</v>
      </c>
      <c r="K34" t="n" s="4647">
        <v>0.0</v>
      </c>
      <c r="L34" t="n" s="4648">
        <v>1128.0</v>
      </c>
      <c r="M34" t="n" s="4649">
        <v>0.0</v>
      </c>
      <c r="N34" t="n" s="4650">
        <v>46.7</v>
      </c>
      <c r="O34" t="n" s="4651">
        <v>60.0</v>
      </c>
      <c r="P34" t="n" s="4652">
        <v>0.0</v>
      </c>
      <c r="Q34" t="n" s="4653">
        <v>23.0</v>
      </c>
      <c r="R34" t="n" s="4654">
        <v>242.19</v>
      </c>
      <c r="S34" t="n" s="4655">
        <v>16.0</v>
      </c>
      <c r="T34" t="n" s="4656">
        <v>224.64</v>
      </c>
      <c r="U34" t="n" s="4657">
        <v>0.5</v>
      </c>
      <c r="V34" t="n" s="4658">
        <v>10.53</v>
      </c>
      <c r="W34" t="n" s="4659">
        <f>r34+t34+v34</f>
      </c>
      <c r="X34" t="n" s="4660">
        <v>0.0</v>
      </c>
      <c r="Y34" t="n" s="4661">
        <v>0.0</v>
      </c>
      <c r="Z34" t="n" s="4662">
        <v>0.0</v>
      </c>
      <c r="AA34" t="n" s="4663">
        <f>i34+j34+k34+l34+m34+n34+o34+p34+x34+y34+z34</f>
      </c>
      <c r="AB34" t="n" s="4664">
        <v>740.0</v>
      </c>
      <c r="AC34" t="n" s="4665">
        <v>117.1</v>
      </c>
      <c r="AD34" t="n" s="4666">
        <v>13.4</v>
      </c>
      <c r="AE34" t="n" s="4667">
        <v>80.0</v>
      </c>
      <c r="AF34" t="n" s="4668">
        <f>ROUND((aa34+ab34+ac34+ad34+ae34),2)</f>
      </c>
      <c r="AG34" t="n" s="4669">
        <f>af34*0.06</f>
      </c>
      <c r="AH34" t="n" s="4670">
        <f>af34+ag34</f>
      </c>
      <c r="AI34" t="s" s="4671">
        <v>0</v>
      </c>
    </row>
    <row r="35">
      <c r="A35" t="s" s="4672">
        <v>162</v>
      </c>
      <c r="B35" t="s" s="4673">
        <v>163</v>
      </c>
      <c r="C35" t="s" s="4674">
        <v>164</v>
      </c>
      <c r="D35" t="s" s="4675">
        <v>165</v>
      </c>
      <c r="E35" t="s" s="4676">
        <v>166</v>
      </c>
      <c r="F35" t="s" s="4677">
        <v>107</v>
      </c>
      <c r="G35" t="n" s="8685">
        <v>41944.0</v>
      </c>
      <c r="H35" t="s" s="8686">
        <v>0</v>
      </c>
      <c r="I35" t="n" s="4680">
        <v>1570.0</v>
      </c>
      <c r="J35" t="n" s="4681">
        <v>100.0</v>
      </c>
      <c r="K35" t="n" s="4682">
        <v>0.0</v>
      </c>
      <c r="L35" t="n" s="4683">
        <v>2000.0</v>
      </c>
      <c r="M35" t="n" s="4684">
        <v>0.0</v>
      </c>
      <c r="N35" t="n" s="4685">
        <v>55.0</v>
      </c>
      <c r="O35" t="n" s="4686">
        <v>60.0</v>
      </c>
      <c r="P35" t="n" s="4687">
        <v>0.0</v>
      </c>
      <c r="Q35" t="n" s="4688">
        <v>16.0</v>
      </c>
      <c r="R35" t="n" s="4689">
        <v>168.48</v>
      </c>
      <c r="S35" t="n" s="4690">
        <v>8.0</v>
      </c>
      <c r="T35" t="n" s="4691">
        <v>112.32</v>
      </c>
      <c r="U35" t="n" s="4692">
        <v>1.5</v>
      </c>
      <c r="V35" t="n" s="4693">
        <v>31.59</v>
      </c>
      <c r="W35" t="n" s="4694">
        <f>r35+t35+v35</f>
      </c>
      <c r="X35" t="n" s="4695">
        <v>0.0</v>
      </c>
      <c r="Y35" t="n" s="4696">
        <v>0.0</v>
      </c>
      <c r="Z35" t="n" s="4697">
        <v>0.0</v>
      </c>
      <c r="AA35" t="n" s="4698">
        <f>i35+j35+k35+l35+m35+n35+o35+p35+x35+y35+z35</f>
      </c>
      <c r="AB35" t="n" s="4699">
        <v>974.0</v>
      </c>
      <c r="AC35" t="n" s="4700">
        <v>141.7</v>
      </c>
      <c r="AD35" t="n" s="4701">
        <v>16.2</v>
      </c>
      <c r="AE35" t="n" s="4702">
        <v>80.0</v>
      </c>
      <c r="AF35" t="n" s="4703">
        <f>ROUND((aa35+ab35+ac35+ad35+ae35),2)</f>
      </c>
      <c r="AG35" t="n" s="4704">
        <f>af35*0.06</f>
      </c>
      <c r="AH35" t="n" s="4705">
        <f>af35+ag35</f>
      </c>
      <c r="AI35" t="s" s="4706">
        <v>0</v>
      </c>
    </row>
    <row r="36">
      <c r="A36" t="s" s="4707">
        <v>167</v>
      </c>
      <c r="B36" t="s" s="4708">
        <v>168</v>
      </c>
      <c r="C36" t="s" s="4709">
        <v>169</v>
      </c>
      <c r="D36" t="s" s="4710">
        <v>170</v>
      </c>
      <c r="E36" t="s" s="4711">
        <v>171</v>
      </c>
      <c r="F36" t="s" s="4712">
        <v>107</v>
      </c>
      <c r="G36" t="n" s="8687">
        <v>41944.0</v>
      </c>
      <c r="H36" t="n" s="8688">
        <v>43446.0</v>
      </c>
      <c r="I36" t="n" s="4715">
        <v>1240.0</v>
      </c>
      <c r="J36" t="n" s="4716">
        <v>100.0</v>
      </c>
      <c r="K36" t="n" s="4717">
        <v>0.0</v>
      </c>
      <c r="L36" t="n" s="4718">
        <v>1380.0</v>
      </c>
      <c r="M36" t="n" s="4719">
        <v>0.0</v>
      </c>
      <c r="N36" t="n" s="4720">
        <v>10.0</v>
      </c>
      <c r="O36" t="n" s="4721">
        <v>60.0</v>
      </c>
      <c r="P36" t="n" s="4722">
        <v>0.0</v>
      </c>
      <c r="Q36" t="n" s="4723">
        <v>15.0</v>
      </c>
      <c r="R36" t="n" s="4724">
        <v>130.95</v>
      </c>
      <c r="S36" t="n" s="4725">
        <v>8.0</v>
      </c>
      <c r="T36" t="n" s="4726">
        <v>93.04</v>
      </c>
      <c r="U36" t="n" s="4727">
        <v>0.0</v>
      </c>
      <c r="V36" t="n" s="4728">
        <v>0.0</v>
      </c>
      <c r="W36" t="n" s="4729">
        <f>r36+t36+v36</f>
      </c>
      <c r="X36" t="n" s="4730">
        <v>0.0</v>
      </c>
      <c r="Y36" t="n" s="4731">
        <v>0.0</v>
      </c>
      <c r="Z36" t="n" s="4732">
        <v>0.0</v>
      </c>
      <c r="AA36" t="n" s="4733">
        <f>i36+j36+k36+l36+m36+n36+o36+p36+x36+y36+z36</f>
      </c>
      <c r="AB36" t="n" s="4734">
        <v>766.0</v>
      </c>
      <c r="AC36" t="n" s="4735">
        <v>110.3</v>
      </c>
      <c r="AD36" t="n" s="4736">
        <v>12.6</v>
      </c>
      <c r="AE36" t="n" s="4737">
        <v>80.0</v>
      </c>
      <c r="AF36" t="n" s="4738">
        <f>ROUND((aa36+ab36+ac36+ad36+ae36),2)</f>
      </c>
      <c r="AG36" t="n" s="4739">
        <f>af36*0.06</f>
      </c>
      <c r="AH36" t="n" s="4740">
        <f>af36+ag36</f>
      </c>
      <c r="AI36" t="s" s="4741">
        <v>0</v>
      </c>
    </row>
    <row r="37">
      <c r="A37" t="s" s="4742">
        <v>172</v>
      </c>
      <c r="B37" t="s" s="4743">
        <v>173</v>
      </c>
      <c r="C37" t="s" s="4744">
        <v>174</v>
      </c>
      <c r="D37" t="s" s="4745">
        <v>175</v>
      </c>
      <c r="E37" t="s" s="4746">
        <v>176</v>
      </c>
      <c r="F37" t="s" s="4747">
        <v>107</v>
      </c>
      <c r="G37" t="n" s="8689">
        <v>41944.0</v>
      </c>
      <c r="H37" t="s" s="8690">
        <v>0</v>
      </c>
      <c r="I37" t="n" s="4750">
        <v>1300.0</v>
      </c>
      <c r="J37" t="n" s="4751">
        <v>100.0</v>
      </c>
      <c r="K37" t="n" s="4752">
        <v>0.0</v>
      </c>
      <c r="L37" t="n" s="4753">
        <v>2348.0</v>
      </c>
      <c r="M37" t="n" s="4754">
        <v>0.0</v>
      </c>
      <c r="N37" t="n" s="4755">
        <v>15.8</v>
      </c>
      <c r="O37" t="n" s="4756">
        <v>60.0</v>
      </c>
      <c r="P37" t="n" s="4757">
        <v>0.0</v>
      </c>
      <c r="Q37" t="n" s="4758">
        <v>0.0</v>
      </c>
      <c r="R37" t="n" s="4759">
        <v>0.0</v>
      </c>
      <c r="S37" t="n" s="4760">
        <v>8.0</v>
      </c>
      <c r="T37" t="n" s="4761">
        <v>93.04</v>
      </c>
      <c r="U37" t="n" s="4762">
        <v>0.0</v>
      </c>
      <c r="V37" t="n" s="4763">
        <v>0.0</v>
      </c>
      <c r="W37" t="n" s="4764">
        <f>r37+t37+v37</f>
      </c>
      <c r="X37" t="n" s="4765">
        <v>0.0</v>
      </c>
      <c r="Y37" t="n" s="4766">
        <v>0.0</v>
      </c>
      <c r="Z37" t="n" s="4767">
        <v>0.0</v>
      </c>
      <c r="AA37" t="n" s="4768">
        <f>i37+j37+k37+l37+m37+n37+o37+p37+x37+y37+z37</f>
      </c>
      <c r="AB37" t="n" s="4769">
        <v>994.0</v>
      </c>
      <c r="AC37" t="n" s="4770">
        <v>138.1</v>
      </c>
      <c r="AD37" t="n" s="4771">
        <v>15.8</v>
      </c>
      <c r="AE37" t="n" s="4772">
        <v>80.0</v>
      </c>
      <c r="AF37" t="n" s="4773">
        <f>ROUND((aa37+ab37+ac37+ad37+ae37),2)</f>
      </c>
      <c r="AG37" t="n" s="4774">
        <f>af37*0.06</f>
      </c>
      <c r="AH37" t="n" s="4775">
        <f>af37+ag37</f>
      </c>
      <c r="AI37" t="s" s="4776">
        <v>0</v>
      </c>
    </row>
    <row r="38">
      <c r="A38" t="s" s="4777">
        <v>177</v>
      </c>
      <c r="B38" t="s" s="4778">
        <v>178</v>
      </c>
      <c r="C38" t="s" s="4779">
        <v>179</v>
      </c>
      <c r="D38" t="s" s="4780">
        <v>180</v>
      </c>
      <c r="E38" t="s" s="4781">
        <v>181</v>
      </c>
      <c r="F38" t="s" s="4782">
        <v>107</v>
      </c>
      <c r="G38" t="n" s="8691">
        <v>41944.0</v>
      </c>
      <c r="H38" t="s" s="8692">
        <v>0</v>
      </c>
      <c r="I38" t="n" s="4785">
        <v>1390.0</v>
      </c>
      <c r="J38" t="n" s="4786">
        <v>100.0</v>
      </c>
      <c r="K38" t="n" s="4787">
        <v>0.0</v>
      </c>
      <c r="L38" t="n" s="4788">
        <v>1754.0</v>
      </c>
      <c r="M38" t="n" s="4789">
        <v>0.0</v>
      </c>
      <c r="N38" t="n" s="4790">
        <v>27.8</v>
      </c>
      <c r="O38" t="n" s="4791">
        <v>60.0</v>
      </c>
      <c r="P38" t="n" s="4792">
        <v>0.0</v>
      </c>
      <c r="Q38" t="n" s="4793">
        <v>1.0</v>
      </c>
      <c r="R38" t="n" s="4794">
        <v>9.59</v>
      </c>
      <c r="S38" t="n" s="4795">
        <v>8.0</v>
      </c>
      <c r="T38" t="n" s="4796">
        <v>102.32</v>
      </c>
      <c r="U38" t="n" s="4797">
        <v>0.0</v>
      </c>
      <c r="V38" t="n" s="4798">
        <v>0.0</v>
      </c>
      <c r="W38" t="n" s="4799">
        <f>r38+t38+v38</f>
      </c>
      <c r="X38" t="n" s="4800">
        <v>0.0</v>
      </c>
      <c r="Y38" t="n" s="4801">
        <v>0.0</v>
      </c>
      <c r="Z38" t="n" s="4802">
        <v>0.0</v>
      </c>
      <c r="AA38" t="n" s="4803">
        <f>i38+j38+k38+l38+m38+n38+o38+p38+x38+y38+z38</f>
      </c>
      <c r="AB38" t="n" s="4804">
        <v>864.0</v>
      </c>
      <c r="AC38" t="n" s="4805">
        <v>120.9</v>
      </c>
      <c r="AD38" t="n" s="4806">
        <v>13.8</v>
      </c>
      <c r="AE38" t="n" s="4807">
        <v>80.0</v>
      </c>
      <c r="AF38" t="n" s="4808">
        <f>ROUND((aa38+ab38+ac38+ad38+ae38),2)</f>
      </c>
      <c r="AG38" t="n" s="4809">
        <f>af38*0.06</f>
      </c>
      <c r="AH38" t="n" s="4810">
        <f>af38+ag38</f>
      </c>
      <c r="AI38" t="s" s="4811">
        <v>0</v>
      </c>
    </row>
    <row r="39">
      <c r="A39" t="s" s="4812">
        <v>182</v>
      </c>
      <c r="B39" t="s" s="4813">
        <v>183</v>
      </c>
      <c r="C39" t="s" s="4814">
        <v>184</v>
      </c>
      <c r="D39" t="s" s="4815">
        <v>185</v>
      </c>
      <c r="E39" t="s" s="4816">
        <v>186</v>
      </c>
      <c r="F39" t="s" s="4817">
        <v>107</v>
      </c>
      <c r="G39" t="n" s="8693">
        <v>41944.0</v>
      </c>
      <c r="H39" t="s" s="8694">
        <v>0</v>
      </c>
      <c r="I39" t="n" s="4820">
        <v>1350.0</v>
      </c>
      <c r="J39" t="n" s="4821">
        <v>100.0</v>
      </c>
      <c r="K39" t="n" s="4822">
        <v>0.0</v>
      </c>
      <c r="L39" t="n" s="4823">
        <v>2316.0</v>
      </c>
      <c r="M39" t="n" s="4824">
        <v>0.0</v>
      </c>
      <c r="N39" t="n" s="4825">
        <v>10.0</v>
      </c>
      <c r="O39" t="n" s="4826">
        <v>60.0</v>
      </c>
      <c r="P39" t="n" s="4827">
        <v>0.0</v>
      </c>
      <c r="Q39" t="n" s="4828">
        <v>0.0</v>
      </c>
      <c r="R39" t="n" s="4829">
        <v>0.0</v>
      </c>
      <c r="S39" t="n" s="4830">
        <v>8.0</v>
      </c>
      <c r="T39" t="n" s="4831">
        <v>96.96</v>
      </c>
      <c r="U39" t="n" s="4832">
        <v>0.0</v>
      </c>
      <c r="V39" t="n" s="4833">
        <v>0.0</v>
      </c>
      <c r="W39" t="n" s="4834">
        <f>r39+t39+v39</f>
      </c>
      <c r="X39" t="n" s="4835">
        <v>0.0</v>
      </c>
      <c r="Y39" t="n" s="4836">
        <v>0.0</v>
      </c>
      <c r="Z39" t="n" s="4837">
        <v>0.0</v>
      </c>
      <c r="AA39" t="n" s="4838">
        <f>i39+j39+k39+l39+m39+n39+o39+p39+x39+y39+z39</f>
      </c>
      <c r="AB39" t="n" s="4839">
        <v>1134.0</v>
      </c>
      <c r="AC39" t="n" s="4840">
        <v>141.5</v>
      </c>
      <c r="AD39" t="n" s="4841">
        <v>16.2</v>
      </c>
      <c r="AE39" t="n" s="4842">
        <v>80.0</v>
      </c>
      <c r="AF39" t="n" s="4843">
        <f>ROUND((aa39+ab39+ac39+ad39+ae39),2)</f>
      </c>
      <c r="AG39" t="n" s="4844">
        <f>af39*0.06</f>
      </c>
      <c r="AH39" t="n" s="4845">
        <f>af39+ag39</f>
      </c>
      <c r="AI39" t="s" s="4846">
        <v>0</v>
      </c>
    </row>
    <row r="40">
      <c r="A40" t="s" s="4847">
        <v>187</v>
      </c>
      <c r="B40" t="s" s="4848">
        <v>188</v>
      </c>
      <c r="C40" t="s" s="4849">
        <v>189</v>
      </c>
      <c r="D40" t="s" s="4850">
        <v>190</v>
      </c>
      <c r="E40" t="s" s="4851">
        <v>191</v>
      </c>
      <c r="F40" t="s" s="4852">
        <v>107</v>
      </c>
      <c r="G40" t="n" s="8695">
        <v>41944.0</v>
      </c>
      <c r="H40" t="s" s="8696">
        <v>0</v>
      </c>
      <c r="I40" t="n" s="4855">
        <v>1300.0</v>
      </c>
      <c r="J40" t="n" s="4856">
        <v>100.0</v>
      </c>
      <c r="K40" t="n" s="4857">
        <v>0.0</v>
      </c>
      <c r="L40" t="n" s="4858">
        <v>1948.0</v>
      </c>
      <c r="M40" t="n" s="4859">
        <v>0.0</v>
      </c>
      <c r="N40" t="n" s="4860">
        <v>17.2</v>
      </c>
      <c r="O40" t="n" s="4861">
        <v>60.0</v>
      </c>
      <c r="P40" t="n" s="4862">
        <v>0.0</v>
      </c>
      <c r="Q40" t="n" s="4863">
        <v>12.0</v>
      </c>
      <c r="R40" t="n" s="4864">
        <v>103.8</v>
      </c>
      <c r="S40" t="n" s="4865">
        <v>16.0</v>
      </c>
      <c r="T40" t="n" s="4866">
        <v>184.64</v>
      </c>
      <c r="U40" t="n" s="4867">
        <v>0.0</v>
      </c>
      <c r="V40" t="n" s="4868">
        <v>0.0</v>
      </c>
      <c r="W40" t="n" s="4869">
        <f>r40+t40+v40</f>
      </c>
      <c r="X40" t="n" s="4870">
        <v>0.0</v>
      </c>
      <c r="Y40" t="n" s="4871">
        <v>0.0</v>
      </c>
      <c r="Z40" t="n" s="4872">
        <v>0.0</v>
      </c>
      <c r="AA40" t="n" s="4873">
        <f>i40+j40+k40+l40+m40+n40+o40+p40+x40+y40+z40</f>
      </c>
      <c r="AB40" t="n" s="4874">
        <v>890.0</v>
      </c>
      <c r="AC40" t="n" s="4875">
        <v>131.1</v>
      </c>
      <c r="AD40" t="n" s="4876">
        <v>15.0</v>
      </c>
      <c r="AE40" t="n" s="4877">
        <v>80.0</v>
      </c>
      <c r="AF40" t="n" s="4878">
        <f>ROUND((aa40+ab40+ac40+ad40+ae40),2)</f>
      </c>
      <c r="AG40" t="n" s="4879">
        <f>af40*0.06</f>
      </c>
      <c r="AH40" t="n" s="4880">
        <f>af40+ag40</f>
      </c>
      <c r="AI40" t="s" s="4881">
        <v>0</v>
      </c>
    </row>
    <row r="41">
      <c r="A41" t="s" s="4882">
        <v>192</v>
      </c>
      <c r="B41" t="s" s="4883">
        <v>193</v>
      </c>
      <c r="C41" t="s" s="4884">
        <v>194</v>
      </c>
      <c r="D41" t="s" s="4885">
        <v>195</v>
      </c>
      <c r="E41" t="s" s="4886">
        <v>196</v>
      </c>
      <c r="F41" t="s" s="4887">
        <v>107</v>
      </c>
      <c r="G41" t="n" s="8697">
        <v>41944.0</v>
      </c>
      <c r="H41" t="s" s="8698">
        <v>0</v>
      </c>
      <c r="I41" t="n" s="4890">
        <v>1490.0</v>
      </c>
      <c r="J41" t="n" s="4891">
        <v>100.0</v>
      </c>
      <c r="K41" t="n" s="4892">
        <v>0.0</v>
      </c>
      <c r="L41" t="n" s="4893">
        <v>858.0</v>
      </c>
      <c r="M41" t="n" s="4894">
        <v>0.0</v>
      </c>
      <c r="N41" t="n" s="4895">
        <v>10.0</v>
      </c>
      <c r="O41" t="n" s="4896">
        <v>60.0</v>
      </c>
      <c r="P41" t="n" s="4897">
        <v>0.0</v>
      </c>
      <c r="Q41" t="n" s="4898">
        <v>0.0</v>
      </c>
      <c r="R41" t="n" s="4899">
        <v>0.0</v>
      </c>
      <c r="S41" t="n" s="4900">
        <v>8.0</v>
      </c>
      <c r="T41" t="n" s="4901">
        <v>108.48</v>
      </c>
      <c r="U41" t="n" s="4902">
        <v>1.0</v>
      </c>
      <c r="V41" t="n" s="4903">
        <v>20.34</v>
      </c>
      <c r="W41" t="n" s="4904">
        <f>r41+t41+v41</f>
      </c>
      <c r="X41" t="n" s="4905">
        <v>0.0</v>
      </c>
      <c r="Y41" t="n" s="4906">
        <v>0.0</v>
      </c>
      <c r="Z41" t="n" s="4907">
        <v>0.0</v>
      </c>
      <c r="AA41" t="n" s="4908">
        <f>i41+j41+k41+l41+m41+n41+o41+p41+x41+y41+z41</f>
      </c>
      <c r="AB41" t="n" s="4909">
        <v>656.0</v>
      </c>
      <c r="AC41" t="n" s="4910">
        <v>92.9</v>
      </c>
      <c r="AD41" t="n" s="4911">
        <v>10.6</v>
      </c>
      <c r="AE41" t="n" s="4912">
        <v>80.0</v>
      </c>
      <c r="AF41" t="n" s="4913">
        <f>ROUND((aa41+ab41+ac41+ad41+ae41),2)</f>
      </c>
      <c r="AG41" t="n" s="4914">
        <f>af41*0.06</f>
      </c>
      <c r="AH41" t="n" s="4915">
        <f>af41+ag41</f>
      </c>
      <c r="AI41" t="s" s="4916">
        <v>0</v>
      </c>
    </row>
    <row r="42">
      <c r="A42" t="s" s="4917">
        <v>197</v>
      </c>
      <c r="B42" t="s" s="4918">
        <v>198</v>
      </c>
      <c r="C42" t="s" s="4919">
        <v>199</v>
      </c>
      <c r="D42" t="s" s="4920">
        <v>200</v>
      </c>
      <c r="E42" t="s" s="4921">
        <v>201</v>
      </c>
      <c r="F42" t="s" s="4922">
        <v>107</v>
      </c>
      <c r="G42" t="n" s="8699">
        <v>42005.0</v>
      </c>
      <c r="H42" t="n" s="8700">
        <v>43131.0</v>
      </c>
      <c r="I42" t="n" s="4925">
        <v>1320.0</v>
      </c>
      <c r="J42" t="n" s="4926">
        <v>100.0</v>
      </c>
      <c r="K42" t="n" s="4927">
        <v>-6.46</v>
      </c>
      <c r="L42" t="n" s="4928">
        <v>1100.0</v>
      </c>
      <c r="M42" t="n" s="4929">
        <v>0.0</v>
      </c>
      <c r="N42" t="n" s="4930">
        <v>35.87</v>
      </c>
      <c r="O42" t="n" s="4931">
        <v>0.0</v>
      </c>
      <c r="P42" t="n" s="4932">
        <v>0.0</v>
      </c>
      <c r="Q42" t="n" s="4933">
        <v>3.0</v>
      </c>
      <c r="R42" t="n" s="4934">
        <v>26.82</v>
      </c>
      <c r="S42" t="n" s="4935">
        <v>8.0</v>
      </c>
      <c r="T42" t="n" s="4936">
        <v>95.36</v>
      </c>
      <c r="U42" t="n" s="4937">
        <v>0.0</v>
      </c>
      <c r="V42" t="n" s="4938">
        <v>0.0</v>
      </c>
      <c r="W42" t="n" s="4939">
        <f>r42+t42+v42</f>
      </c>
      <c r="X42" t="n" s="4940">
        <v>-80.0</v>
      </c>
      <c r="Y42" t="n" s="4941">
        <v>0.0</v>
      </c>
      <c r="Z42" t="n" s="4942">
        <v>0.0</v>
      </c>
      <c r="AA42" t="n" s="4943">
        <f>i42+j42+k42+l42+m42+n42+o42+p42+x42+y42+z42</f>
      </c>
      <c r="AB42" t="n" s="4944">
        <v>636.0</v>
      </c>
      <c r="AC42" t="n" s="4945">
        <v>89.3</v>
      </c>
      <c r="AD42" t="n" s="4946">
        <v>10.2</v>
      </c>
      <c r="AE42" t="n" s="4947">
        <v>80.0</v>
      </c>
      <c r="AF42" t="n" s="4948">
        <f>ROUND((aa42+ab42+ac42+ad42+ae42),2)</f>
      </c>
      <c r="AG42" t="n" s="4949">
        <f>af42*0.06</f>
      </c>
      <c r="AH42" t="n" s="4950">
        <f>af42+ag42</f>
      </c>
      <c r="AI42" t="s" s="4951">
        <v>0</v>
      </c>
    </row>
    <row r="43">
      <c r="A43" t="s" s="4952">
        <v>202</v>
      </c>
      <c r="B43" t="s" s="4953">
        <v>203</v>
      </c>
      <c r="C43" t="s" s="4954">
        <v>204</v>
      </c>
      <c r="D43" t="s" s="4955">
        <v>205</v>
      </c>
      <c r="E43" t="s" s="4956">
        <v>206</v>
      </c>
      <c r="F43" t="s" s="4957">
        <v>107</v>
      </c>
      <c r="G43" t="n" s="8701">
        <v>42005.0</v>
      </c>
      <c r="H43" t="s" s="8702">
        <v>0</v>
      </c>
      <c r="I43" t="n" s="4960">
        <v>1330.0</v>
      </c>
      <c r="J43" t="n" s="4961">
        <v>100.0</v>
      </c>
      <c r="K43" t="n" s="4962">
        <v>0.0</v>
      </c>
      <c r="L43" t="n" s="4963">
        <v>2308.0</v>
      </c>
      <c r="M43" t="n" s="4964">
        <v>0.0</v>
      </c>
      <c r="N43" t="n" s="4965">
        <v>36.65</v>
      </c>
      <c r="O43" t="n" s="4966">
        <v>60.0</v>
      </c>
      <c r="P43" t="n" s="4967">
        <v>0.0</v>
      </c>
      <c r="Q43" t="n" s="4968">
        <v>5.0</v>
      </c>
      <c r="R43" t="n" s="4969">
        <v>45.05</v>
      </c>
      <c r="S43" t="n" s="4970">
        <v>8.0</v>
      </c>
      <c r="T43" t="n" s="4971">
        <v>96.16</v>
      </c>
      <c r="U43" t="n" s="4972">
        <v>0.0</v>
      </c>
      <c r="V43" t="n" s="4973">
        <v>0.0</v>
      </c>
      <c r="W43" t="n" s="4974">
        <f>r43+t43+v43</f>
      </c>
      <c r="X43" t="n" s="4975">
        <v>0.0</v>
      </c>
      <c r="Y43" t="n" s="4976">
        <v>0.0</v>
      </c>
      <c r="Z43" t="n" s="4977">
        <v>0.0</v>
      </c>
      <c r="AA43" t="n" s="4978">
        <f>i43+j43+k43+l43+m43+n43+o43+p43+x43+y43+z43</f>
      </c>
      <c r="AB43" t="n" s="4979">
        <v>988.0</v>
      </c>
      <c r="AC43" t="n" s="4980">
        <v>134.7</v>
      </c>
      <c r="AD43" t="n" s="4981">
        <v>15.4</v>
      </c>
      <c r="AE43" t="n" s="4982">
        <v>80.0</v>
      </c>
      <c r="AF43" t="n" s="4983">
        <f>ROUND((aa43+ab43+ac43+ad43+ae43),2)</f>
      </c>
      <c r="AG43" t="n" s="4984">
        <f>af43*0.06</f>
      </c>
      <c r="AH43" t="n" s="4985">
        <f>af43+ag43</f>
      </c>
      <c r="AI43" t="s" s="4986">
        <v>0</v>
      </c>
    </row>
    <row r="44">
      <c r="A44" t="s" s="4987">
        <v>207</v>
      </c>
      <c r="B44" t="s" s="4988">
        <v>0</v>
      </c>
      <c r="C44" t="s" s="4989">
        <v>208</v>
      </c>
      <c r="D44" t="s" s="4990">
        <v>209</v>
      </c>
      <c r="E44" t="s" s="4991">
        <v>210</v>
      </c>
      <c r="F44" t="s" s="4992">
        <v>107</v>
      </c>
      <c r="G44" t="n" s="8703">
        <v>41944.0</v>
      </c>
      <c r="H44" t="s" s="8704">
        <v>0</v>
      </c>
      <c r="I44" t="n" s="4995">
        <v>1300.0</v>
      </c>
      <c r="J44" t="n" s="4996">
        <v>100.0</v>
      </c>
      <c r="K44" t="n" s="4997">
        <v>0.0</v>
      </c>
      <c r="L44" t="n" s="4998">
        <v>950.0</v>
      </c>
      <c r="M44" t="n" s="4999">
        <v>0.0</v>
      </c>
      <c r="N44" t="n" s="5000">
        <v>10.0</v>
      </c>
      <c r="O44" t="n" s="5001">
        <v>60.0</v>
      </c>
      <c r="P44" t="n" s="5002">
        <v>0.0</v>
      </c>
      <c r="Q44" t="n" s="5003">
        <v>0.0</v>
      </c>
      <c r="R44" t="n" s="5004">
        <v>0.0</v>
      </c>
      <c r="S44" t="n" s="5005">
        <v>0.0</v>
      </c>
      <c r="T44" t="n" s="5006">
        <v>0.0</v>
      </c>
      <c r="U44" t="n" s="5007">
        <v>0.0</v>
      </c>
      <c r="V44" t="n" s="5008">
        <v>0.0</v>
      </c>
      <c r="W44" t="n" s="5009">
        <f>r44+t44+v44</f>
      </c>
      <c r="X44" t="n" s="5010">
        <v>0.0</v>
      </c>
      <c r="Y44" t="n" s="5011">
        <v>0.0</v>
      </c>
      <c r="Z44" t="n" s="5012">
        <v>0.0</v>
      </c>
      <c r="AA44" t="n" s="5013">
        <f>i44+j44+k44+l44+m44+n44+o44+p44+x44+y44+z44</f>
      </c>
      <c r="AB44" t="n" s="5014">
        <v>315.0</v>
      </c>
      <c r="AC44" t="n" s="5015">
        <v>42.85</v>
      </c>
      <c r="AD44" t="n" s="5016">
        <v>4.9</v>
      </c>
      <c r="AE44" t="n" s="5017">
        <v>80.0</v>
      </c>
      <c r="AF44" t="n" s="5018">
        <f>ROUND((aa44+ab44+ac44+ad44+ae44),2)</f>
      </c>
      <c r="AG44" t="n" s="5019">
        <f>af44*0.06</f>
      </c>
      <c r="AH44" t="n" s="5020">
        <f>af44+ag44</f>
      </c>
      <c r="AI44" t="s" s="5021">
        <v>0</v>
      </c>
    </row>
    <row r="45">
      <c r="A45" t="s" s="5022">
        <v>211</v>
      </c>
      <c r="B45" t="s" s="5023">
        <v>212</v>
      </c>
      <c r="C45" t="s" s="5024">
        <v>213</v>
      </c>
      <c r="D45" t="s" s="5025">
        <v>214</v>
      </c>
      <c r="E45" t="s" s="5026">
        <v>215</v>
      </c>
      <c r="F45" t="s" s="5027">
        <v>107</v>
      </c>
      <c r="G45" t="n" s="8705">
        <v>41944.0</v>
      </c>
      <c r="H45" t="s" s="8706">
        <v>0</v>
      </c>
      <c r="I45" t="n" s="5030">
        <v>1440.0</v>
      </c>
      <c r="J45" t="n" s="5031">
        <v>100.0</v>
      </c>
      <c r="K45" t="n" s="5032">
        <v>0.0</v>
      </c>
      <c r="L45" t="n" s="5033">
        <v>1100.0</v>
      </c>
      <c r="M45" t="n" s="5034">
        <v>0.0</v>
      </c>
      <c r="N45" t="n" s="5035">
        <v>26.5</v>
      </c>
      <c r="O45" t="n" s="5036">
        <v>60.0</v>
      </c>
      <c r="P45" t="n" s="5037">
        <v>0.0</v>
      </c>
      <c r="Q45" t="n" s="5038">
        <v>2.0</v>
      </c>
      <c r="R45" t="n" s="5039">
        <v>19.76</v>
      </c>
      <c r="S45" t="n" s="5040">
        <v>0.0</v>
      </c>
      <c r="T45" t="n" s="5041">
        <v>0.0</v>
      </c>
      <c r="U45" t="n" s="5042">
        <v>0.0</v>
      </c>
      <c r="V45" t="n" s="5043">
        <v>0.0</v>
      </c>
      <c r="W45" t="n" s="5044">
        <f>r45+t45+v45</f>
      </c>
      <c r="X45" t="n" s="5045">
        <v>0.0</v>
      </c>
      <c r="Y45" t="n" s="5046">
        <v>0.0</v>
      </c>
      <c r="Z45" t="n" s="5047">
        <v>0.0</v>
      </c>
      <c r="AA45" t="n" s="5048">
        <f>i45+j45+k45+l45+m45+n45+o45+p45+x45+y45+z45</f>
      </c>
      <c r="AB45" t="n" s="5049">
        <v>702.0</v>
      </c>
      <c r="AC45" t="n" s="5050">
        <v>92.7</v>
      </c>
      <c r="AD45" t="n" s="5051">
        <v>10.6</v>
      </c>
      <c r="AE45" t="n" s="5052">
        <v>80.0</v>
      </c>
      <c r="AF45" t="n" s="5053">
        <f>ROUND((aa45+ab45+ac45+ad45+ae45),2)</f>
      </c>
      <c r="AG45" t="n" s="5054">
        <f>af45*0.06</f>
      </c>
      <c r="AH45" t="n" s="5055">
        <f>af45+ag45</f>
      </c>
      <c r="AI45" t="s" s="5056">
        <v>0</v>
      </c>
    </row>
    <row r="46">
      <c r="A46" t="s" s="5057">
        <v>216</v>
      </c>
      <c r="B46" t="s" s="5058">
        <v>217</v>
      </c>
      <c r="C46" t="s" s="5059">
        <v>218</v>
      </c>
      <c r="D46" t="s" s="5060">
        <v>219</v>
      </c>
      <c r="E46" t="s" s="5061">
        <v>220</v>
      </c>
      <c r="F46" t="s" s="5062">
        <v>107</v>
      </c>
      <c r="G46" t="n" s="8707">
        <v>41944.0</v>
      </c>
      <c r="H46" t="s" s="8708">
        <v>0</v>
      </c>
      <c r="I46" t="n" s="5065">
        <v>1340.0</v>
      </c>
      <c r="J46" t="n" s="5066">
        <v>100.0</v>
      </c>
      <c r="K46" t="n" s="5067">
        <v>0.0</v>
      </c>
      <c r="L46" t="n" s="5068">
        <v>1908.0</v>
      </c>
      <c r="M46" t="n" s="5069">
        <v>0.0</v>
      </c>
      <c r="N46" t="n" s="5070">
        <v>38.79</v>
      </c>
      <c r="O46" t="n" s="5071">
        <v>60.0</v>
      </c>
      <c r="P46" t="n" s="5072">
        <v>0.0</v>
      </c>
      <c r="Q46" t="n" s="5073">
        <v>3.0</v>
      </c>
      <c r="R46" t="n" s="5074">
        <v>27.27</v>
      </c>
      <c r="S46" t="n" s="5075">
        <v>16.0</v>
      </c>
      <c r="T46" t="n" s="5076">
        <v>193.92</v>
      </c>
      <c r="U46" t="n" s="5077">
        <v>0.0</v>
      </c>
      <c r="V46" t="n" s="5078">
        <v>0.0</v>
      </c>
      <c r="W46" t="n" s="5079">
        <f>r46+t46+v46</f>
      </c>
      <c r="X46" t="n" s="5080">
        <v>0.0</v>
      </c>
      <c r="Y46" t="n" s="5081">
        <v>0.0</v>
      </c>
      <c r="Z46" t="n" s="5082">
        <v>0.0</v>
      </c>
      <c r="AA46" t="n" s="5083">
        <f>i46+j46+k46+l46+m46+n46+o46+p46+x46+y46+z46</f>
      </c>
      <c r="AB46" t="n" s="5084">
        <v>922.0</v>
      </c>
      <c r="AC46" t="n" s="5085">
        <v>131.3</v>
      </c>
      <c r="AD46" t="n" s="5086">
        <v>15.0</v>
      </c>
      <c r="AE46" t="n" s="5087">
        <v>80.0</v>
      </c>
      <c r="AF46" t="n" s="5088">
        <f>ROUND((aa46+ab46+ac46+ad46+ae46),2)</f>
      </c>
      <c r="AG46" t="n" s="5089">
        <f>af46*0.06</f>
      </c>
      <c r="AH46" t="n" s="5090">
        <f>af46+ag46</f>
      </c>
      <c r="AI46" t="s" s="5091">
        <v>0</v>
      </c>
    </row>
    <row r="47">
      <c r="A47" t="s" s="5092">
        <v>221</v>
      </c>
      <c r="B47" t="s" s="5093">
        <v>222</v>
      </c>
      <c r="C47" t="s" s="5094">
        <v>223</v>
      </c>
      <c r="D47" t="s" s="5095">
        <v>224</v>
      </c>
      <c r="E47" t="s" s="5096">
        <v>225</v>
      </c>
      <c r="F47" t="s" s="5097">
        <v>107</v>
      </c>
      <c r="G47" t="n" s="8709">
        <v>42005.0</v>
      </c>
      <c r="H47" t="s" s="8710">
        <v>0</v>
      </c>
      <c r="I47" t="n" s="5100">
        <v>1770.0</v>
      </c>
      <c r="J47" t="n" s="5101">
        <v>100.0</v>
      </c>
      <c r="K47" t="n" s="5102">
        <v>0.0</v>
      </c>
      <c r="L47" t="n" s="5103">
        <v>1112.0</v>
      </c>
      <c r="M47" t="n" s="5104">
        <v>0.0</v>
      </c>
      <c r="N47" t="n" s="5105">
        <v>21.6</v>
      </c>
      <c r="O47" t="n" s="5106">
        <v>60.0</v>
      </c>
      <c r="P47" t="n" s="5107">
        <v>0.0</v>
      </c>
      <c r="Q47" t="n" s="5108">
        <v>12.0</v>
      </c>
      <c r="R47" t="n" s="5109">
        <v>142.8</v>
      </c>
      <c r="S47" t="n" s="5110">
        <v>16.0</v>
      </c>
      <c r="T47" t="n" s="5111">
        <v>253.92</v>
      </c>
      <c r="U47" t="n" s="5112">
        <v>0.0</v>
      </c>
      <c r="V47" t="n" s="5113">
        <v>0.0</v>
      </c>
      <c r="W47" t="n" s="5114">
        <f>r47+t47+v47</f>
      </c>
      <c r="X47" t="n" s="5115">
        <v>0.0</v>
      </c>
      <c r="Y47" t="n" s="5116">
        <v>0.0</v>
      </c>
      <c r="Z47" t="n" s="5117">
        <v>0.0</v>
      </c>
      <c r="AA47" t="n" s="5118">
        <f>i47+j47+k47+l47+m47+n47+o47+p47+x47+y47+z47</f>
      </c>
      <c r="AB47" t="n" s="5119">
        <v>796.0</v>
      </c>
      <c r="AC47" t="n" s="5120">
        <v>120.7</v>
      </c>
      <c r="AD47" t="n" s="5121">
        <v>13.8</v>
      </c>
      <c r="AE47" t="n" s="5122">
        <v>80.0</v>
      </c>
      <c r="AF47" t="n" s="5123">
        <f>ROUND((aa47+ab47+ac47+ad47+ae47),2)</f>
      </c>
      <c r="AG47" t="n" s="5124">
        <f>af47*0.06</f>
      </c>
      <c r="AH47" t="n" s="5125">
        <f>af47+ag47</f>
      </c>
      <c r="AI47" t="s" s="5126">
        <v>0</v>
      </c>
    </row>
    <row r="48">
      <c r="A48" t="s" s="5127">
        <v>226</v>
      </c>
      <c r="B48" t="s" s="5128">
        <v>227</v>
      </c>
      <c r="C48" t="s" s="5129">
        <v>228</v>
      </c>
      <c r="D48" t="s" s="5130">
        <v>229</v>
      </c>
      <c r="E48" t="s" s="5131">
        <v>230</v>
      </c>
      <c r="F48" t="s" s="5132">
        <v>107</v>
      </c>
      <c r="G48" t="n" s="8711">
        <v>42599.0</v>
      </c>
      <c r="H48" t="s" s="8712">
        <v>0</v>
      </c>
      <c r="I48" t="n" s="5135">
        <v>1220.0</v>
      </c>
      <c r="J48" t="n" s="5136">
        <v>100.0</v>
      </c>
      <c r="K48" t="n" s="5137">
        <v>0.0</v>
      </c>
      <c r="L48" t="n" s="5138">
        <v>1100.0</v>
      </c>
      <c r="M48" t="n" s="5139">
        <v>0.0</v>
      </c>
      <c r="N48" t="n" s="5140">
        <v>10.0</v>
      </c>
      <c r="O48" t="n" s="5141">
        <v>60.0</v>
      </c>
      <c r="P48" t="n" s="5142">
        <v>0.0</v>
      </c>
      <c r="Q48" t="n" s="5143">
        <v>10.0</v>
      </c>
      <c r="R48" t="n" s="5144">
        <v>83.7</v>
      </c>
      <c r="S48" t="n" s="5145">
        <v>8.0</v>
      </c>
      <c r="T48" t="n" s="5146">
        <v>89.2</v>
      </c>
      <c r="U48" t="n" s="5147">
        <v>0.0</v>
      </c>
      <c r="V48" t="n" s="5148">
        <v>0.0</v>
      </c>
      <c r="W48" t="n" s="5149">
        <f>r48+t48+v48</f>
      </c>
      <c r="X48" t="n" s="5150">
        <v>0.0</v>
      </c>
      <c r="Y48" t="n" s="5151">
        <v>0.0</v>
      </c>
      <c r="Z48" t="n" s="5152">
        <v>0.0</v>
      </c>
      <c r="AA48" t="n" s="5153">
        <f>i48+j48+k48+l48+m48+n48+o48+p48+x48+y48+z48</f>
      </c>
      <c r="AB48" t="n" s="5154">
        <v>646.0</v>
      </c>
      <c r="AC48" t="n" s="5155">
        <v>89.3</v>
      </c>
      <c r="AD48" t="n" s="5156">
        <v>10.2</v>
      </c>
      <c r="AE48" t="n" s="5157">
        <v>80.0</v>
      </c>
      <c r="AF48" t="n" s="5158">
        <f>ROUND((aa48+ab48+ac48+ad48+ae48),2)</f>
      </c>
      <c r="AG48" t="n" s="5159">
        <f>af48*0.06</f>
      </c>
      <c r="AH48" t="n" s="5160">
        <f>af48+ag48</f>
      </c>
      <c r="AI48" t="s" s="5161">
        <v>0</v>
      </c>
    </row>
    <row r="49">
      <c r="A49" t="s" s="5162">
        <v>231</v>
      </c>
      <c r="B49" t="s" s="5163">
        <v>232</v>
      </c>
      <c r="C49" t="s" s="5164">
        <v>233</v>
      </c>
      <c r="D49" t="s" s="5165">
        <v>234</v>
      </c>
      <c r="E49" t="s" s="5166">
        <v>235</v>
      </c>
      <c r="F49" t="s" s="5167">
        <v>107</v>
      </c>
      <c r="G49" t="n" s="8713">
        <v>42601.0</v>
      </c>
      <c r="H49" t="s" s="8714">
        <v>0</v>
      </c>
      <c r="I49" t="n" s="5170">
        <v>1320.0</v>
      </c>
      <c r="J49" t="n" s="5171">
        <v>100.0</v>
      </c>
      <c r="K49" t="n" s="5172">
        <v>0.0</v>
      </c>
      <c r="L49" t="n" s="5173">
        <v>2300.0</v>
      </c>
      <c r="M49" t="n" s="5174">
        <v>0.0</v>
      </c>
      <c r="N49" t="n" s="5175">
        <v>10.0</v>
      </c>
      <c r="O49" t="n" s="5176">
        <v>60.0</v>
      </c>
      <c r="P49" t="n" s="5177">
        <v>0.0</v>
      </c>
      <c r="Q49" t="n" s="5178">
        <v>12.0</v>
      </c>
      <c r="R49" t="n" s="5179">
        <v>108.12</v>
      </c>
      <c r="S49" t="n" s="5180">
        <v>8.0</v>
      </c>
      <c r="T49" t="n" s="5181">
        <v>96.16</v>
      </c>
      <c r="U49" t="n" s="5182">
        <v>0.0</v>
      </c>
      <c r="V49" t="n" s="5183">
        <v>0.0</v>
      </c>
      <c r="W49" t="n" s="5184">
        <f>r49+t49+v49</f>
      </c>
      <c r="X49" t="n" s="5185">
        <v>0.0</v>
      </c>
      <c r="Y49" t="n" s="5186">
        <v>0.0</v>
      </c>
      <c r="Z49" t="n" s="5187">
        <v>0.0</v>
      </c>
      <c r="AA49" t="n" s="5188">
        <f>i49+j49+k49+l49+m49+n49+o49+p49+x49+y49+z49</f>
      </c>
      <c r="AB49" t="n" s="5189">
        <v>984.0</v>
      </c>
      <c r="AC49" t="n" s="5190">
        <v>138.1</v>
      </c>
      <c r="AD49" t="n" s="5191">
        <v>15.8</v>
      </c>
      <c r="AE49" t="n" s="5192">
        <v>80.0</v>
      </c>
      <c r="AF49" t="n" s="5193">
        <f>ROUND((aa49+ab49+ac49+ad49+ae49),2)</f>
      </c>
      <c r="AG49" t="n" s="5194">
        <f>af49*0.06</f>
      </c>
      <c r="AH49" t="n" s="5195">
        <f>af49+ag49</f>
      </c>
      <c r="AI49" t="s" s="5196">
        <v>0</v>
      </c>
    </row>
    <row r="50">
      <c r="A50" t="s" s="5197">
        <v>236</v>
      </c>
      <c r="B50" t="s" s="5198">
        <v>237</v>
      </c>
      <c r="C50" t="s" s="5199">
        <v>238</v>
      </c>
      <c r="D50" t="s" s="5200">
        <v>239</v>
      </c>
      <c r="E50" t="s" s="5201">
        <v>240</v>
      </c>
      <c r="F50" t="s" s="5202">
        <v>107</v>
      </c>
      <c r="G50" t="n" s="8715">
        <v>42646.0</v>
      </c>
      <c r="H50" t="n" s="8716">
        <v>43397.0</v>
      </c>
      <c r="I50" t="n" s="5205">
        <v>1240.0</v>
      </c>
      <c r="J50" t="n" s="5206">
        <v>100.0</v>
      </c>
      <c r="K50" t="n" s="5207">
        <v>0.0</v>
      </c>
      <c r="L50" t="n" s="5208">
        <v>1350.0</v>
      </c>
      <c r="M50" t="n" s="5209">
        <v>0.0</v>
      </c>
      <c r="N50" t="n" s="5210">
        <v>24.14</v>
      </c>
      <c r="O50" t="n" s="5211">
        <v>60.0</v>
      </c>
      <c r="P50" t="n" s="5212">
        <v>0.0</v>
      </c>
      <c r="Q50" t="n" s="5213">
        <v>14.0</v>
      </c>
      <c r="R50" t="n" s="5214">
        <v>121.1</v>
      </c>
      <c r="S50" t="n" s="5215">
        <v>16.0</v>
      </c>
      <c r="T50" t="n" s="5216">
        <v>184.64</v>
      </c>
      <c r="U50" t="n" s="5217">
        <v>0.0</v>
      </c>
      <c r="V50" t="n" s="5218">
        <v>0.0</v>
      </c>
      <c r="W50" t="n" s="5219">
        <f>r50+t50+v50</f>
      </c>
      <c r="X50" t="n" s="5220">
        <v>0.0</v>
      </c>
      <c r="Y50" t="n" s="5221">
        <v>0.0</v>
      </c>
      <c r="Z50" t="n" s="5222">
        <v>0.0</v>
      </c>
      <c r="AA50" t="n" s="5223">
        <f>i50+j50+k50+l50+m50+n50+o50+p50+x50+y50+z50</f>
      </c>
      <c r="AB50" t="n" s="5224">
        <v>718.0</v>
      </c>
      <c r="AC50" t="n" s="5225">
        <v>106.9</v>
      </c>
      <c r="AD50" t="n" s="5226">
        <v>12.2</v>
      </c>
      <c r="AE50" t="n" s="5227">
        <v>80.0</v>
      </c>
      <c r="AF50" t="n" s="5228">
        <f>ROUND((aa50+ab50+ac50+ad50+ae50),2)</f>
      </c>
      <c r="AG50" t="n" s="5229">
        <f>af50*0.06</f>
      </c>
      <c r="AH50" t="n" s="5230">
        <f>af50+ag50</f>
      </c>
      <c r="AI50" t="s" s="5231">
        <v>0</v>
      </c>
    </row>
    <row r="51">
      <c r="A51" t="s" s="5232">
        <v>241</v>
      </c>
      <c r="B51" t="s" s="5233">
        <v>242</v>
      </c>
      <c r="C51" t="s" s="5234">
        <v>243</v>
      </c>
      <c r="D51" t="s" s="5235">
        <v>244</v>
      </c>
      <c r="E51" t="s" s="5236">
        <v>245</v>
      </c>
      <c r="F51" t="s" s="5237">
        <v>107</v>
      </c>
      <c r="G51" t="n" s="8717">
        <v>42656.0</v>
      </c>
      <c r="H51" t="s" s="8718">
        <v>0</v>
      </c>
      <c r="I51" t="n" s="5240">
        <v>1260.0</v>
      </c>
      <c r="J51" t="n" s="5241">
        <v>100.0</v>
      </c>
      <c r="K51" t="n" s="5242">
        <v>0.0</v>
      </c>
      <c r="L51" t="n" s="5243">
        <v>2300.0</v>
      </c>
      <c r="M51" t="n" s="5244">
        <v>0.0</v>
      </c>
      <c r="N51" t="n" s="5245">
        <v>10.0</v>
      </c>
      <c r="O51" t="n" s="5246">
        <v>60.0</v>
      </c>
      <c r="P51" t="n" s="5247">
        <v>0.0</v>
      </c>
      <c r="Q51" t="n" s="5248">
        <v>0.0</v>
      </c>
      <c r="R51" t="n" s="5249">
        <v>0.0</v>
      </c>
      <c r="S51" t="n" s="5250">
        <v>8.0</v>
      </c>
      <c r="T51" t="n" s="5251">
        <v>92.32</v>
      </c>
      <c r="U51" t="n" s="5252">
        <v>0.0</v>
      </c>
      <c r="V51" t="n" s="5253">
        <v>0.0</v>
      </c>
      <c r="W51" t="n" s="5254">
        <f>r51+t51+v51</f>
      </c>
      <c r="X51" t="n" s="5255">
        <v>0.0</v>
      </c>
      <c r="Y51" t="n" s="5256">
        <v>0.0</v>
      </c>
      <c r="Z51" t="n" s="5257">
        <v>0.0</v>
      </c>
      <c r="AA51" t="n" s="5258">
        <f>i51+j51+k51+l51+m51+n51+o51+p51+x51+y51+z51</f>
      </c>
      <c r="AB51" t="n" s="5259">
        <v>1108.0</v>
      </c>
      <c r="AC51" t="n" s="5260">
        <v>138.1</v>
      </c>
      <c r="AD51" t="n" s="5261">
        <v>15.8</v>
      </c>
      <c r="AE51" t="n" s="5262">
        <v>80.0</v>
      </c>
      <c r="AF51" t="n" s="5263">
        <f>ROUND((aa51+ab51+ac51+ad51+ae51),2)</f>
      </c>
      <c r="AG51" t="n" s="5264">
        <f>af51*0.06</f>
      </c>
      <c r="AH51" t="n" s="5265">
        <f>af51+ag51</f>
      </c>
      <c r="AI51" t="s" s="5266">
        <v>0</v>
      </c>
    </row>
    <row r="52">
      <c r="A52" t="s" s="5267">
        <v>246</v>
      </c>
      <c r="B52" t="s" s="5268">
        <v>247</v>
      </c>
      <c r="C52" t="s" s="5269">
        <v>248</v>
      </c>
      <c r="D52" t="s" s="5270">
        <v>249</v>
      </c>
      <c r="E52" t="s" s="5271">
        <v>250</v>
      </c>
      <c r="F52" t="s" s="5272">
        <v>107</v>
      </c>
      <c r="G52" t="n" s="8719">
        <v>42678.0</v>
      </c>
      <c r="H52" t="s" s="8720">
        <v>0</v>
      </c>
      <c r="I52" t="n" s="5275">
        <v>1340.0</v>
      </c>
      <c r="J52" t="n" s="5276">
        <v>100.0</v>
      </c>
      <c r="K52" t="n" s="5277">
        <v>0.0</v>
      </c>
      <c r="L52" t="n" s="5278">
        <v>1940.0</v>
      </c>
      <c r="M52" t="n" s="5279">
        <v>0.0</v>
      </c>
      <c r="N52" t="n" s="5280">
        <v>21.0</v>
      </c>
      <c r="O52" t="n" s="5281">
        <v>60.0</v>
      </c>
      <c r="P52" t="n" s="5282">
        <v>0.0</v>
      </c>
      <c r="Q52" t="n" s="5283">
        <v>11.0</v>
      </c>
      <c r="R52" t="n" s="5284">
        <v>103.18</v>
      </c>
      <c r="S52" t="n" s="5285">
        <v>8.0</v>
      </c>
      <c r="T52" t="n" s="5286">
        <v>100.0</v>
      </c>
      <c r="U52" t="n" s="5287">
        <v>0.0</v>
      </c>
      <c r="V52" t="n" s="5288">
        <v>0.0</v>
      </c>
      <c r="W52" t="n" s="5289">
        <f>r52+t52+v52</f>
      </c>
      <c r="X52" t="n" s="5290">
        <v>0.0</v>
      </c>
      <c r="Y52" t="n" s="5291">
        <v>0.0</v>
      </c>
      <c r="Z52" t="n" s="5292">
        <v>0.0</v>
      </c>
      <c r="AA52" t="n" s="5293">
        <f>i52+j52+k52+l52+m52+n52+o52+p52+x52+y52+z52</f>
      </c>
      <c r="AB52" t="n" s="5294">
        <v>896.0</v>
      </c>
      <c r="AC52" t="n" s="5295">
        <v>127.7</v>
      </c>
      <c r="AD52" t="n" s="5296">
        <v>14.6</v>
      </c>
      <c r="AE52" t="n" s="5297">
        <v>80.0</v>
      </c>
      <c r="AF52" t="n" s="5298">
        <f>ROUND((aa52+ab52+ac52+ad52+ae52),2)</f>
      </c>
      <c r="AG52" t="n" s="5299">
        <f>af52*0.06</f>
      </c>
      <c r="AH52" t="n" s="5300">
        <f>af52+ag52</f>
      </c>
      <c r="AI52" t="s" s="5301">
        <v>0</v>
      </c>
    </row>
    <row r="53">
      <c r="A53" t="s" s="5302">
        <v>251</v>
      </c>
      <c r="B53" t="s" s="5303">
        <v>252</v>
      </c>
      <c r="C53" t="s" s="5304">
        <v>253</v>
      </c>
      <c r="D53" t="s" s="5305">
        <v>254</v>
      </c>
      <c r="E53" t="s" s="5306">
        <v>255</v>
      </c>
      <c r="F53" t="s" s="5307">
        <v>256</v>
      </c>
      <c r="G53" t="n" s="8721">
        <v>41944.0</v>
      </c>
      <c r="H53" t="s" s="8722">
        <v>0</v>
      </c>
      <c r="I53" t="n" s="5310">
        <v>1300.0</v>
      </c>
      <c r="J53" t="n" s="5311">
        <v>100.0</v>
      </c>
      <c r="K53" t="n" s="5312">
        <v>0.0</v>
      </c>
      <c r="L53" t="n" s="5313">
        <v>20.0</v>
      </c>
      <c r="M53" t="n" s="5314">
        <v>0.0</v>
      </c>
      <c r="N53" t="n" s="5315">
        <v>10.0</v>
      </c>
      <c r="O53" t="n" s="5316">
        <v>60.0</v>
      </c>
      <c r="P53" t="n" s="5317">
        <v>0.0</v>
      </c>
      <c r="Q53" t="n" s="5318">
        <v>0.0</v>
      </c>
      <c r="R53" t="n" s="5319">
        <v>0.0</v>
      </c>
      <c r="S53" t="n" s="5320">
        <v>8.0</v>
      </c>
      <c r="T53" t="n" s="5321">
        <v>93.04</v>
      </c>
      <c r="U53" t="n" s="5322">
        <v>0.0</v>
      </c>
      <c r="V53" t="n" s="5323">
        <v>0.0</v>
      </c>
      <c r="W53" t="n" s="5324">
        <f>r53+t53+v53</f>
      </c>
      <c r="X53" t="n" s="5325">
        <v>0.0</v>
      </c>
      <c r="Y53" t="n" s="5326">
        <v>0.0</v>
      </c>
      <c r="Z53" t="n" s="5327">
        <v>0.0</v>
      </c>
      <c r="AA53" t="n" s="5328">
        <f>i53+j53+k53+l53+m53+n53+o53+p53+x53+y53+z53</f>
      </c>
      <c r="AB53" t="n" s="5329">
        <v>386.0</v>
      </c>
      <c r="AC53" t="n" s="5330">
        <v>54.3</v>
      </c>
      <c r="AD53" t="n" s="5331">
        <v>6.2</v>
      </c>
      <c r="AE53" t="n" s="5332">
        <v>80.0</v>
      </c>
      <c r="AF53" t="n" s="5333">
        <f>ROUND((aa53+ab53+ac53+ad53+ae53),2)</f>
      </c>
      <c r="AG53" t="n" s="5334">
        <f>af53*0.06</f>
      </c>
      <c r="AH53" t="n" s="5335">
        <f>af53+ag53</f>
      </c>
      <c r="AI53" t="s" s="5336">
        <v>0</v>
      </c>
    </row>
    <row r="54">
      <c r="A54" t="s" s="5337">
        <v>257</v>
      </c>
      <c r="B54" t="s" s="5338">
        <v>258</v>
      </c>
      <c r="C54" t="s" s="5339">
        <v>259</v>
      </c>
      <c r="D54" t="s" s="5340">
        <v>260</v>
      </c>
      <c r="E54" t="s" s="5341">
        <v>261</v>
      </c>
      <c r="F54" t="s" s="5342">
        <v>256</v>
      </c>
      <c r="G54" t="n" s="8723">
        <v>41944.0</v>
      </c>
      <c r="H54" t="s" s="8724">
        <v>0</v>
      </c>
      <c r="I54" t="n" s="5345">
        <v>1990.0</v>
      </c>
      <c r="J54" t="n" s="5346">
        <v>100.0</v>
      </c>
      <c r="K54" t="n" s="5347">
        <v>0.0</v>
      </c>
      <c r="L54" t="n" s="5348">
        <v>1120.0</v>
      </c>
      <c r="M54" t="n" s="5349">
        <v>0.0</v>
      </c>
      <c r="N54" t="n" s="5350">
        <v>14.5</v>
      </c>
      <c r="O54" t="n" s="5351">
        <v>60.0</v>
      </c>
      <c r="P54" t="n" s="5352">
        <v>0.0</v>
      </c>
      <c r="Q54" t="n" s="5353">
        <v>8.0</v>
      </c>
      <c r="R54" t="n" s="5354">
        <v>107.92</v>
      </c>
      <c r="S54" t="n" s="5355">
        <v>8.0</v>
      </c>
      <c r="T54" t="n" s="5356">
        <v>143.84</v>
      </c>
      <c r="U54" t="n" s="5357">
        <v>3.0</v>
      </c>
      <c r="V54" t="n" s="5358">
        <v>80.91</v>
      </c>
      <c r="W54" t="n" s="5359">
        <f>r54+t54+v54</f>
      </c>
      <c r="X54" t="n" s="5360">
        <v>0.0</v>
      </c>
      <c r="Y54" t="n" s="5361">
        <v>0.0</v>
      </c>
      <c r="Z54" t="n" s="5362">
        <v>0.0</v>
      </c>
      <c r="AA54" t="n" s="5363">
        <f>i54+j54+k54+l54+m54+n54+o54+p54+x54+y54+z54</f>
      </c>
      <c r="AB54" t="n" s="5364">
        <v>430.0</v>
      </c>
      <c r="AC54" t="n" s="5365">
        <v>88.8</v>
      </c>
      <c r="AD54" t="n" s="5366">
        <v>0.0</v>
      </c>
      <c r="AE54" t="n" s="5367">
        <v>80.0</v>
      </c>
      <c r="AF54" t="n" s="5368">
        <f>ROUND((aa54+ab54+ac54+ad54+ae54),2)</f>
      </c>
      <c r="AG54" t="n" s="5369">
        <f>af54*0.06</f>
      </c>
      <c r="AH54" t="n" s="5370">
        <f>af54+ag54</f>
      </c>
      <c r="AI54" t="s" s="5371">
        <v>0</v>
      </c>
    </row>
    <row r="55">
      <c r="A55" t="s" s="5372">
        <v>262</v>
      </c>
      <c r="B55" t="s" s="5373">
        <v>263</v>
      </c>
      <c r="C55" t="s" s="5374">
        <v>264</v>
      </c>
      <c r="D55" t="s" s="5375">
        <v>265</v>
      </c>
      <c r="E55" t="s" s="5376">
        <v>266</v>
      </c>
      <c r="F55" t="s" s="5377">
        <v>256</v>
      </c>
      <c r="G55" t="n" s="8725">
        <v>41944.0</v>
      </c>
      <c r="H55" t="n" s="8726">
        <v>43220.0</v>
      </c>
      <c r="I55" t="n" s="5380">
        <v>1320.0</v>
      </c>
      <c r="J55" t="n" s="5381">
        <v>100.0</v>
      </c>
      <c r="K55" t="n" s="5382">
        <v>0.0</v>
      </c>
      <c r="L55" t="n" s="5383">
        <v>1312.0</v>
      </c>
      <c r="M55" t="n" s="5384">
        <v>0.0</v>
      </c>
      <c r="N55" t="n" s="5385">
        <v>22.18</v>
      </c>
      <c r="O55" t="n" s="5386">
        <v>60.0</v>
      </c>
      <c r="P55" t="n" s="5387">
        <v>0.0</v>
      </c>
      <c r="Q55" t="n" s="5388">
        <v>9.0</v>
      </c>
      <c r="R55" t="n" s="5389">
        <v>80.46</v>
      </c>
      <c r="S55" t="n" s="5390">
        <v>8.0</v>
      </c>
      <c r="T55" t="n" s="5391">
        <v>95.36</v>
      </c>
      <c r="U55" t="n" s="5392">
        <v>0.0</v>
      </c>
      <c r="V55" t="n" s="5393">
        <v>0.0</v>
      </c>
      <c r="W55" t="n" s="5394">
        <f>r55+t55+v55</f>
      </c>
      <c r="X55" t="n" s="5395">
        <v>0.0</v>
      </c>
      <c r="Y55" t="n" s="5396">
        <v>0.0</v>
      </c>
      <c r="Z55" t="n" s="5397">
        <v>0.0</v>
      </c>
      <c r="AA55" t="n" s="5398">
        <f>i55+j55+k55+l55+m55+n55+o55+p55+x55+y55+z55</f>
      </c>
      <c r="AB55" t="n" s="5399">
        <v>728.0</v>
      </c>
      <c r="AC55" t="n" s="5400">
        <v>103.3</v>
      </c>
      <c r="AD55" t="n" s="5401">
        <v>11.8</v>
      </c>
      <c r="AE55" t="n" s="5402">
        <v>80.0</v>
      </c>
      <c r="AF55" t="n" s="5403">
        <f>ROUND((aa55+ab55+ac55+ad55+ae55),2)</f>
      </c>
      <c r="AG55" t="n" s="5404">
        <f>af55*0.06</f>
      </c>
      <c r="AH55" t="n" s="5405">
        <f>af55+ag55</f>
      </c>
      <c r="AI55" t="s" s="5406">
        <v>0</v>
      </c>
    </row>
    <row r="56">
      <c r="A56" t="s" s="5407">
        <v>267</v>
      </c>
      <c r="B56" t="s" s="5408">
        <v>268</v>
      </c>
      <c r="C56" t="s" s="5409">
        <v>269</v>
      </c>
      <c r="D56" t="s" s="5410">
        <v>270</v>
      </c>
      <c r="E56" t="s" s="5411">
        <v>271</v>
      </c>
      <c r="F56" t="s" s="5412">
        <v>256</v>
      </c>
      <c r="G56" t="n" s="8727">
        <v>41944.0</v>
      </c>
      <c r="H56" t="s" s="8728">
        <v>0</v>
      </c>
      <c r="I56" t="n" s="5415">
        <v>1280.0</v>
      </c>
      <c r="J56" t="n" s="5416">
        <v>100.0</v>
      </c>
      <c r="K56" t="n" s="5417">
        <v>0.0</v>
      </c>
      <c r="L56" t="n" s="5418">
        <v>536.0</v>
      </c>
      <c r="M56" t="n" s="5419">
        <v>0.0</v>
      </c>
      <c r="N56" t="n" s="5420">
        <v>10.0</v>
      </c>
      <c r="O56" t="n" s="5421">
        <v>60.0</v>
      </c>
      <c r="P56" t="n" s="5422">
        <v>0.0</v>
      </c>
      <c r="Q56" t="n" s="5423">
        <v>0.0</v>
      </c>
      <c r="R56" t="n" s="5424">
        <v>0.0</v>
      </c>
      <c r="S56" t="n" s="5425">
        <v>8.0</v>
      </c>
      <c r="T56" t="n" s="5426">
        <v>92.32</v>
      </c>
      <c r="U56" t="n" s="5427">
        <v>0.0</v>
      </c>
      <c r="V56" t="n" s="5428">
        <v>0.0</v>
      </c>
      <c r="W56" t="n" s="5429">
        <f>r56+t56+v56</f>
      </c>
      <c r="X56" t="n" s="5430">
        <v>0.0</v>
      </c>
      <c r="Y56" t="n" s="5431">
        <v>0.0</v>
      </c>
      <c r="Z56" t="n" s="5432">
        <v>0.0</v>
      </c>
      <c r="AA56" t="n" s="5433">
        <f>i56+j56+k56+l56+m56+n56+o56+p56+x56+y56+z56</f>
      </c>
      <c r="AB56" t="n" s="5434">
        <v>516.0</v>
      </c>
      <c r="AC56" t="n" s="5435">
        <v>71.7</v>
      </c>
      <c r="AD56" t="n" s="5436">
        <v>8.2</v>
      </c>
      <c r="AE56" t="n" s="5437">
        <v>80.0</v>
      </c>
      <c r="AF56" t="n" s="5438">
        <f>ROUND((aa56+ab56+ac56+ad56+ae56),2)</f>
      </c>
      <c r="AG56" t="n" s="5439">
        <f>af56*0.06</f>
      </c>
      <c r="AH56" t="n" s="5440">
        <f>af56+ag56</f>
      </c>
      <c r="AI56" t="s" s="5441">
        <v>0</v>
      </c>
    </row>
    <row r="57">
      <c r="A57" t="s" s="5442">
        <v>272</v>
      </c>
      <c r="B57" t="s" s="5443">
        <v>273</v>
      </c>
      <c r="C57" t="s" s="5444">
        <v>274</v>
      </c>
      <c r="D57" t="s" s="5445">
        <v>275</v>
      </c>
      <c r="E57" t="s" s="5446">
        <v>276</v>
      </c>
      <c r="F57" t="s" s="5447">
        <v>256</v>
      </c>
      <c r="G57" t="n" s="8729">
        <v>41944.0</v>
      </c>
      <c r="H57" t="s" s="8730">
        <v>0</v>
      </c>
      <c r="I57" t="n" s="5450">
        <v>1280.0</v>
      </c>
      <c r="J57" t="n" s="5451">
        <v>100.0</v>
      </c>
      <c r="K57" t="n" s="5452">
        <v>0.0</v>
      </c>
      <c r="L57" t="n" s="5453">
        <v>1850.0</v>
      </c>
      <c r="M57" t="n" s="5454">
        <v>0.0</v>
      </c>
      <c r="N57" t="n" s="5455">
        <v>18.0</v>
      </c>
      <c r="O57" t="n" s="5456">
        <v>60.0</v>
      </c>
      <c r="P57" t="n" s="5457">
        <v>0.0</v>
      </c>
      <c r="Q57" t="n" s="5458">
        <v>0.0</v>
      </c>
      <c r="R57" t="n" s="5459">
        <v>0.0</v>
      </c>
      <c r="S57" t="n" s="5460">
        <v>8.0</v>
      </c>
      <c r="T57" t="n" s="5461">
        <v>92.32</v>
      </c>
      <c r="U57" t="n" s="5462">
        <v>0.0</v>
      </c>
      <c r="V57" t="n" s="5463">
        <v>0.0</v>
      </c>
      <c r="W57" t="n" s="5464">
        <f>r57+t57+v57</f>
      </c>
      <c r="X57" t="n" s="5465">
        <v>0.0</v>
      </c>
      <c r="Y57" t="n" s="5466">
        <v>0.0</v>
      </c>
      <c r="Z57" t="n" s="5467">
        <v>0.0</v>
      </c>
      <c r="AA57" t="n" s="5468">
        <f>i57+j57+k57+l57+m57+n57+o57+p57+x57+y57+z57</f>
      </c>
      <c r="AB57" t="n" s="5469">
        <v>858.0</v>
      </c>
      <c r="AC57" t="n" s="5470">
        <v>117.3</v>
      </c>
      <c r="AD57" t="n" s="5471">
        <v>13.4</v>
      </c>
      <c r="AE57" t="n" s="5472">
        <v>80.0</v>
      </c>
      <c r="AF57" t="n" s="5473">
        <f>ROUND((aa57+ab57+ac57+ad57+ae57),2)</f>
      </c>
      <c r="AG57" t="n" s="5474">
        <f>af57*0.06</f>
      </c>
      <c r="AH57" t="n" s="5475">
        <f>af57+ag57</f>
      </c>
      <c r="AI57" t="s" s="5476">
        <v>0</v>
      </c>
    </row>
    <row r="58">
      <c r="A58" t="s" s="5477">
        <v>277</v>
      </c>
      <c r="B58" t="s" s="5478">
        <v>278</v>
      </c>
      <c r="C58" t="s" s="5479">
        <v>279</v>
      </c>
      <c r="D58" t="s" s="5480">
        <v>280</v>
      </c>
      <c r="E58" t="s" s="5481">
        <v>281</v>
      </c>
      <c r="F58" t="s" s="5482">
        <v>256</v>
      </c>
      <c r="G58" t="n" s="8731">
        <v>41944.0</v>
      </c>
      <c r="H58" t="s" s="8732">
        <v>0</v>
      </c>
      <c r="I58" t="n" s="5485">
        <v>1280.0</v>
      </c>
      <c r="J58" t="n" s="5486">
        <v>100.0</v>
      </c>
      <c r="K58" t="n" s="5487">
        <v>0.0</v>
      </c>
      <c r="L58" t="n" s="5488">
        <v>1920.0</v>
      </c>
      <c r="M58" t="n" s="5489">
        <v>0.0</v>
      </c>
      <c r="N58" t="n" s="5490">
        <v>10.0</v>
      </c>
      <c r="O58" t="n" s="5491">
        <v>60.0</v>
      </c>
      <c r="P58" t="n" s="5492">
        <v>0.0</v>
      </c>
      <c r="Q58" t="n" s="5493">
        <v>1.0</v>
      </c>
      <c r="R58" t="n" s="5494">
        <v>8.65</v>
      </c>
      <c r="S58" t="n" s="5495">
        <v>8.0</v>
      </c>
      <c r="T58" t="n" s="5496">
        <v>92.32</v>
      </c>
      <c r="U58" t="n" s="5497">
        <v>3.0</v>
      </c>
      <c r="V58" t="n" s="5498">
        <v>51.93</v>
      </c>
      <c r="W58" t="n" s="5499">
        <f>r58+t58+v58</f>
      </c>
      <c r="X58" t="n" s="5500">
        <v>0.0</v>
      </c>
      <c r="Y58" t="n" s="5501">
        <v>0.0</v>
      </c>
      <c r="Z58" t="n" s="5502">
        <v>0.0</v>
      </c>
      <c r="AA58" t="n" s="5503">
        <f>i58+j58+k58+l58+m58+n58+o58+p58+x58+y58+z58</f>
      </c>
      <c r="AB58" t="n" s="5504">
        <v>874.0</v>
      </c>
      <c r="AC58" t="n" s="5505">
        <v>124.3</v>
      </c>
      <c r="AD58" t="n" s="5506">
        <v>14.2</v>
      </c>
      <c r="AE58" t="n" s="5507">
        <v>80.0</v>
      </c>
      <c r="AF58" t="n" s="5508">
        <f>ROUND((aa58+ab58+ac58+ad58+ae58),2)</f>
      </c>
      <c r="AG58" t="n" s="5509">
        <f>af58*0.06</f>
      </c>
      <c r="AH58" t="n" s="5510">
        <f>af58+ag58</f>
      </c>
      <c r="AI58" t="s" s="5511">
        <v>0</v>
      </c>
    </row>
    <row r="59">
      <c r="A59" t="s" s="5512">
        <v>282</v>
      </c>
      <c r="B59" t="s" s="5513">
        <v>283</v>
      </c>
      <c r="C59" t="s" s="5514">
        <v>284</v>
      </c>
      <c r="D59" t="s" s="5515">
        <v>285</v>
      </c>
      <c r="E59" t="s" s="5516">
        <v>286</v>
      </c>
      <c r="F59" t="s" s="5517">
        <v>256</v>
      </c>
      <c r="G59" t="n" s="8733">
        <v>41944.0</v>
      </c>
      <c r="H59" t="s" s="8734">
        <v>0</v>
      </c>
      <c r="I59" t="n" s="5520">
        <v>1320.0</v>
      </c>
      <c r="J59" t="n" s="5521">
        <v>100.0</v>
      </c>
      <c r="K59" t="n" s="5522">
        <v>0.0</v>
      </c>
      <c r="L59" t="n" s="5523">
        <v>1766.0</v>
      </c>
      <c r="M59" t="n" s="5524">
        <v>0.0</v>
      </c>
      <c r="N59" t="n" s="5525">
        <v>10.0</v>
      </c>
      <c r="O59" t="n" s="5526">
        <v>60.0</v>
      </c>
      <c r="P59" t="n" s="5527">
        <v>0.0</v>
      </c>
      <c r="Q59" t="n" s="5528">
        <v>0.0</v>
      </c>
      <c r="R59" t="n" s="5529">
        <v>0.0</v>
      </c>
      <c r="S59" t="n" s="5530">
        <v>8.0</v>
      </c>
      <c r="T59" t="n" s="5531">
        <v>96.96</v>
      </c>
      <c r="U59" t="n" s="5532">
        <v>0.0</v>
      </c>
      <c r="V59" t="n" s="5533">
        <v>0.0</v>
      </c>
      <c r="W59" t="n" s="5534">
        <f>r59+t59+v59</f>
      </c>
      <c r="X59" t="n" s="5535">
        <v>0.0</v>
      </c>
      <c r="Y59" t="n" s="5536">
        <v>0.0</v>
      </c>
      <c r="Z59" t="n" s="5537">
        <v>0.0</v>
      </c>
      <c r="AA59" t="n" s="5538">
        <f>i59+j59+k59+l59+m59+n59+o59+p59+x59+y59+z59</f>
      </c>
      <c r="AB59" t="n" s="5539">
        <v>848.0</v>
      </c>
      <c r="AC59" t="n" s="5540">
        <v>117.1</v>
      </c>
      <c r="AD59" t="n" s="5541">
        <v>13.4</v>
      </c>
      <c r="AE59" t="n" s="5542">
        <v>80.0</v>
      </c>
      <c r="AF59" t="n" s="5543">
        <f>ROUND((aa59+ab59+ac59+ad59+ae59),2)</f>
      </c>
      <c r="AG59" t="n" s="5544">
        <f>af59*0.06</f>
      </c>
      <c r="AH59" t="n" s="5545">
        <f>af59+ag59</f>
      </c>
      <c r="AI59" t="s" s="5546">
        <v>0</v>
      </c>
    </row>
    <row r="60">
      <c r="A60" t="s" s="5547">
        <v>287</v>
      </c>
      <c r="B60" t="s" s="5548">
        <v>288</v>
      </c>
      <c r="C60" t="s" s="5549">
        <v>289</v>
      </c>
      <c r="D60" t="s" s="5550">
        <v>290</v>
      </c>
      <c r="E60" t="s" s="5551">
        <v>291</v>
      </c>
      <c r="F60" t="s" s="5552">
        <v>256</v>
      </c>
      <c r="G60" t="n" s="8735">
        <v>41944.0</v>
      </c>
      <c r="H60" t="s" s="8736">
        <v>0</v>
      </c>
      <c r="I60" t="n" s="5555">
        <v>1460.0</v>
      </c>
      <c r="J60" t="n" s="5556">
        <v>100.0</v>
      </c>
      <c r="K60" t="n" s="5557">
        <v>0.0</v>
      </c>
      <c r="L60" t="n" s="5558">
        <v>652.0</v>
      </c>
      <c r="M60" t="n" s="5559">
        <v>0.0</v>
      </c>
      <c r="N60" t="n" s="5560">
        <v>10.0</v>
      </c>
      <c r="O60" t="n" s="5561">
        <v>60.0</v>
      </c>
      <c r="P60" t="n" s="5562">
        <v>0.0</v>
      </c>
      <c r="Q60" t="n" s="5563">
        <v>0.0</v>
      </c>
      <c r="R60" t="n" s="5564">
        <v>0.0</v>
      </c>
      <c r="S60" t="n" s="5565">
        <v>8.0</v>
      </c>
      <c r="T60" t="n" s="5566">
        <v>105.36</v>
      </c>
      <c r="U60" t="n" s="5567">
        <v>0.0</v>
      </c>
      <c r="V60" t="n" s="5568">
        <v>0.0</v>
      </c>
      <c r="W60" t="n" s="5569">
        <f>r60+t60+v60</f>
      </c>
      <c r="X60" t="n" s="5570">
        <v>0.0</v>
      </c>
      <c r="Y60" t="n" s="5571">
        <v>0.0</v>
      </c>
      <c r="Z60" t="n" s="5572">
        <v>0.0</v>
      </c>
      <c r="AA60" t="n" s="5573">
        <f>i60+j60+k60+l60+m60+n60+o60+p60+x60+y60+z60</f>
      </c>
      <c r="AB60" t="n" s="5574">
        <v>594.0</v>
      </c>
      <c r="AC60" t="n" s="5575">
        <v>82.3</v>
      </c>
      <c r="AD60" t="n" s="5576">
        <v>9.4</v>
      </c>
      <c r="AE60" t="n" s="5577">
        <v>80.0</v>
      </c>
      <c r="AF60" t="n" s="5578">
        <f>ROUND((aa60+ab60+ac60+ad60+ae60),2)</f>
      </c>
      <c r="AG60" t="n" s="5579">
        <f>af60*0.06</f>
      </c>
      <c r="AH60" t="n" s="5580">
        <f>af60+ag60</f>
      </c>
      <c r="AI60" t="s" s="5581">
        <v>0</v>
      </c>
    </row>
    <row r="61">
      <c r="A61" t="s" s="5582">
        <v>292</v>
      </c>
      <c r="B61" t="s" s="5583">
        <v>293</v>
      </c>
      <c r="C61" t="s" s="5584">
        <v>294</v>
      </c>
      <c r="D61" t="s" s="5585">
        <v>295</v>
      </c>
      <c r="E61" t="s" s="5586">
        <v>296</v>
      </c>
      <c r="F61" t="s" s="5587">
        <v>256</v>
      </c>
      <c r="G61" t="n" s="8737">
        <v>41944.0</v>
      </c>
      <c r="H61" t="s" s="8738">
        <v>0</v>
      </c>
      <c r="I61" t="n" s="5590">
        <v>1370.0</v>
      </c>
      <c r="J61" t="n" s="5591">
        <v>100.0</v>
      </c>
      <c r="K61" t="n" s="5592">
        <v>0.0</v>
      </c>
      <c r="L61" t="n" s="5593">
        <v>154.0</v>
      </c>
      <c r="M61" t="n" s="5594">
        <v>0.0</v>
      </c>
      <c r="N61" t="n" s="5595">
        <v>10.0</v>
      </c>
      <c r="O61" t="n" s="5596">
        <v>60.0</v>
      </c>
      <c r="P61" t="n" s="5597">
        <v>0.0</v>
      </c>
      <c r="Q61" t="n" s="5598">
        <v>2.0</v>
      </c>
      <c r="R61" t="n" s="5599">
        <v>18.6</v>
      </c>
      <c r="S61" t="n" s="5600">
        <v>8.0</v>
      </c>
      <c r="T61" t="n" s="5601">
        <v>99.2</v>
      </c>
      <c r="U61" t="n" s="5602">
        <v>0.0</v>
      </c>
      <c r="V61" t="n" s="5603">
        <v>0.0</v>
      </c>
      <c r="W61" t="n" s="5604">
        <f>r61+t61+v61</f>
      </c>
      <c r="X61" t="n" s="5605">
        <v>0.0</v>
      </c>
      <c r="Y61" t="n" s="5606">
        <v>0.0</v>
      </c>
      <c r="Z61" t="n" s="5607">
        <v>0.0</v>
      </c>
      <c r="AA61" t="n" s="5608">
        <f>i61+j61+k61+l61+m61+n61+o61+p61+x61+y61+z61</f>
      </c>
      <c r="AB61" t="n" s="5609">
        <v>442.0</v>
      </c>
      <c r="AC61" t="n" s="5610">
        <v>64.7</v>
      </c>
      <c r="AD61" t="n" s="5611">
        <v>7.4</v>
      </c>
      <c r="AE61" t="n" s="5612">
        <v>80.0</v>
      </c>
      <c r="AF61" t="n" s="5613">
        <f>ROUND((aa61+ab61+ac61+ad61+ae61),2)</f>
      </c>
      <c r="AG61" t="n" s="5614">
        <f>af61*0.06</f>
      </c>
      <c r="AH61" t="n" s="5615">
        <f>af61+ag61</f>
      </c>
      <c r="AI61" t="s" s="5616">
        <v>0</v>
      </c>
    </row>
    <row r="62">
      <c r="A62" t="s" s="5617">
        <v>297</v>
      </c>
      <c r="B62" t="s" s="5618">
        <v>298</v>
      </c>
      <c r="C62" t="s" s="5619">
        <v>299</v>
      </c>
      <c r="D62" t="s" s="5620">
        <v>300</v>
      </c>
      <c r="E62" t="s" s="5621">
        <v>301</v>
      </c>
      <c r="F62" t="s" s="5622">
        <v>256</v>
      </c>
      <c r="G62" t="n" s="8739">
        <v>42684.0</v>
      </c>
      <c r="H62" t="s" s="8740">
        <v>0</v>
      </c>
      <c r="I62" t="n" s="5625">
        <v>1280.0</v>
      </c>
      <c r="J62" t="n" s="5626">
        <v>100.0</v>
      </c>
      <c r="K62" t="n" s="5627">
        <v>0.0</v>
      </c>
      <c r="L62" t="n" s="5628">
        <v>0.0</v>
      </c>
      <c r="M62" t="n" s="5629">
        <v>0.0</v>
      </c>
      <c r="N62" t="n" s="5630">
        <v>10.0</v>
      </c>
      <c r="O62" t="n" s="5631">
        <v>60.0</v>
      </c>
      <c r="P62" t="n" s="5632">
        <v>0.0</v>
      </c>
      <c r="Q62" t="n" s="5633">
        <v>0.0</v>
      </c>
      <c r="R62" t="n" s="5634">
        <v>0.0</v>
      </c>
      <c r="S62" t="n" s="5635">
        <v>8.0</v>
      </c>
      <c r="T62" t="n" s="5636">
        <v>92.32</v>
      </c>
      <c r="U62" t="n" s="5637">
        <v>0.0</v>
      </c>
      <c r="V62" t="n" s="5638">
        <v>0.0</v>
      </c>
      <c r="W62" t="n" s="5639">
        <f>r62+t62+v62</f>
      </c>
      <c r="X62" t="n" s="5640">
        <v>0.0</v>
      </c>
      <c r="Y62" t="n" s="5641">
        <v>0.0</v>
      </c>
      <c r="Z62" t="n" s="5642">
        <v>0.0</v>
      </c>
      <c r="AA62" t="n" s="5643">
        <f>i62+j62+k62+l62+m62+n62+o62+p62+x62+y62+z62</f>
      </c>
      <c r="AB62" t="n" s="5644">
        <v>376.0</v>
      </c>
      <c r="AC62" t="n" s="5645">
        <v>54.1</v>
      </c>
      <c r="AD62" t="n" s="5646">
        <v>6.2</v>
      </c>
      <c r="AE62" t="n" s="5647">
        <v>80.0</v>
      </c>
      <c r="AF62" t="n" s="5648">
        <f>ROUND((aa62+ab62+ac62+ad62+ae62),2)</f>
      </c>
      <c r="AG62" t="n" s="5649">
        <f>af62*0.06</f>
      </c>
      <c r="AH62" t="n" s="5650">
        <f>af62+ag62</f>
      </c>
      <c r="AI62" t="s" s="5651">
        <v>0</v>
      </c>
    </row>
    <row r="63">
      <c r="A63" t="s" s="5652">
        <v>302</v>
      </c>
      <c r="B63" t="s" s="5653">
        <v>303</v>
      </c>
      <c r="C63" t="s" s="5654">
        <v>304</v>
      </c>
      <c r="D63" t="s" s="5655">
        <v>305</v>
      </c>
      <c r="E63" t="s" s="5656">
        <v>306</v>
      </c>
      <c r="F63" t="s" s="5657">
        <v>256</v>
      </c>
      <c r="G63" t="n" s="8741">
        <v>42733.0</v>
      </c>
      <c r="H63" t="s" s="8742">
        <v>0</v>
      </c>
      <c r="I63" t="n" s="5660">
        <v>1290.0</v>
      </c>
      <c r="J63" t="n" s="5661">
        <v>100.0</v>
      </c>
      <c r="K63" t="n" s="5662">
        <v>0.0</v>
      </c>
      <c r="L63" t="n" s="5663">
        <v>2112.0</v>
      </c>
      <c r="M63" t="n" s="5664">
        <v>0.0</v>
      </c>
      <c r="N63" t="n" s="5665">
        <v>10.0</v>
      </c>
      <c r="O63" t="n" s="5666">
        <v>60.0</v>
      </c>
      <c r="P63" t="n" s="5667">
        <v>0.0</v>
      </c>
      <c r="Q63" t="n" s="5668">
        <v>0.0</v>
      </c>
      <c r="R63" t="n" s="5669">
        <v>0.0</v>
      </c>
      <c r="S63" t="n" s="5670">
        <v>8.0</v>
      </c>
      <c r="T63" t="n" s="5671">
        <v>92.32</v>
      </c>
      <c r="U63" t="n" s="5672">
        <v>0.0</v>
      </c>
      <c r="V63" t="n" s="5673">
        <v>0.0</v>
      </c>
      <c r="W63" t="n" s="5674">
        <f>r63+t63+v63</f>
      </c>
      <c r="X63" t="n" s="5675">
        <v>0.0</v>
      </c>
      <c r="Y63" t="n" s="5676">
        <v>0.0</v>
      </c>
      <c r="Z63" t="n" s="5677">
        <v>0.0</v>
      </c>
      <c r="AA63" t="n" s="5678">
        <f>i63+j63+k63+l63+m63+n63+o63+p63+x63+y63+z63</f>
      </c>
      <c r="AB63" t="n" s="5679">
        <v>932.0</v>
      </c>
      <c r="AC63" t="n" s="5680">
        <v>124.3</v>
      </c>
      <c r="AD63" t="n" s="5681">
        <v>14.2</v>
      </c>
      <c r="AE63" t="n" s="5682">
        <v>80.0</v>
      </c>
      <c r="AF63" t="n" s="5683">
        <f>ROUND((aa63+ab63+ac63+ad63+ae63),2)</f>
      </c>
      <c r="AG63" t="n" s="5684">
        <f>af63*0.06</f>
      </c>
      <c r="AH63" t="n" s="5685">
        <f>af63+ag63</f>
      </c>
      <c r="AI63" t="s" s="5686">
        <v>0</v>
      </c>
    </row>
    <row r="64">
      <c r="A64" t="s" s="5687">
        <v>307</v>
      </c>
      <c r="B64" t="s" s="5688">
        <v>308</v>
      </c>
      <c r="C64" t="s" s="5689">
        <v>309</v>
      </c>
      <c r="D64" t="s" s="5690">
        <v>310</v>
      </c>
      <c r="E64" t="s" s="5691">
        <v>311</v>
      </c>
      <c r="F64" t="s" s="5692">
        <v>256</v>
      </c>
      <c r="G64" t="n" s="8743">
        <v>42767.0</v>
      </c>
      <c r="H64" t="s" s="8744">
        <v>0</v>
      </c>
      <c r="I64" t="n" s="5695">
        <v>1280.0</v>
      </c>
      <c r="J64" t="n" s="5696">
        <v>100.0</v>
      </c>
      <c r="K64" t="n" s="5697">
        <v>0.0</v>
      </c>
      <c r="L64" t="n" s="5698">
        <v>812.0</v>
      </c>
      <c r="M64" t="n" s="5699">
        <v>0.0</v>
      </c>
      <c r="N64" t="n" s="5700">
        <v>14.5</v>
      </c>
      <c r="O64" t="n" s="5701">
        <v>60.0</v>
      </c>
      <c r="P64" t="n" s="5702">
        <v>0.0</v>
      </c>
      <c r="Q64" t="n" s="5703">
        <v>0.0</v>
      </c>
      <c r="R64" t="n" s="5704">
        <v>0.0</v>
      </c>
      <c r="S64" t="n" s="5705">
        <v>8.0</v>
      </c>
      <c r="T64" t="n" s="5706">
        <v>92.32</v>
      </c>
      <c r="U64" t="n" s="5707">
        <v>0.0</v>
      </c>
      <c r="V64" t="n" s="5708">
        <v>0.0</v>
      </c>
      <c r="W64" t="n" s="5709">
        <f>r64+t64+v64</f>
      </c>
      <c r="X64" t="n" s="5710">
        <v>0.0</v>
      </c>
      <c r="Y64" t="n" s="5711">
        <v>0.0</v>
      </c>
      <c r="Z64" t="n" s="5712">
        <v>0.0</v>
      </c>
      <c r="AA64" t="n" s="5713">
        <f>i64+j64+k64+l64+m64+n64+o64+p64+x64+y64+z64</f>
      </c>
      <c r="AB64" t="n" s="5714">
        <v>588.0</v>
      </c>
      <c r="AC64" t="n" s="5715">
        <v>82.1</v>
      </c>
      <c r="AD64" t="n" s="5716">
        <v>9.4</v>
      </c>
      <c r="AE64" t="n" s="5717">
        <v>80.0</v>
      </c>
      <c r="AF64" t="n" s="5718">
        <f>ROUND((aa64+ab64+ac64+ad64+ae64),2)</f>
      </c>
      <c r="AG64" t="n" s="5719">
        <f>af64*0.06</f>
      </c>
      <c r="AH64" t="n" s="5720">
        <f>af64+ag64</f>
      </c>
      <c r="AI64" t="s" s="5721">
        <v>0</v>
      </c>
    </row>
    <row r="65">
      <c r="A65" t="s" s="5722">
        <v>312</v>
      </c>
      <c r="B65" t="s" s="5723">
        <v>0</v>
      </c>
      <c r="C65" t="s" s="5724">
        <v>313</v>
      </c>
      <c r="D65" t="s" s="5725">
        <v>314</v>
      </c>
      <c r="E65" t="s" s="5726">
        <v>315</v>
      </c>
      <c r="F65" t="s" s="5727">
        <v>256</v>
      </c>
      <c r="G65" t="n" s="8745">
        <v>42990.0</v>
      </c>
      <c r="H65" t="s" s="8746">
        <v>0</v>
      </c>
      <c r="I65" t="n" s="5730">
        <v>1200.0</v>
      </c>
      <c r="J65" t="n" s="5731">
        <v>100.0</v>
      </c>
      <c r="K65" t="n" s="5732">
        <v>0.0</v>
      </c>
      <c r="L65" t="n" s="5733">
        <v>150.0</v>
      </c>
      <c r="M65" t="n" s="5734">
        <v>0.0</v>
      </c>
      <c r="N65" t="n" s="5735">
        <v>10.0</v>
      </c>
      <c r="O65" t="n" s="5736">
        <v>60.0</v>
      </c>
      <c r="P65" t="n" s="5737">
        <v>0.0</v>
      </c>
      <c r="Q65" t="n" s="5738">
        <v>0.0</v>
      </c>
      <c r="R65" t="n" s="5739">
        <v>0.0</v>
      </c>
      <c r="S65" t="n" s="5740">
        <v>8.0</v>
      </c>
      <c r="T65" t="n" s="5741">
        <v>92.32</v>
      </c>
      <c r="U65" t="n" s="5742">
        <v>0.0</v>
      </c>
      <c r="V65" t="n" s="5743">
        <v>0.0</v>
      </c>
      <c r="W65" t="n" s="5744">
        <f>r65+t65+v65</f>
      </c>
      <c r="X65" t="n" s="5745">
        <v>0.0</v>
      </c>
      <c r="Y65" t="n" s="5746">
        <v>0.0</v>
      </c>
      <c r="Z65" t="n" s="5747">
        <v>0.0</v>
      </c>
      <c r="AA65" t="n" s="5748">
        <f>i65+j65+k65+l65+m65+n65+o65+p65+x65+y65+z65</f>
      </c>
      <c r="AB65" t="n" s="5749">
        <v>198.0</v>
      </c>
      <c r="AC65" t="n" s="5750">
        <v>28.85</v>
      </c>
      <c r="AD65" t="n" s="5751">
        <v>3.3</v>
      </c>
      <c r="AE65" t="n" s="5752">
        <v>80.0</v>
      </c>
      <c r="AF65" t="n" s="5753">
        <f>ROUND((aa65+ab65+ac65+ad65+ae65),2)</f>
      </c>
      <c r="AG65" t="n" s="5754">
        <f>af65*0.06</f>
      </c>
      <c r="AH65" t="n" s="5755">
        <f>af65+ag65</f>
      </c>
      <c r="AI65" t="s" s="5756">
        <v>0</v>
      </c>
    </row>
    <row r="66">
      <c r="A66" t="s" s="5757">
        <v>316</v>
      </c>
      <c r="B66" t="s" s="5758">
        <v>317</v>
      </c>
      <c r="C66" t="s" s="5759">
        <v>318</v>
      </c>
      <c r="D66" t="s" s="5760">
        <v>319</v>
      </c>
      <c r="E66" t="s" s="5761">
        <v>320</v>
      </c>
      <c r="F66" t="s" s="5762">
        <v>321</v>
      </c>
      <c r="G66" t="n" s="8747">
        <v>41944.0</v>
      </c>
      <c r="H66" t="s" s="8748">
        <v>0</v>
      </c>
      <c r="I66" t="n" s="5765">
        <v>1320.0</v>
      </c>
      <c r="J66" t="n" s="5766">
        <v>100.0</v>
      </c>
      <c r="K66" t="n" s="5767">
        <v>0.0</v>
      </c>
      <c r="L66" t="n" s="5768">
        <v>1900.0</v>
      </c>
      <c r="M66" t="n" s="5769">
        <v>0.0</v>
      </c>
      <c r="N66" t="n" s="5770">
        <v>10.0</v>
      </c>
      <c r="O66" t="n" s="5771">
        <v>60.0</v>
      </c>
      <c r="P66" t="n" s="5772">
        <v>0.0</v>
      </c>
      <c r="Q66" t="n" s="5773">
        <v>9.0</v>
      </c>
      <c r="R66" t="n" s="5774">
        <v>80.46</v>
      </c>
      <c r="S66" t="n" s="5775">
        <v>8.0</v>
      </c>
      <c r="T66" t="n" s="5776">
        <v>95.36</v>
      </c>
      <c r="U66" t="n" s="5777">
        <v>0.0</v>
      </c>
      <c r="V66" t="n" s="5778">
        <v>0.0</v>
      </c>
      <c r="W66" t="n" s="5779">
        <f>r66+t66+v66</f>
      </c>
      <c r="X66" t="n" s="5780">
        <v>0.0</v>
      </c>
      <c r="Y66" t="n" s="5781">
        <v>0.0</v>
      </c>
      <c r="Z66" t="n" s="5782">
        <v>0.0</v>
      </c>
      <c r="AA66" t="n" s="5783">
        <f>i66+j66+k66+l66+m66+n66+o66+p66+x66+y66+z66</f>
      </c>
      <c r="AB66" t="n" s="5784">
        <v>880.0</v>
      </c>
      <c r="AC66" t="n" s="5785">
        <v>120.7</v>
      </c>
      <c r="AD66" t="n" s="5786">
        <v>13.8</v>
      </c>
      <c r="AE66" t="n" s="5787">
        <v>80.0</v>
      </c>
      <c r="AF66" t="n" s="5788">
        <f>ROUND((aa66+ab66+ac66+ad66+ae66),2)</f>
      </c>
      <c r="AG66" t="n" s="5789">
        <f>af66*0.06</f>
      </c>
      <c r="AH66" t="n" s="5790">
        <f>af66+ag66</f>
      </c>
      <c r="AI66" t="s" s="5791">
        <v>0</v>
      </c>
    </row>
    <row r="67">
      <c r="A67" t="s" s="5792">
        <v>322</v>
      </c>
      <c r="B67" t="s" s="5793">
        <v>323</v>
      </c>
      <c r="C67" t="s" s="5794">
        <v>324</v>
      </c>
      <c r="D67" t="s" s="5795">
        <v>325</v>
      </c>
      <c r="E67" t="s" s="5796">
        <v>326</v>
      </c>
      <c r="F67" t="s" s="5797">
        <v>321</v>
      </c>
      <c r="G67" t="n" s="8749">
        <v>41944.0</v>
      </c>
      <c r="H67" t="n" s="8750">
        <v>43251.0</v>
      </c>
      <c r="I67" t="n" s="5800">
        <v>1610.0</v>
      </c>
      <c r="J67" t="n" s="5801">
        <v>100.0</v>
      </c>
      <c r="K67" t="n" s="5802">
        <v>0.0</v>
      </c>
      <c r="L67" t="n" s="5803">
        <v>1358.0</v>
      </c>
      <c r="M67" t="n" s="5804">
        <v>0.0</v>
      </c>
      <c r="N67" t="n" s="5805">
        <v>10.0</v>
      </c>
      <c r="O67" t="n" s="5806">
        <v>60.0</v>
      </c>
      <c r="P67" t="n" s="5807">
        <v>0.0</v>
      </c>
      <c r="Q67" t="n" s="5808">
        <v>11.0</v>
      </c>
      <c r="R67" t="n" s="5809">
        <v>118.25</v>
      </c>
      <c r="S67" t="n" s="5810">
        <v>8.0</v>
      </c>
      <c r="T67" t="n" s="5811">
        <v>114.64</v>
      </c>
      <c r="U67" t="n" s="5812">
        <v>1.0</v>
      </c>
      <c r="V67" t="n" s="5813">
        <v>21.49</v>
      </c>
      <c r="W67" t="n" s="5814">
        <f>r67+t67+v67</f>
      </c>
      <c r="X67" t="n" s="5815">
        <v>0.0</v>
      </c>
      <c r="Y67" t="n" s="5816">
        <v>0.0</v>
      </c>
      <c r="Z67" t="n" s="5817">
        <v>0.0</v>
      </c>
      <c r="AA67" t="n" s="5818">
        <f>i67+j67+k67+l67+m67+n67+o67+p67+x67+y67+z67</f>
      </c>
      <c r="AB67" t="n" s="5819">
        <v>818.0</v>
      </c>
      <c r="AC67" t="n" s="5820">
        <v>120.9</v>
      </c>
      <c r="AD67" t="n" s="5821">
        <v>13.8</v>
      </c>
      <c r="AE67" t="n" s="5822">
        <v>80.0</v>
      </c>
      <c r="AF67" t="n" s="5823">
        <f>ROUND((aa67+ab67+ac67+ad67+ae67),2)</f>
      </c>
      <c r="AG67" t="n" s="5824">
        <f>af67*0.06</f>
      </c>
      <c r="AH67" t="n" s="5825">
        <f>af67+ag67</f>
      </c>
      <c r="AI67" t="s" s="5826">
        <v>0</v>
      </c>
    </row>
    <row r="68">
      <c r="A68" t="s" s="5827">
        <v>327</v>
      </c>
      <c r="B68" t="s" s="5828">
        <v>0</v>
      </c>
      <c r="C68" t="s" s="5829">
        <v>328</v>
      </c>
      <c r="D68" t="s" s="5830">
        <v>329</v>
      </c>
      <c r="E68" t="s" s="5831">
        <v>330</v>
      </c>
      <c r="F68" t="s" s="5832">
        <v>321</v>
      </c>
      <c r="G68" t="n" s="8751">
        <v>42005.0</v>
      </c>
      <c r="H68" t="n" s="8752">
        <v>43220.0</v>
      </c>
      <c r="I68" t="n" s="5835">
        <v>1360.0</v>
      </c>
      <c r="J68" t="n" s="5836">
        <v>100.0</v>
      </c>
      <c r="K68" t="n" s="5837">
        <v>0.0</v>
      </c>
      <c r="L68" t="n" s="5838">
        <v>106.45</v>
      </c>
      <c r="M68" t="n" s="5839">
        <v>0.0</v>
      </c>
      <c r="N68" t="n" s="5840">
        <v>10.0</v>
      </c>
      <c r="O68" t="n" s="5841">
        <v>60.0</v>
      </c>
      <c r="P68" t="n" s="5842">
        <v>0.0</v>
      </c>
      <c r="Q68" t="n" s="5843">
        <v>0.0</v>
      </c>
      <c r="R68" t="n" s="5844">
        <v>0.0</v>
      </c>
      <c r="S68" t="n" s="5845">
        <v>0.0</v>
      </c>
      <c r="T68" t="n" s="5846">
        <v>0.0</v>
      </c>
      <c r="U68" t="n" s="5847">
        <v>0.0</v>
      </c>
      <c r="V68" t="n" s="5848">
        <v>0.0</v>
      </c>
      <c r="W68" t="n" s="5849">
        <f>r68+t68+v68</f>
      </c>
      <c r="X68" t="n" s="5850">
        <v>0.0</v>
      </c>
      <c r="Y68" t="n" s="5851">
        <v>0.0</v>
      </c>
      <c r="Z68" t="n" s="5852">
        <v>0.0</v>
      </c>
      <c r="AA68" t="n" s="5853">
        <f>i68+j68+k68+l68+m68+n68+o68+p68+x68+y68+z68</f>
      </c>
      <c r="AB68" t="n" s="5854">
        <v>214.0</v>
      </c>
      <c r="AC68" t="n" s="5855">
        <v>28.85</v>
      </c>
      <c r="AD68" t="n" s="5856">
        <v>3.3</v>
      </c>
      <c r="AE68" t="n" s="5857">
        <v>80.0</v>
      </c>
      <c r="AF68" t="n" s="5858">
        <f>ROUND((aa68+ab68+ac68+ad68+ae68),2)</f>
      </c>
      <c r="AG68" t="n" s="5859">
        <f>af68*0.06</f>
      </c>
      <c r="AH68" t="n" s="5860">
        <f>af68+ag68</f>
      </c>
      <c r="AI68" t="s" s="5861">
        <v>0</v>
      </c>
    </row>
    <row r="69">
      <c r="A69" t="s" s="5862">
        <v>331</v>
      </c>
      <c r="B69" t="s" s="5863">
        <v>332</v>
      </c>
      <c r="C69" t="s" s="5864">
        <v>333</v>
      </c>
      <c r="D69" t="s" s="5865">
        <v>334</v>
      </c>
      <c r="E69" t="s" s="5866">
        <v>335</v>
      </c>
      <c r="F69" t="s" s="5867">
        <v>321</v>
      </c>
      <c r="G69" t="n" s="8753">
        <v>41944.0</v>
      </c>
      <c r="H69" t="s" s="8754">
        <v>0</v>
      </c>
      <c r="I69" t="n" s="5870">
        <v>1260.0</v>
      </c>
      <c r="J69" t="n" s="5871">
        <v>100.0</v>
      </c>
      <c r="K69" t="n" s="5872">
        <v>0.0</v>
      </c>
      <c r="L69" t="n" s="5873">
        <v>3300.0</v>
      </c>
      <c r="M69" t="n" s="5874">
        <v>0.0</v>
      </c>
      <c r="N69" t="n" s="5875">
        <v>10.0</v>
      </c>
      <c r="O69" t="n" s="5876">
        <v>60.0</v>
      </c>
      <c r="P69" t="n" s="5877">
        <v>0.0</v>
      </c>
      <c r="Q69" t="n" s="5878">
        <v>10.0</v>
      </c>
      <c r="R69" t="n" s="5879">
        <v>85.1</v>
      </c>
      <c r="S69" t="n" s="5880">
        <v>8.0</v>
      </c>
      <c r="T69" t="n" s="5881">
        <v>90.8</v>
      </c>
      <c r="U69" t="n" s="5882">
        <v>0.0</v>
      </c>
      <c r="V69" t="n" s="5883">
        <v>0.0</v>
      </c>
      <c r="W69" t="n" s="5884">
        <f>r69+t69+v69</f>
      </c>
      <c r="X69" t="n" s="5885">
        <v>0.0</v>
      </c>
      <c r="Y69" t="n" s="5886">
        <v>0.0</v>
      </c>
      <c r="Z69" t="n" s="5887">
        <v>0.0</v>
      </c>
      <c r="AA69" t="n" s="5888">
        <f>i69+j69+k69+l69+m69+n69+o69+p69+x69+y69+z69</f>
      </c>
      <c r="AB69" t="n" s="5889">
        <v>1228.0</v>
      </c>
      <c r="AC69" t="n" s="5890">
        <v>138.1</v>
      </c>
      <c r="AD69" t="n" s="5891">
        <v>15.8</v>
      </c>
      <c r="AE69" t="n" s="5892">
        <v>80.0</v>
      </c>
      <c r="AF69" t="n" s="5893">
        <f>ROUND((aa69+ab69+ac69+ad69+ae69),2)</f>
      </c>
      <c r="AG69" t="n" s="5894">
        <f>af69*0.06</f>
      </c>
      <c r="AH69" t="n" s="5895">
        <f>af69+ag69</f>
      </c>
      <c r="AI69" t="s" s="5896">
        <v>0</v>
      </c>
    </row>
    <row r="70">
      <c r="A70" t="s" s="5897">
        <v>336</v>
      </c>
      <c r="B70" t="s" s="5898">
        <v>337</v>
      </c>
      <c r="C70" t="s" s="5899">
        <v>338</v>
      </c>
      <c r="D70" t="s" s="5900">
        <v>339</v>
      </c>
      <c r="E70" t="s" s="5901">
        <v>340</v>
      </c>
      <c r="F70" t="s" s="5902">
        <v>321</v>
      </c>
      <c r="G70" t="n" s="8755">
        <v>42005.0</v>
      </c>
      <c r="H70" t="n" s="8756">
        <v>43159.0</v>
      </c>
      <c r="I70" t="n" s="5905">
        <v>1620.0</v>
      </c>
      <c r="J70" t="n" s="5906">
        <v>100.0</v>
      </c>
      <c r="K70" t="n" s="5907">
        <v>0.0</v>
      </c>
      <c r="L70" t="n" s="5908">
        <v>592.0</v>
      </c>
      <c r="M70" t="n" s="5909">
        <v>0.0</v>
      </c>
      <c r="N70" t="n" s="5910">
        <v>10.0</v>
      </c>
      <c r="O70" t="n" s="5911">
        <v>60.0</v>
      </c>
      <c r="P70" t="n" s="5912">
        <v>0.0</v>
      </c>
      <c r="Q70" t="n" s="5913">
        <v>12.0</v>
      </c>
      <c r="R70" t="n" s="5914">
        <v>131.52</v>
      </c>
      <c r="S70" t="n" s="5915">
        <v>8.0</v>
      </c>
      <c r="T70" t="n" s="5916">
        <v>116.96</v>
      </c>
      <c r="U70" t="n" s="5917">
        <v>0.0</v>
      </c>
      <c r="V70" t="n" s="5918">
        <v>0.0</v>
      </c>
      <c r="W70" t="n" s="5919">
        <f>r70+t70+v70</f>
      </c>
      <c r="X70" t="n" s="5920">
        <v>0.0</v>
      </c>
      <c r="Y70" t="n" s="5921">
        <v>0.0</v>
      </c>
      <c r="Z70" t="n" s="5922">
        <v>0.0</v>
      </c>
      <c r="AA70" t="n" s="5923">
        <f>i70+j70+k70+l70+m70+n70+o70+p70+x70+y70+z70</f>
      </c>
      <c r="AB70" t="n" s="5924">
        <v>620.0</v>
      </c>
      <c r="AC70" t="n" s="5925">
        <v>89.3</v>
      </c>
      <c r="AD70" t="n" s="5926">
        <v>10.2</v>
      </c>
      <c r="AE70" t="n" s="5927">
        <v>80.0</v>
      </c>
      <c r="AF70" t="n" s="5928">
        <f>ROUND((aa70+ab70+ac70+ad70+ae70),2)</f>
      </c>
      <c r="AG70" t="n" s="5929">
        <f>af70*0.06</f>
      </c>
      <c r="AH70" t="n" s="5930">
        <f>af70+ag70</f>
      </c>
      <c r="AI70" t="s" s="5931">
        <v>0</v>
      </c>
    </row>
    <row r="71">
      <c r="A71" t="s" s="5932">
        <v>341</v>
      </c>
      <c r="B71" t="s" s="5933">
        <v>342</v>
      </c>
      <c r="C71" t="s" s="5934">
        <v>343</v>
      </c>
      <c r="D71" t="s" s="5935">
        <v>344</v>
      </c>
      <c r="E71" t="s" s="5936">
        <v>345</v>
      </c>
      <c r="F71" t="s" s="5937">
        <v>321</v>
      </c>
      <c r="G71" t="n" s="8757">
        <v>41944.0</v>
      </c>
      <c r="H71" t="s" s="8758">
        <v>0</v>
      </c>
      <c r="I71" t="n" s="5940">
        <v>1280.0</v>
      </c>
      <c r="J71" t="n" s="5941">
        <v>100.0</v>
      </c>
      <c r="K71" t="n" s="5942">
        <v>0.0</v>
      </c>
      <c r="L71" t="n" s="5943">
        <v>1936.0</v>
      </c>
      <c r="M71" t="n" s="5944">
        <v>0.0</v>
      </c>
      <c r="N71" t="n" s="5945">
        <v>10.0</v>
      </c>
      <c r="O71" t="n" s="5946">
        <v>60.0</v>
      </c>
      <c r="P71" t="n" s="5947">
        <v>0.0</v>
      </c>
      <c r="Q71" t="n" s="5948">
        <v>9.0</v>
      </c>
      <c r="R71" t="n" s="5949">
        <v>77.85</v>
      </c>
      <c r="S71" t="n" s="5950">
        <v>0.0</v>
      </c>
      <c r="T71" t="n" s="5951">
        <v>0.0</v>
      </c>
      <c r="U71" t="n" s="5952">
        <v>0.0</v>
      </c>
      <c r="V71" t="n" s="5953">
        <v>0.0</v>
      </c>
      <c r="W71" t="n" s="5954">
        <f>r71+t71+v71</f>
      </c>
      <c r="X71" t="n" s="5955">
        <v>0.0</v>
      </c>
      <c r="Y71" t="n" s="5956">
        <v>0.0</v>
      </c>
      <c r="Z71" t="n" s="5957">
        <v>0.0</v>
      </c>
      <c r="AA71" t="n" s="5958">
        <f>i71+j71+k71+l71+m71+n71+o71+p71+x71+y71+z71</f>
      </c>
      <c r="AB71" t="n" s="5959">
        <v>880.0</v>
      </c>
      <c r="AC71" t="n" s="5960">
        <v>117.3</v>
      </c>
      <c r="AD71" t="n" s="5961">
        <v>13.4</v>
      </c>
      <c r="AE71" t="n" s="5962">
        <v>80.0</v>
      </c>
      <c r="AF71" t="n" s="5963">
        <f>ROUND((aa71+ab71+ac71+ad71+ae71),2)</f>
      </c>
      <c r="AG71" t="n" s="5964">
        <f>af71*0.06</f>
      </c>
      <c r="AH71" t="n" s="5965">
        <f>af71+ag71</f>
      </c>
      <c r="AI71" t="s" s="5966">
        <v>0</v>
      </c>
    </row>
    <row r="72">
      <c r="A72" t="s" s="5967">
        <v>346</v>
      </c>
      <c r="B72" t="s" s="5968">
        <v>347</v>
      </c>
      <c r="C72" t="s" s="5969">
        <v>348</v>
      </c>
      <c r="D72" t="s" s="5970">
        <v>349</v>
      </c>
      <c r="E72" t="s" s="5971">
        <v>350</v>
      </c>
      <c r="F72" t="s" s="5972">
        <v>321</v>
      </c>
      <c r="G72" t="n" s="8759">
        <v>41944.0</v>
      </c>
      <c r="H72" t="s" s="8760">
        <v>0</v>
      </c>
      <c r="I72" t="n" s="5975">
        <v>1320.0</v>
      </c>
      <c r="J72" t="n" s="5976">
        <v>100.0</v>
      </c>
      <c r="K72" t="n" s="5977">
        <v>0.0</v>
      </c>
      <c r="L72" t="n" s="5978">
        <v>1108.0</v>
      </c>
      <c r="M72" t="n" s="5979">
        <v>0.0</v>
      </c>
      <c r="N72" t="n" s="5980">
        <v>10.0</v>
      </c>
      <c r="O72" t="n" s="5981">
        <v>60.0</v>
      </c>
      <c r="P72" t="n" s="5982">
        <v>0.0</v>
      </c>
      <c r="Q72" t="n" s="5983">
        <v>4.0</v>
      </c>
      <c r="R72" t="n" s="5984">
        <v>35.2</v>
      </c>
      <c r="S72" t="n" s="5985">
        <v>8.0</v>
      </c>
      <c r="T72" t="n" s="5986">
        <v>93.84</v>
      </c>
      <c r="U72" t="n" s="5987">
        <v>0.0</v>
      </c>
      <c r="V72" t="n" s="5988">
        <v>0.0</v>
      </c>
      <c r="W72" t="n" s="5989">
        <f>r72+t72+v72</f>
      </c>
      <c r="X72" t="n" s="5990">
        <v>0.0</v>
      </c>
      <c r="Y72" t="n" s="5991">
        <v>0.0</v>
      </c>
      <c r="Z72" t="n" s="5992">
        <v>0.0</v>
      </c>
      <c r="AA72" t="n" s="5993">
        <f>i72+j72+k72+l72+m72+n72+o72+p72+x72+y72+z72</f>
      </c>
      <c r="AB72" t="n" s="5994">
        <v>676.0</v>
      </c>
      <c r="AC72" t="n" s="5995">
        <v>92.7</v>
      </c>
      <c r="AD72" t="n" s="5996">
        <v>10.6</v>
      </c>
      <c r="AE72" t="n" s="5997">
        <v>80.0</v>
      </c>
      <c r="AF72" t="n" s="5998">
        <f>ROUND((aa72+ab72+ac72+ad72+ae72),2)</f>
      </c>
      <c r="AG72" t="n" s="5999">
        <f>af72*0.06</f>
      </c>
      <c r="AH72" t="n" s="6000">
        <f>af72+ag72</f>
      </c>
      <c r="AI72" t="s" s="6001">
        <v>0</v>
      </c>
    </row>
    <row r="73">
      <c r="A73" t="s" s="6002">
        <v>351</v>
      </c>
      <c r="B73" t="s" s="6003">
        <v>352</v>
      </c>
      <c r="C73" t="s" s="6004">
        <v>353</v>
      </c>
      <c r="D73" t="s" s="6005">
        <v>354</v>
      </c>
      <c r="E73" t="s" s="6006">
        <v>355</v>
      </c>
      <c r="F73" t="s" s="6007">
        <v>321</v>
      </c>
      <c r="G73" t="n" s="8761">
        <v>42179.0</v>
      </c>
      <c r="H73" t="s" s="8762">
        <v>0</v>
      </c>
      <c r="I73" t="n" s="6010">
        <v>1280.0</v>
      </c>
      <c r="J73" t="n" s="6011">
        <v>100.0</v>
      </c>
      <c r="K73" t="n" s="6012">
        <v>0.0</v>
      </c>
      <c r="L73" t="n" s="6013">
        <v>2528.0</v>
      </c>
      <c r="M73" t="n" s="6014">
        <v>0.0</v>
      </c>
      <c r="N73" t="n" s="6015">
        <v>10.0</v>
      </c>
      <c r="O73" t="n" s="6016">
        <v>60.0</v>
      </c>
      <c r="P73" t="n" s="6017">
        <v>0.0</v>
      </c>
      <c r="Q73" t="n" s="6018">
        <v>3.0</v>
      </c>
      <c r="R73" t="n" s="6019">
        <v>25.95</v>
      </c>
      <c r="S73" t="n" s="6020">
        <v>8.0</v>
      </c>
      <c r="T73" t="n" s="6021">
        <v>92.32</v>
      </c>
      <c r="U73" t="n" s="6022">
        <v>0.0</v>
      </c>
      <c r="V73" t="n" s="6023">
        <v>0.0</v>
      </c>
      <c r="W73" t="n" s="6024">
        <f>r73+t73+v73</f>
      </c>
      <c r="X73" t="n" s="6025">
        <v>0.0</v>
      </c>
      <c r="Y73" t="n" s="6026">
        <v>0.0</v>
      </c>
      <c r="Z73" t="n" s="6027">
        <v>0.0</v>
      </c>
      <c r="AA73" t="n" s="6028">
        <f>i73+j73+k73+l73+m73+n73+o73+p73+x73+y73+z73</f>
      </c>
      <c r="AB73" t="n" s="6029">
        <v>1036.0</v>
      </c>
      <c r="AC73" t="n" s="6030">
        <v>138.1</v>
      </c>
      <c r="AD73" t="n" s="6031">
        <v>15.8</v>
      </c>
      <c r="AE73" t="n" s="6032">
        <v>80.0</v>
      </c>
      <c r="AF73" t="n" s="6033">
        <f>ROUND((aa73+ab73+ac73+ad73+ae73),2)</f>
      </c>
      <c r="AG73" t="n" s="6034">
        <f>af73*0.06</f>
      </c>
      <c r="AH73" t="n" s="6035">
        <f>af73+ag73</f>
      </c>
      <c r="AI73" t="s" s="6036">
        <v>0</v>
      </c>
    </row>
    <row r="74">
      <c r="A74" t="s" s="6037">
        <v>356</v>
      </c>
      <c r="B74" t="s" s="6038">
        <v>357</v>
      </c>
      <c r="C74" t="s" s="6039">
        <v>358</v>
      </c>
      <c r="D74" t="s" s="6040">
        <v>359</v>
      </c>
      <c r="E74" t="s" s="6041">
        <v>360</v>
      </c>
      <c r="F74" t="s" s="6042">
        <v>321</v>
      </c>
      <c r="G74" t="n" s="8763">
        <v>42488.0</v>
      </c>
      <c r="H74" t="s" s="8764">
        <v>0</v>
      </c>
      <c r="I74" t="n" s="6045">
        <v>1390.0</v>
      </c>
      <c r="J74" t="n" s="6046">
        <v>100.0</v>
      </c>
      <c r="K74" t="n" s="6047">
        <v>0.0</v>
      </c>
      <c r="L74" t="n" s="6048">
        <v>1524.0</v>
      </c>
      <c r="M74" t="n" s="6049">
        <v>0.0</v>
      </c>
      <c r="N74" t="n" s="6050">
        <v>10.0</v>
      </c>
      <c r="O74" t="n" s="6051">
        <v>60.0</v>
      </c>
      <c r="P74" t="n" s="6052">
        <v>0.0</v>
      </c>
      <c r="Q74" t="n" s="6053">
        <v>12.0</v>
      </c>
      <c r="R74" t="n" s="6054">
        <v>110.76</v>
      </c>
      <c r="S74" t="n" s="6055">
        <v>0.0</v>
      </c>
      <c r="T74" t="n" s="6056">
        <v>0.0</v>
      </c>
      <c r="U74" t="n" s="6057">
        <v>0.0</v>
      </c>
      <c r="V74" t="n" s="6058">
        <v>0.0</v>
      </c>
      <c r="W74" t="n" s="6059">
        <f>r74+t74+v74</f>
      </c>
      <c r="X74" t="n" s="6060">
        <v>0.0</v>
      </c>
      <c r="Y74" t="n" s="6061">
        <v>0.0</v>
      </c>
      <c r="Z74" t="n" s="6062">
        <v>0.0</v>
      </c>
      <c r="AA74" t="n" s="6063">
        <f>i74+j74+k74+l74+m74+n74+o74+p74+x74+y74+z74</f>
      </c>
      <c r="AB74" t="n" s="6064">
        <v>942.0</v>
      </c>
      <c r="AC74" t="n" s="6065">
        <v>131.1</v>
      </c>
      <c r="AD74" t="n" s="6066">
        <v>15.0</v>
      </c>
      <c r="AE74" t="n" s="6067">
        <v>80.0</v>
      </c>
      <c r="AF74" t="n" s="6068">
        <f>ROUND((aa74+ab74+ac74+ad74+ae74),2)</f>
      </c>
      <c r="AG74" t="n" s="6069">
        <f>af74*0.06</f>
      </c>
      <c r="AH74" t="n" s="6070">
        <f>af74+ag74</f>
      </c>
      <c r="AI74" t="s" s="6071">
        <v>0</v>
      </c>
    </row>
    <row r="75">
      <c r="A75" t="s" s="6072">
        <v>361</v>
      </c>
      <c r="B75" t="s" s="6073">
        <v>0</v>
      </c>
      <c r="C75" t="s" s="6074">
        <v>362</v>
      </c>
      <c r="D75" t="s" s="6075">
        <v>363</v>
      </c>
      <c r="E75" t="s" s="6076">
        <v>364</v>
      </c>
      <c r="F75" t="s" s="6077">
        <v>321</v>
      </c>
      <c r="G75" t="n" s="8765">
        <v>42583.0</v>
      </c>
      <c r="H75" t="n" s="8766">
        <v>43100.0</v>
      </c>
      <c r="I75" t="n" s="6080">
        <v>0.0</v>
      </c>
      <c r="J75" t="n" s="6081">
        <v>0.0</v>
      </c>
      <c r="K75" t="n" s="6082">
        <v>0.0</v>
      </c>
      <c r="L75" t="n" s="6083">
        <v>1104.0</v>
      </c>
      <c r="M75" t="n" s="6084">
        <v>0.0</v>
      </c>
      <c r="N75" t="n" s="6085">
        <v>18.9</v>
      </c>
      <c r="O75" t="n" s="6086">
        <v>0.0</v>
      </c>
      <c r="P75" t="n" s="6087">
        <v>0.0</v>
      </c>
      <c r="Q75" t="n" s="6088">
        <v>0.0</v>
      </c>
      <c r="R75" t="n" s="6089">
        <v>0.0</v>
      </c>
      <c r="S75" t="n" s="6090">
        <v>8.0</v>
      </c>
      <c r="T75" t="n" s="6091">
        <v>92.32</v>
      </c>
      <c r="U75" t="n" s="6092">
        <v>0.0</v>
      </c>
      <c r="V75" t="n" s="6093">
        <v>0.0</v>
      </c>
      <c r="W75" t="n" s="6094">
        <f>r75+t75+v75</f>
      </c>
      <c r="X75" t="n" s="6095">
        <v>0.0</v>
      </c>
      <c r="Y75" t="n" s="6096">
        <v>0.0</v>
      </c>
      <c r="Z75" t="n" s="6097">
        <v>0.0</v>
      </c>
      <c r="AA75" t="n" s="6098">
        <f>i75+j75+k75+l75+m75+n75+o75+p75+x75+y75+z75</f>
      </c>
      <c r="AB75" t="n" s="6099">
        <v>146.0</v>
      </c>
      <c r="AC75" t="n" s="6100">
        <v>20.15</v>
      </c>
      <c r="AD75" t="n" s="6101">
        <v>2.3</v>
      </c>
      <c r="AE75" t="n" s="6102">
        <v>80.0</v>
      </c>
      <c r="AF75" t="n" s="6103">
        <f>ROUND((aa75+ab75+ac75+ad75+ae75),2)</f>
      </c>
      <c r="AG75" t="n" s="6104">
        <f>af75*0.06</f>
      </c>
      <c r="AH75" t="n" s="6105">
        <f>af75+ag75</f>
      </c>
      <c r="AI75" t="s" s="6106">
        <v>0</v>
      </c>
    </row>
    <row r="76">
      <c r="A76" t="s" s="6107">
        <v>365</v>
      </c>
      <c r="B76" t="s" s="6108">
        <v>366</v>
      </c>
      <c r="C76" t="s" s="6109">
        <v>367</v>
      </c>
      <c r="D76" t="s" s="6110">
        <v>368</v>
      </c>
      <c r="E76" t="s" s="6111">
        <v>369</v>
      </c>
      <c r="F76" t="s" s="6112">
        <v>321</v>
      </c>
      <c r="G76" t="n" s="8767">
        <v>42583.0</v>
      </c>
      <c r="H76" t="s" s="8768">
        <v>0</v>
      </c>
      <c r="I76" t="n" s="6115">
        <v>1280.0</v>
      </c>
      <c r="J76" t="n" s="6116">
        <v>100.0</v>
      </c>
      <c r="K76" t="n" s="6117">
        <v>0.0</v>
      </c>
      <c r="L76" t="n" s="6118">
        <v>2552.0</v>
      </c>
      <c r="M76" t="n" s="6119">
        <v>0.0</v>
      </c>
      <c r="N76" t="n" s="6120">
        <v>18.9</v>
      </c>
      <c r="O76" t="n" s="6121">
        <v>60.0</v>
      </c>
      <c r="P76" t="n" s="6122">
        <v>0.0</v>
      </c>
      <c r="Q76" t="n" s="6123">
        <v>8.0</v>
      </c>
      <c r="R76" t="n" s="6124">
        <v>69.2</v>
      </c>
      <c r="S76" t="n" s="6125">
        <v>8.0</v>
      </c>
      <c r="T76" t="n" s="6126">
        <v>92.32</v>
      </c>
      <c r="U76" t="n" s="6127">
        <v>1.0</v>
      </c>
      <c r="V76" t="n" s="6128">
        <v>17.31</v>
      </c>
      <c r="W76" t="n" s="6129">
        <f>r76+t76+v76</f>
      </c>
      <c r="X76" t="n" s="6130">
        <v>0.0</v>
      </c>
      <c r="Y76" t="n" s="6131">
        <v>0.0</v>
      </c>
      <c r="Z76" t="n" s="6132">
        <v>0.0</v>
      </c>
      <c r="AA76" t="n" s="6133">
        <f>i76+j76+k76+l76+m76+n76+o76+p76+x76+y76+z76</f>
      </c>
      <c r="AB76" t="n" s="6134">
        <v>1144.0</v>
      </c>
      <c r="AC76" t="n" s="6135">
        <v>138.1</v>
      </c>
      <c r="AD76" t="n" s="6136">
        <v>15.8</v>
      </c>
      <c r="AE76" t="n" s="6137">
        <v>80.0</v>
      </c>
      <c r="AF76" t="n" s="6138">
        <f>ROUND((aa76+ab76+ac76+ad76+ae76),2)</f>
      </c>
      <c r="AG76" t="n" s="6139">
        <f>af76*0.06</f>
      </c>
      <c r="AH76" t="n" s="6140">
        <f>af76+ag76</f>
      </c>
      <c r="AI76" t="s" s="6141">
        <v>0</v>
      </c>
    </row>
    <row r="77">
      <c r="A77" t="s" s="6142">
        <v>370</v>
      </c>
      <c r="B77" t="s" s="6143">
        <v>0</v>
      </c>
      <c r="C77" t="s" s="6144">
        <v>371</v>
      </c>
      <c r="D77" t="s" s="6145">
        <v>372</v>
      </c>
      <c r="E77" t="s" s="6146">
        <v>373</v>
      </c>
      <c r="F77" t="s" s="6147">
        <v>321</v>
      </c>
      <c r="G77" t="n" s="8769">
        <v>42684.0</v>
      </c>
      <c r="H77" t="n" s="8770">
        <v>43100.0</v>
      </c>
      <c r="I77" t="n" s="6150">
        <v>0.0</v>
      </c>
      <c r="J77" t="n" s="6151">
        <v>0.0</v>
      </c>
      <c r="K77" t="n" s="6152">
        <v>0.0</v>
      </c>
      <c r="L77" t="n" s="6153">
        <v>600.0</v>
      </c>
      <c r="M77" t="n" s="6154">
        <v>0.0</v>
      </c>
      <c r="N77" t="n" s="6155">
        <v>24.0</v>
      </c>
      <c r="O77" t="n" s="6156">
        <v>0.0</v>
      </c>
      <c r="P77" t="n" s="6157">
        <v>0.0</v>
      </c>
      <c r="Q77" t="n" s="6158">
        <v>9.0</v>
      </c>
      <c r="R77" t="n" s="6159">
        <v>77.85</v>
      </c>
      <c r="S77" t="n" s="6160">
        <v>0.0</v>
      </c>
      <c r="T77" t="n" s="6161">
        <v>0.0</v>
      </c>
      <c r="U77" t="n" s="6162">
        <v>0.0</v>
      </c>
      <c r="V77" t="n" s="6163">
        <v>0.0</v>
      </c>
      <c r="W77" t="n" s="6164">
        <f>r77+t77+v77</f>
      </c>
      <c r="X77" t="n" s="6165">
        <v>0.0</v>
      </c>
      <c r="Y77" t="n" s="6166">
        <v>0.0</v>
      </c>
      <c r="Z77" t="n" s="6167">
        <v>0.0</v>
      </c>
      <c r="AA77" t="n" s="6168">
        <f>i77+j77+k77+l77+m77+n77+o77+p77+x77+y77+z77</f>
      </c>
      <c r="AB77" t="n" s="6169">
        <v>78.0</v>
      </c>
      <c r="AC77" t="n" s="6170">
        <v>11.35</v>
      </c>
      <c r="AD77" t="n" s="6171">
        <v>1.3</v>
      </c>
      <c r="AE77" t="n" s="6172">
        <v>80.0</v>
      </c>
      <c r="AF77" t="n" s="6173">
        <f>ROUND((aa77+ab77+ac77+ad77+ae77),2)</f>
      </c>
      <c r="AG77" t="n" s="6174">
        <f>af77*0.06</f>
      </c>
      <c r="AH77" t="n" s="6175">
        <f>af77+ag77</f>
      </c>
      <c r="AI77" t="s" s="6176">
        <v>0</v>
      </c>
    </row>
    <row r="78">
      <c r="A78" t="s" s="6177">
        <v>374</v>
      </c>
      <c r="B78" t="s" s="6178">
        <v>375</v>
      </c>
      <c r="C78" t="s" s="6179">
        <v>376</v>
      </c>
      <c r="D78" t="s" s="6180">
        <v>377</v>
      </c>
      <c r="E78" t="s" s="6181">
        <v>378</v>
      </c>
      <c r="F78" t="s" s="6182">
        <v>321</v>
      </c>
      <c r="G78" t="n" s="8771">
        <v>42761.0</v>
      </c>
      <c r="H78" t="s" s="8772">
        <v>0</v>
      </c>
      <c r="I78" t="n" s="6185">
        <v>1250.0</v>
      </c>
      <c r="J78" t="n" s="6186">
        <v>100.0</v>
      </c>
      <c r="K78" t="n" s="6187">
        <v>0.0</v>
      </c>
      <c r="L78" t="n" s="6188">
        <v>167.74</v>
      </c>
      <c r="M78" t="n" s="6189">
        <v>0.0</v>
      </c>
      <c r="N78" t="n" s="6190">
        <v>10.0</v>
      </c>
      <c r="O78" t="n" s="6191">
        <v>60.0</v>
      </c>
      <c r="P78" t="n" s="6192">
        <v>0.0</v>
      </c>
      <c r="Q78" t="n" s="6193">
        <v>1.0</v>
      </c>
      <c r="R78" t="n" s="6194">
        <v>8.65</v>
      </c>
      <c r="S78" t="n" s="6195">
        <v>0.0</v>
      </c>
      <c r="T78" t="n" s="6196">
        <v>0.0</v>
      </c>
      <c r="U78" t="n" s="6197">
        <v>0.0</v>
      </c>
      <c r="V78" t="n" s="6198">
        <v>0.0</v>
      </c>
      <c r="W78" t="n" s="6199">
        <f>r78+t78+v78</f>
      </c>
      <c r="X78" t="n" s="6200">
        <v>0.0</v>
      </c>
      <c r="Y78" t="n" s="6201">
        <v>0.0</v>
      </c>
      <c r="Z78" t="n" s="6202">
        <v>0.0</v>
      </c>
      <c r="AA78" t="n" s="6203">
        <f>i78+j78+k78+l78+m78+n78+o78+p78+x78+y78+z78</f>
      </c>
      <c r="AB78" t="n" s="6204">
        <v>412.0</v>
      </c>
      <c r="AC78" t="n" s="6205">
        <v>54.3</v>
      </c>
      <c r="AD78" t="n" s="6206">
        <v>6.2</v>
      </c>
      <c r="AE78" t="n" s="6207">
        <v>80.0</v>
      </c>
      <c r="AF78" t="n" s="6208">
        <f>ROUND((aa78+ab78+ac78+ad78+ae78),2)</f>
      </c>
      <c r="AG78" t="n" s="6209">
        <f>af78*0.06</f>
      </c>
      <c r="AH78" t="n" s="6210">
        <f>af78+ag78</f>
      </c>
      <c r="AI78" t="s" s="6211">
        <v>0</v>
      </c>
    </row>
    <row r="79">
      <c r="A79" t="s" s="6212">
        <v>379</v>
      </c>
      <c r="B79" t="s" s="6213">
        <v>380</v>
      </c>
      <c r="C79" t="s" s="6214">
        <v>381</v>
      </c>
      <c r="D79" t="s" s="6215">
        <v>382</v>
      </c>
      <c r="E79" t="s" s="6216">
        <v>383</v>
      </c>
      <c r="F79" t="s" s="6217">
        <v>321</v>
      </c>
      <c r="G79" t="n" s="8773">
        <v>42781.0</v>
      </c>
      <c r="H79" t="s" s="8774">
        <v>0</v>
      </c>
      <c r="I79" t="n" s="6220">
        <v>1250.0</v>
      </c>
      <c r="J79" t="n" s="6221">
        <v>100.0</v>
      </c>
      <c r="K79" t="n" s="6222">
        <v>0.0</v>
      </c>
      <c r="L79" t="n" s="6223">
        <v>1900.0</v>
      </c>
      <c r="M79" t="n" s="6224">
        <v>0.0</v>
      </c>
      <c r="N79" t="n" s="6225">
        <v>10.0</v>
      </c>
      <c r="O79" t="n" s="6226">
        <v>60.0</v>
      </c>
      <c r="P79" t="n" s="6227">
        <v>0.0</v>
      </c>
      <c r="Q79" t="n" s="6228">
        <v>3.0</v>
      </c>
      <c r="R79" t="n" s="6229">
        <v>25.95</v>
      </c>
      <c r="S79" t="n" s="6230">
        <v>8.0</v>
      </c>
      <c r="T79" t="n" s="6231">
        <v>92.32</v>
      </c>
      <c r="U79" t="n" s="6232">
        <v>0.0</v>
      </c>
      <c r="V79" t="n" s="6233">
        <v>0.0</v>
      </c>
      <c r="W79" t="n" s="6234">
        <f>r79+t79+v79</f>
      </c>
      <c r="X79" t="n" s="6235">
        <v>0.0</v>
      </c>
      <c r="Y79" t="n" s="6236">
        <v>0.0</v>
      </c>
      <c r="Z79" t="n" s="6237">
        <v>0.0</v>
      </c>
      <c r="AA79" t="n" s="6238">
        <f>i79+j79+k79+l79+m79+n79+o79+p79+x79+y79+z79</f>
      </c>
      <c r="AB79" t="n" s="6239">
        <v>864.0</v>
      </c>
      <c r="AC79" t="n" s="6240">
        <v>120.9</v>
      </c>
      <c r="AD79" t="n" s="6241">
        <v>13.8</v>
      </c>
      <c r="AE79" t="n" s="6242">
        <v>80.0</v>
      </c>
      <c r="AF79" t="n" s="6243">
        <f>ROUND((aa79+ab79+ac79+ad79+ae79),2)</f>
      </c>
      <c r="AG79" t="n" s="6244">
        <f>af79*0.06</f>
      </c>
      <c r="AH79" t="n" s="6245">
        <f>af79+ag79</f>
      </c>
      <c r="AI79" t="s" s="6246">
        <v>0</v>
      </c>
    </row>
    <row r="80">
      <c r="A80" t="s" s="6247">
        <v>384</v>
      </c>
      <c r="B80" t="s" s="6248">
        <v>385</v>
      </c>
      <c r="C80" t="s" s="6249">
        <v>386</v>
      </c>
      <c r="D80" t="s" s="6250">
        <v>387</v>
      </c>
      <c r="E80" t="s" s="6251">
        <v>388</v>
      </c>
      <c r="F80" t="s" s="6252">
        <v>321</v>
      </c>
      <c r="G80" t="n" s="8775">
        <v>42736.0</v>
      </c>
      <c r="H80" t="n" s="8776">
        <v>43252.0</v>
      </c>
      <c r="I80" t="n" s="6255">
        <v>1250.0</v>
      </c>
      <c r="J80" t="n" s="6256">
        <v>100.0</v>
      </c>
      <c r="K80" t="n" s="6257">
        <v>0.0</v>
      </c>
      <c r="L80" t="n" s="6258">
        <v>498.0</v>
      </c>
      <c r="M80" t="n" s="6259">
        <v>0.0</v>
      </c>
      <c r="N80" t="n" s="6260">
        <v>10.0</v>
      </c>
      <c r="O80" t="n" s="6261">
        <v>60.0</v>
      </c>
      <c r="P80" t="n" s="6262">
        <v>0.0</v>
      </c>
      <c r="Q80" t="n" s="6263">
        <v>11.0</v>
      </c>
      <c r="R80" t="n" s="6264">
        <v>95.15</v>
      </c>
      <c r="S80" t="n" s="6265">
        <v>8.0</v>
      </c>
      <c r="T80" t="n" s="6266">
        <v>92.32</v>
      </c>
      <c r="U80" t="n" s="6267">
        <v>1.0</v>
      </c>
      <c r="V80" t="n" s="6268">
        <v>17.31</v>
      </c>
      <c r="W80" t="n" s="6269">
        <f>r80+t80+v80</f>
      </c>
      <c r="X80" t="n" s="6270">
        <v>0.0</v>
      </c>
      <c r="Y80" t="n" s="6271">
        <v>0.0</v>
      </c>
      <c r="Z80" t="n" s="6272">
        <v>0.0</v>
      </c>
      <c r="AA80" t="n" s="6273">
        <f>i80+j80+k80+l80+m80+n80+o80+p80+x80+y80+z80</f>
      </c>
      <c r="AB80" t="n" s="6274">
        <v>500.0</v>
      </c>
      <c r="AC80" t="n" s="6275">
        <v>75.3</v>
      </c>
      <c r="AD80" t="n" s="6276">
        <v>8.6</v>
      </c>
      <c r="AE80" t="n" s="6277">
        <v>80.0</v>
      </c>
      <c r="AF80" t="n" s="6278">
        <f>ROUND((aa80+ab80+ac80+ad80+ae80),2)</f>
      </c>
      <c r="AG80" t="n" s="6279">
        <f>af80*0.06</f>
      </c>
      <c r="AH80" t="n" s="6280">
        <f>af80+ag80</f>
      </c>
      <c r="AI80" t="s" s="6281">
        <v>0</v>
      </c>
    </row>
    <row r="81">
      <c r="A81" t="s" s="6282">
        <v>389</v>
      </c>
      <c r="B81" t="s" s="6283">
        <v>0</v>
      </c>
      <c r="C81" t="s" s="6284">
        <v>390</v>
      </c>
      <c r="D81" t="s" s="6285">
        <v>391</v>
      </c>
      <c r="E81" t="s" s="6286">
        <v>392</v>
      </c>
      <c r="F81" t="s" s="6287">
        <v>321</v>
      </c>
      <c r="G81" t="n" s="8777">
        <v>43101.0</v>
      </c>
      <c r="H81" t="s" s="8778">
        <v>0</v>
      </c>
      <c r="I81" t="n" s="6290">
        <v>1250.0</v>
      </c>
      <c r="J81" t="n" s="6291">
        <v>100.0</v>
      </c>
      <c r="K81" t="n" s="6292">
        <v>0.0</v>
      </c>
      <c r="L81" t="n" s="6293">
        <v>0.0</v>
      </c>
      <c r="M81" t="n" s="6294">
        <v>0.0</v>
      </c>
      <c r="N81" t="n" s="6295">
        <v>0.0</v>
      </c>
      <c r="O81" t="n" s="6296">
        <v>60.0</v>
      </c>
      <c r="P81" t="n" s="6297">
        <v>0.0</v>
      </c>
      <c r="Q81" t="n" s="6298">
        <v>0.0</v>
      </c>
      <c r="R81" t="n" s="6299">
        <v>0.0</v>
      </c>
      <c r="S81" t="n" s="6300">
        <v>0.0</v>
      </c>
      <c r="T81" t="n" s="6301">
        <v>0.0</v>
      </c>
      <c r="U81" t="n" s="6302">
        <v>0.0</v>
      </c>
      <c r="V81" t="n" s="6303">
        <v>0.0</v>
      </c>
      <c r="W81" t="n" s="6304">
        <f>r81+t81+v81</f>
      </c>
      <c r="X81" t="n" s="6305">
        <v>0.0</v>
      </c>
      <c r="Y81" t="n" s="6306">
        <v>0.0</v>
      </c>
      <c r="Z81" t="n" s="6307">
        <v>0.0</v>
      </c>
      <c r="AA81" t="n" s="6308">
        <f>i81+j81+k81+l81+m81+n81+o81+p81+x81+y81+z81</f>
      </c>
      <c r="AB81" t="n" s="6309">
        <v>185.0</v>
      </c>
      <c r="AC81" t="n" s="6310">
        <v>25.35</v>
      </c>
      <c r="AD81" t="n" s="6311">
        <v>2.9</v>
      </c>
      <c r="AE81" t="n" s="6312">
        <v>80.0</v>
      </c>
      <c r="AF81" t="n" s="6313">
        <f>ROUND((aa81+ab81+ac81+ad81+ae81),2)</f>
      </c>
      <c r="AG81" t="n" s="6314">
        <f>af81*0.06</f>
      </c>
      <c r="AH81" t="n" s="6315">
        <f>af81+ag81</f>
      </c>
      <c r="AI81" t="s" s="6316">
        <v>0</v>
      </c>
    </row>
    <row r="82">
      <c r="A82" t="s" s="6317">
        <v>393</v>
      </c>
      <c r="B82" t="s" s="6318">
        <v>394</v>
      </c>
      <c r="C82" t="s" s="6319">
        <v>395</v>
      </c>
      <c r="D82" t="s" s="6320">
        <v>396</v>
      </c>
      <c r="E82" t="s" s="6321">
        <v>397</v>
      </c>
      <c r="F82" t="s" s="6322">
        <v>398</v>
      </c>
      <c r="G82" t="n" s="8779">
        <v>41944.0</v>
      </c>
      <c r="H82" t="s" s="8780">
        <v>0</v>
      </c>
      <c r="I82" t="n" s="6325">
        <v>1350.0</v>
      </c>
      <c r="J82" t="n" s="6326">
        <v>100.0</v>
      </c>
      <c r="K82" t="n" s="6327">
        <v>0.0</v>
      </c>
      <c r="L82" t="n" s="6328">
        <v>1450.0</v>
      </c>
      <c r="M82" t="n" s="6329">
        <v>0.0</v>
      </c>
      <c r="N82" t="n" s="6330">
        <v>44.2</v>
      </c>
      <c r="O82" t="n" s="6331">
        <v>60.0</v>
      </c>
      <c r="P82" t="n" s="6332">
        <v>0.0</v>
      </c>
      <c r="Q82" t="n" s="6333">
        <v>12.0</v>
      </c>
      <c r="R82" t="n" s="6334">
        <v>109.08</v>
      </c>
      <c r="S82" t="n" s="6335">
        <v>8.0</v>
      </c>
      <c r="T82" t="n" s="6336">
        <v>96.96</v>
      </c>
      <c r="U82" t="n" s="6337">
        <v>2.0</v>
      </c>
      <c r="V82" t="n" s="6338">
        <v>36.34</v>
      </c>
      <c r="W82" t="n" s="6339">
        <f>r82+t82+v82</f>
      </c>
      <c r="X82" t="n" s="6340">
        <v>0.0</v>
      </c>
      <c r="Y82" t="n" s="6341">
        <v>0.0</v>
      </c>
      <c r="Z82" t="n" s="6342">
        <v>0.0</v>
      </c>
      <c r="AA82" t="n" s="6343">
        <f>i82+j82+k82+l82+m82+n82+o82+p82+x82+y82+z82</f>
      </c>
      <c r="AB82" t="n" s="6344">
        <v>770.0</v>
      </c>
      <c r="AC82" t="n" s="6345">
        <v>113.7</v>
      </c>
      <c r="AD82" t="n" s="6346">
        <v>13.0</v>
      </c>
      <c r="AE82" t="n" s="6347">
        <v>80.0</v>
      </c>
      <c r="AF82" t="n" s="6348">
        <f>ROUND((aa82+ab82+ac82+ad82+ae82),2)</f>
      </c>
      <c r="AG82" t="n" s="6349">
        <f>af82*0.06</f>
      </c>
      <c r="AH82" t="n" s="6350">
        <f>af82+ag82</f>
      </c>
      <c r="AI82" t="s" s="6351">
        <v>0</v>
      </c>
    </row>
    <row r="83">
      <c r="A83" t="s" s="6352">
        <v>399</v>
      </c>
      <c r="B83" t="s" s="6353">
        <v>400</v>
      </c>
      <c r="C83" t="s" s="6354">
        <v>401</v>
      </c>
      <c r="D83" t="s" s="6355">
        <v>402</v>
      </c>
      <c r="E83" t="s" s="6356">
        <v>403</v>
      </c>
      <c r="F83" t="s" s="6357">
        <v>398</v>
      </c>
      <c r="G83" t="n" s="8781">
        <v>41944.0</v>
      </c>
      <c r="H83" t="s" s="8782">
        <v>0</v>
      </c>
      <c r="I83" t="n" s="6360">
        <v>1370.0</v>
      </c>
      <c r="J83" t="n" s="6361">
        <v>100.0</v>
      </c>
      <c r="K83" t="n" s="6362">
        <v>0.0</v>
      </c>
      <c r="L83" t="n" s="6363">
        <v>1450.0</v>
      </c>
      <c r="M83" t="n" s="6364">
        <v>0.0</v>
      </c>
      <c r="N83" t="n" s="6365">
        <v>10.0</v>
      </c>
      <c r="O83" t="n" s="6366">
        <v>60.0</v>
      </c>
      <c r="P83" t="n" s="6367">
        <v>0.0</v>
      </c>
      <c r="Q83" t="n" s="6368">
        <v>0.0</v>
      </c>
      <c r="R83" t="n" s="6369">
        <v>0.0</v>
      </c>
      <c r="S83" t="n" s="6370">
        <v>8.0</v>
      </c>
      <c r="T83" t="n" s="6371">
        <v>100.0</v>
      </c>
      <c r="U83" t="n" s="6372">
        <v>0.0</v>
      </c>
      <c r="V83" t="n" s="6373">
        <v>0.0</v>
      </c>
      <c r="W83" t="n" s="6374">
        <f>r83+t83+v83</f>
      </c>
      <c r="X83" t="n" s="6375">
        <v>0.0</v>
      </c>
      <c r="Y83" t="n" s="6376">
        <v>0.0</v>
      </c>
      <c r="Z83" t="n" s="6377">
        <v>0.0</v>
      </c>
      <c r="AA83" t="n" s="6378">
        <f>i83+j83+k83+l83+m83+n83+o83+p83+x83+y83+z83</f>
      </c>
      <c r="AB83" t="n" s="6379">
        <v>776.0</v>
      </c>
      <c r="AC83" t="n" s="6380">
        <v>106.7</v>
      </c>
      <c r="AD83" t="n" s="6381">
        <v>12.2</v>
      </c>
      <c r="AE83" t="n" s="6382">
        <v>80.0</v>
      </c>
      <c r="AF83" t="n" s="6383">
        <f>ROUND((aa83+ab83+ac83+ad83+ae83),2)</f>
      </c>
      <c r="AG83" t="n" s="6384">
        <f>af83*0.06</f>
      </c>
      <c r="AH83" t="n" s="6385">
        <f>af83+ag83</f>
      </c>
      <c r="AI83" t="s" s="6386">
        <v>0</v>
      </c>
    </row>
    <row r="84">
      <c r="A84" t="s" s="6387">
        <v>404</v>
      </c>
      <c r="B84" t="s" s="6388">
        <v>405</v>
      </c>
      <c r="C84" t="s" s="6389">
        <v>406</v>
      </c>
      <c r="D84" t="s" s="6390">
        <v>407</v>
      </c>
      <c r="E84" t="s" s="6391">
        <v>408</v>
      </c>
      <c r="F84" t="s" s="6392">
        <v>398</v>
      </c>
      <c r="G84" t="n" s="8783">
        <v>41944.0</v>
      </c>
      <c r="H84" t="s" s="8784">
        <v>0</v>
      </c>
      <c r="I84" t="n" s="6395">
        <v>1160.0</v>
      </c>
      <c r="J84" t="n" s="6396">
        <v>100.0</v>
      </c>
      <c r="K84" t="n" s="6397">
        <v>0.0</v>
      </c>
      <c r="L84" t="n" s="6398">
        <v>1850.0</v>
      </c>
      <c r="M84" t="n" s="6399">
        <v>0.0</v>
      </c>
      <c r="N84" t="n" s="6400">
        <v>10.0</v>
      </c>
      <c r="O84" t="n" s="6401">
        <v>60.0</v>
      </c>
      <c r="P84" t="n" s="6402">
        <v>0.0</v>
      </c>
      <c r="Q84" t="n" s="6403">
        <v>13.0</v>
      </c>
      <c r="R84" t="n" s="6404">
        <v>102.18</v>
      </c>
      <c r="S84" t="n" s="6405">
        <v>8.0</v>
      </c>
      <c r="T84" t="n" s="6406">
        <v>83.84</v>
      </c>
      <c r="U84" t="n" s="6407">
        <v>0.0</v>
      </c>
      <c r="V84" t="n" s="6408">
        <v>0.0</v>
      </c>
      <c r="W84" t="n" s="6409">
        <f>r84+t84+v84</f>
      </c>
      <c r="X84" t="n" s="6410">
        <v>0.0</v>
      </c>
      <c r="Y84" t="n" s="6411">
        <v>0.0</v>
      </c>
      <c r="Z84" t="n" s="6412">
        <v>0.0</v>
      </c>
      <c r="AA84" t="n" s="6413">
        <f>i84+j84+k84+l84+m84+n84+o84+p84+x84+y84+z84</f>
      </c>
      <c r="AB84" t="n" s="6414">
        <v>828.0</v>
      </c>
      <c r="AC84" t="n" s="6415">
        <v>113.7</v>
      </c>
      <c r="AD84" t="n" s="6416">
        <v>13.0</v>
      </c>
      <c r="AE84" t="n" s="6417">
        <v>80.0</v>
      </c>
      <c r="AF84" t="n" s="6418">
        <f>ROUND((aa84+ab84+ac84+ad84+ae84),2)</f>
      </c>
      <c r="AG84" t="n" s="6419">
        <f>af84*0.06</f>
      </c>
      <c r="AH84" t="n" s="6420">
        <f>af84+ag84</f>
      </c>
      <c r="AI84" t="s" s="6421">
        <v>0</v>
      </c>
    </row>
    <row r="85">
      <c r="A85" t="s" s="6422">
        <v>409</v>
      </c>
      <c r="B85" t="s" s="6423">
        <v>410</v>
      </c>
      <c r="C85" t="s" s="6424">
        <v>411</v>
      </c>
      <c r="D85" t="s" s="6425">
        <v>412</v>
      </c>
      <c r="E85" t="s" s="6426">
        <v>413</v>
      </c>
      <c r="F85" t="s" s="6427">
        <v>398</v>
      </c>
      <c r="G85" t="n" s="8785">
        <v>42005.0</v>
      </c>
      <c r="H85" t="s" s="8786">
        <v>0</v>
      </c>
      <c r="I85" t="n" s="6430">
        <v>1490.0</v>
      </c>
      <c r="J85" t="n" s="6431">
        <v>100.0</v>
      </c>
      <c r="K85" t="n" s="6432">
        <v>0.0</v>
      </c>
      <c r="L85" t="n" s="6433">
        <v>2400.0</v>
      </c>
      <c r="M85" t="n" s="6434">
        <v>0.0</v>
      </c>
      <c r="N85" t="n" s="6435">
        <v>48.4</v>
      </c>
      <c r="O85" t="n" s="6436">
        <v>60.0</v>
      </c>
      <c r="P85" t="n" s="6437">
        <v>0.0</v>
      </c>
      <c r="Q85" t="n" s="6438">
        <v>12.0</v>
      </c>
      <c r="R85" t="n" s="6439">
        <v>121.2</v>
      </c>
      <c r="S85" t="n" s="6440">
        <v>8.0</v>
      </c>
      <c r="T85" t="n" s="6441">
        <v>107.68</v>
      </c>
      <c r="U85" t="n" s="6442">
        <v>3.0</v>
      </c>
      <c r="V85" t="n" s="6443">
        <v>60.57</v>
      </c>
      <c r="W85" t="n" s="6444">
        <f>r85+t85+v85</f>
      </c>
      <c r="X85" t="n" s="6445">
        <v>0.0</v>
      </c>
      <c r="Y85" t="n" s="6446">
        <v>0.0</v>
      </c>
      <c r="Z85" t="n" s="6447">
        <v>0.0</v>
      </c>
      <c r="AA85" t="n" s="6448">
        <f>i85+j85+k85+l85+m85+n85+o85+p85+x85+y85+z85</f>
      </c>
      <c r="AB85" t="n" s="6449">
        <v>1056.0</v>
      </c>
      <c r="AC85" t="n" s="6450">
        <v>138.1</v>
      </c>
      <c r="AD85" t="n" s="6451">
        <v>15.8</v>
      </c>
      <c r="AE85" t="n" s="6452">
        <v>80.0</v>
      </c>
      <c r="AF85" t="n" s="6453">
        <f>ROUND((aa85+ab85+ac85+ad85+ae85),2)</f>
      </c>
      <c r="AG85" t="n" s="6454">
        <f>af85*0.06</f>
      </c>
      <c r="AH85" t="n" s="6455">
        <f>af85+ag85</f>
      </c>
      <c r="AI85" t="s" s="6456">
        <v>0</v>
      </c>
    </row>
    <row r="86">
      <c r="A86" t="s" s="6457">
        <v>414</v>
      </c>
      <c r="B86" t="s" s="6458">
        <v>415</v>
      </c>
      <c r="C86" t="s" s="6459">
        <v>416</v>
      </c>
      <c r="D86" t="s" s="6460">
        <v>417</v>
      </c>
      <c r="E86" t="s" s="6461">
        <v>418</v>
      </c>
      <c r="F86" t="s" s="6462">
        <v>398</v>
      </c>
      <c r="G86" t="n" s="8787">
        <v>42005.0</v>
      </c>
      <c r="H86" t="n" s="8788">
        <v>43131.0</v>
      </c>
      <c r="I86" t="n" s="6465">
        <v>1570.0</v>
      </c>
      <c r="J86" t="n" s="6466">
        <v>100.0</v>
      </c>
      <c r="K86" t="n" s="6467">
        <v>0.0</v>
      </c>
      <c r="L86" t="n" s="6468">
        <v>2000.0</v>
      </c>
      <c r="M86" t="n" s="6469">
        <v>0.0</v>
      </c>
      <c r="N86" t="n" s="6470">
        <v>10.0</v>
      </c>
      <c r="O86" t="n" s="6471">
        <v>0.0</v>
      </c>
      <c r="P86" t="n" s="6472">
        <v>0.0</v>
      </c>
      <c r="Q86" t="n" s="6473">
        <v>6.0</v>
      </c>
      <c r="R86" t="n" s="6474">
        <v>64.02</v>
      </c>
      <c r="S86" t="n" s="6475">
        <v>8.0</v>
      </c>
      <c r="T86" t="n" s="6476">
        <v>113.84</v>
      </c>
      <c r="U86" t="n" s="6477">
        <v>1.0</v>
      </c>
      <c r="V86" t="n" s="6478">
        <v>21.35</v>
      </c>
      <c r="W86" t="n" s="6479">
        <f>r86+t86+v86</f>
      </c>
      <c r="X86" t="n" s="6480">
        <v>0.0</v>
      </c>
      <c r="Y86" t="n" s="6481">
        <v>0.0</v>
      </c>
      <c r="Z86" t="n" s="6482">
        <v>0.0</v>
      </c>
      <c r="AA86" t="n" s="6483">
        <f>i86+j86+k86+l86+m86+n86+o86+p86+x86+y86+z86</f>
      </c>
      <c r="AB86" t="n" s="6484">
        <v>958.0</v>
      </c>
      <c r="AC86" t="n" s="6485">
        <v>134.7</v>
      </c>
      <c r="AD86" t="n" s="6486">
        <v>15.4</v>
      </c>
      <c r="AE86" t="n" s="6487">
        <v>80.0</v>
      </c>
      <c r="AF86" t="n" s="6488">
        <f>ROUND((aa86+ab86+ac86+ad86+ae86),2)</f>
      </c>
      <c r="AG86" t="n" s="6489">
        <f>af86*0.06</f>
      </c>
      <c r="AH86" t="n" s="6490">
        <f>af86+ag86</f>
      </c>
      <c r="AI86" t="s" s="6491">
        <v>0</v>
      </c>
    </row>
    <row r="87">
      <c r="A87" t="s" s="6492">
        <v>419</v>
      </c>
      <c r="B87" t="s" s="6493">
        <v>420</v>
      </c>
      <c r="C87" t="s" s="6494">
        <v>421</v>
      </c>
      <c r="D87" t="s" s="6495">
        <v>422</v>
      </c>
      <c r="E87" t="s" s="6496">
        <v>423</v>
      </c>
      <c r="F87" t="s" s="6497">
        <v>398</v>
      </c>
      <c r="G87" t="n" s="8789">
        <v>41944.0</v>
      </c>
      <c r="H87" t="s" s="8790">
        <v>0</v>
      </c>
      <c r="I87" t="n" s="6500">
        <v>1170.0</v>
      </c>
      <c r="J87" t="n" s="6501">
        <v>100.0</v>
      </c>
      <c r="K87" t="n" s="6502">
        <v>0.0</v>
      </c>
      <c r="L87" t="n" s="6503">
        <v>1750.0</v>
      </c>
      <c r="M87" t="n" s="6504">
        <v>0.0</v>
      </c>
      <c r="N87" t="n" s="6505">
        <v>33.7</v>
      </c>
      <c r="O87" t="n" s="6506">
        <v>60.0</v>
      </c>
      <c r="P87" t="n" s="6507">
        <v>0.0</v>
      </c>
      <c r="Q87" t="n" s="6508">
        <v>7.0</v>
      </c>
      <c r="R87" t="n" s="6509">
        <v>56.56</v>
      </c>
      <c r="S87" t="n" s="6510">
        <v>8.0</v>
      </c>
      <c r="T87" t="n" s="6511">
        <v>86.16</v>
      </c>
      <c r="U87" t="n" s="6512">
        <v>0.0</v>
      </c>
      <c r="V87" t="n" s="6513">
        <v>0.0</v>
      </c>
      <c r="W87" t="n" s="6514">
        <f>r87+t87+v87</f>
      </c>
      <c r="X87" t="n" s="6515">
        <v>0.0</v>
      </c>
      <c r="Y87" t="n" s="6516">
        <v>0.0</v>
      </c>
      <c r="Z87" t="n" s="6517">
        <v>0.0</v>
      </c>
      <c r="AA87" t="n" s="6518">
        <f>i87+j87+k87+l87+m87+n87+o87+p87+x87+y87+z87</f>
      </c>
      <c r="AB87" t="n" s="6519">
        <v>802.0</v>
      </c>
      <c r="AC87" t="n" s="6520">
        <v>110.3</v>
      </c>
      <c r="AD87" t="n" s="6521">
        <v>12.6</v>
      </c>
      <c r="AE87" t="n" s="6522">
        <v>80.0</v>
      </c>
      <c r="AF87" t="n" s="6523">
        <f>ROUND((aa87+ab87+ac87+ad87+ae87),2)</f>
      </c>
      <c r="AG87" t="n" s="6524">
        <f>af87*0.06</f>
      </c>
      <c r="AH87" t="n" s="6525">
        <f>af87+ag87</f>
      </c>
      <c r="AI87" t="s" s="6526">
        <v>0</v>
      </c>
    </row>
    <row r="88">
      <c r="A88" t="s" s="6527">
        <v>424</v>
      </c>
      <c r="B88" t="s" s="6528">
        <v>425</v>
      </c>
      <c r="C88" t="s" s="6529">
        <v>426</v>
      </c>
      <c r="D88" t="s" s="6530">
        <v>427</v>
      </c>
      <c r="E88" t="s" s="6531">
        <v>428</v>
      </c>
      <c r="F88" t="s" s="6532">
        <v>398</v>
      </c>
      <c r="G88" t="n" s="8791">
        <v>41944.0</v>
      </c>
      <c r="H88" t="s" s="8792">
        <v>0</v>
      </c>
      <c r="I88" t="n" s="6535">
        <v>1230.0</v>
      </c>
      <c r="J88" t="n" s="6536">
        <v>100.0</v>
      </c>
      <c r="K88" t="n" s="6537">
        <v>0.0</v>
      </c>
      <c r="L88" t="n" s="6538">
        <v>2350.0</v>
      </c>
      <c r="M88" t="n" s="6539">
        <v>0.0</v>
      </c>
      <c r="N88" t="n" s="6540">
        <v>10.0</v>
      </c>
      <c r="O88" t="n" s="6541">
        <v>60.0</v>
      </c>
      <c r="P88" t="n" s="6542">
        <v>0.0</v>
      </c>
      <c r="Q88" t="n" s="6543">
        <v>10.0</v>
      </c>
      <c r="R88" t="n" s="6544">
        <v>83.7</v>
      </c>
      <c r="S88" t="n" s="6545">
        <v>8.0</v>
      </c>
      <c r="T88" t="n" s="6546">
        <v>89.2</v>
      </c>
      <c r="U88" t="n" s="6547">
        <v>1.0</v>
      </c>
      <c r="V88" t="n" s="6548">
        <v>16.73</v>
      </c>
      <c r="W88" t="n" s="6549">
        <f>r88+t88+v88</f>
      </c>
      <c r="X88" t="n" s="6550">
        <v>0.0</v>
      </c>
      <c r="Y88" t="n" s="6551">
        <v>0.0</v>
      </c>
      <c r="Z88" t="n" s="6552">
        <v>0.0</v>
      </c>
      <c r="AA88" t="n" s="6553">
        <f>i88+j88+k88+l88+m88+n88+o88+p88+x88+y88+z88</f>
      </c>
      <c r="AB88" t="n" s="6554">
        <v>1078.0</v>
      </c>
      <c r="AC88" t="n" s="6555">
        <v>138.1</v>
      </c>
      <c r="AD88" t="n" s="6556">
        <v>15.8</v>
      </c>
      <c r="AE88" t="n" s="6557">
        <v>80.0</v>
      </c>
      <c r="AF88" t="n" s="6558">
        <f>ROUND((aa88+ab88+ac88+ad88+ae88),2)</f>
      </c>
      <c r="AG88" t="n" s="6559">
        <f>af88*0.06</f>
      </c>
      <c r="AH88" t="n" s="6560">
        <f>af88+ag88</f>
      </c>
      <c r="AI88" t="s" s="6561">
        <v>0</v>
      </c>
    </row>
    <row r="89">
      <c r="A89" t="s" s="6562">
        <v>429</v>
      </c>
      <c r="B89" t="s" s="6563">
        <v>430</v>
      </c>
      <c r="C89" t="s" s="6564">
        <v>431</v>
      </c>
      <c r="D89" t="s" s="6565">
        <v>432</v>
      </c>
      <c r="E89" t="s" s="6566">
        <v>433</v>
      </c>
      <c r="F89" t="s" s="6567">
        <v>398</v>
      </c>
      <c r="G89" t="n" s="8793">
        <v>42005.0</v>
      </c>
      <c r="H89" t="s" s="8794">
        <v>0</v>
      </c>
      <c r="I89" t="n" s="6570">
        <v>1280.0</v>
      </c>
      <c r="J89" t="n" s="6571">
        <v>100.0</v>
      </c>
      <c r="K89" t="n" s="6572">
        <v>0.0</v>
      </c>
      <c r="L89" t="n" s="6573">
        <v>1600.0</v>
      </c>
      <c r="M89" t="n" s="6574">
        <v>0.0</v>
      </c>
      <c r="N89" t="n" s="6575">
        <v>23.2</v>
      </c>
      <c r="O89" t="n" s="6576">
        <v>60.0</v>
      </c>
      <c r="P89" t="n" s="6577">
        <v>0.0</v>
      </c>
      <c r="Q89" t="n" s="6578">
        <v>4.0</v>
      </c>
      <c r="R89" t="n" s="6579">
        <v>34.6</v>
      </c>
      <c r="S89" t="n" s="6580">
        <v>8.0</v>
      </c>
      <c r="T89" t="n" s="6581">
        <v>92.32</v>
      </c>
      <c r="U89" t="n" s="6582">
        <v>1.0</v>
      </c>
      <c r="V89" t="n" s="6583">
        <v>17.31</v>
      </c>
      <c r="W89" t="n" s="6584">
        <f>r89+t89+v89</f>
      </c>
      <c r="X89" t="n" s="6585">
        <v>0.0</v>
      </c>
      <c r="Y89" t="n" s="6586">
        <v>0.0</v>
      </c>
      <c r="Z89" t="n" s="6587">
        <v>0.0</v>
      </c>
      <c r="AA89" t="n" s="6588">
        <f>i89+j89+k89+l89+m89+n89+o89+p89+x89+y89+z89</f>
      </c>
      <c r="AB89" t="n" s="6589">
        <v>792.0</v>
      </c>
      <c r="AC89" t="n" s="6590">
        <v>113.7</v>
      </c>
      <c r="AD89" t="n" s="6591">
        <v>13.0</v>
      </c>
      <c r="AE89" t="n" s="6592">
        <v>80.0</v>
      </c>
      <c r="AF89" t="n" s="6593">
        <f>ROUND((aa89+ab89+ac89+ad89+ae89),2)</f>
      </c>
      <c r="AG89" t="n" s="6594">
        <f>af89*0.06</f>
      </c>
      <c r="AH89" t="n" s="6595">
        <f>af89+ag89</f>
      </c>
      <c r="AI89" t="s" s="6596">
        <v>0</v>
      </c>
    </row>
    <row r="90">
      <c r="A90" t="s" s="6597">
        <v>434</v>
      </c>
      <c r="B90" t="s" s="6598">
        <v>435</v>
      </c>
      <c r="C90" t="s" s="6599">
        <v>436</v>
      </c>
      <c r="D90" t="s" s="6600">
        <v>437</v>
      </c>
      <c r="E90" t="s" s="6601">
        <v>438</v>
      </c>
      <c r="F90" t="s" s="6602">
        <v>398</v>
      </c>
      <c r="G90" t="n" s="8795">
        <v>41944.0</v>
      </c>
      <c r="H90" t="s" s="8796">
        <v>0</v>
      </c>
      <c r="I90" t="n" s="6605">
        <v>1210.0</v>
      </c>
      <c r="J90" t="n" s="6606">
        <v>100.0</v>
      </c>
      <c r="K90" t="n" s="6607">
        <v>0.0</v>
      </c>
      <c r="L90" t="n" s="6608">
        <v>2400.0</v>
      </c>
      <c r="M90" t="n" s="6609">
        <v>0.0</v>
      </c>
      <c r="N90" t="n" s="6610">
        <v>16.9</v>
      </c>
      <c r="O90" t="n" s="6611">
        <v>60.0</v>
      </c>
      <c r="P90" t="n" s="6612">
        <v>0.0</v>
      </c>
      <c r="Q90" t="n" s="6613">
        <v>11.0</v>
      </c>
      <c r="R90" t="n" s="6614">
        <v>90.42</v>
      </c>
      <c r="S90" t="n" s="6615">
        <v>8.0</v>
      </c>
      <c r="T90" t="n" s="6616">
        <v>87.68</v>
      </c>
      <c r="U90" t="n" s="6617">
        <v>1.0</v>
      </c>
      <c r="V90" t="n" s="6618">
        <v>16.44</v>
      </c>
      <c r="W90" t="n" s="6619">
        <f>r90+t90+v90</f>
      </c>
      <c r="X90" t="n" s="6620">
        <v>0.0</v>
      </c>
      <c r="Y90" t="n" s="6621">
        <v>0.0</v>
      </c>
      <c r="Z90" t="n" s="6622">
        <v>0.0</v>
      </c>
      <c r="AA90" t="n" s="6623">
        <f>i90+j90+k90+l90+m90+n90+o90+p90+x90+y90+z90</f>
      </c>
      <c r="AB90" t="n" s="6624">
        <v>984.0</v>
      </c>
      <c r="AC90" t="n" s="6625">
        <v>138.1</v>
      </c>
      <c r="AD90" t="n" s="6626">
        <v>15.8</v>
      </c>
      <c r="AE90" t="n" s="6627">
        <v>80.0</v>
      </c>
      <c r="AF90" t="n" s="6628">
        <f>ROUND((aa90+ab90+ac90+ad90+ae90),2)</f>
      </c>
      <c r="AG90" t="n" s="6629">
        <f>af90*0.06</f>
      </c>
      <c r="AH90" t="n" s="6630">
        <f>af90+ag90</f>
      </c>
      <c r="AI90" t="s" s="6631">
        <v>0</v>
      </c>
    </row>
    <row r="91">
      <c r="A91" t="s" s="6632">
        <v>439</v>
      </c>
      <c r="B91" t="s" s="6633">
        <v>440</v>
      </c>
      <c r="C91" t="s" s="6634">
        <v>441</v>
      </c>
      <c r="D91" t="s" s="6635">
        <v>442</v>
      </c>
      <c r="E91" t="s" s="6636">
        <v>443</v>
      </c>
      <c r="F91" t="s" s="6637">
        <v>398</v>
      </c>
      <c r="G91" t="n" s="8797">
        <v>41944.0</v>
      </c>
      <c r="H91" t="s" s="8798">
        <v>0</v>
      </c>
      <c r="I91" t="n" s="6640">
        <v>1870.0</v>
      </c>
      <c r="J91" t="n" s="6641">
        <v>100.0</v>
      </c>
      <c r="K91" t="n" s="6642">
        <v>0.0</v>
      </c>
      <c r="L91" t="n" s="6643">
        <v>2000.0</v>
      </c>
      <c r="M91" t="n" s="6644">
        <v>0.0</v>
      </c>
      <c r="N91" t="n" s="6645">
        <v>13.3</v>
      </c>
      <c r="O91" t="n" s="6646">
        <v>60.0</v>
      </c>
      <c r="P91" t="n" s="6647">
        <v>0.0</v>
      </c>
      <c r="Q91" t="n" s="6648">
        <v>12.0</v>
      </c>
      <c r="R91" t="n" s="6649">
        <v>152.28</v>
      </c>
      <c r="S91" t="n" s="6650">
        <v>8.0</v>
      </c>
      <c r="T91" t="n" s="6651">
        <v>135.36</v>
      </c>
      <c r="U91" t="n" s="6652">
        <v>2.0</v>
      </c>
      <c r="V91" t="n" s="6653">
        <v>50.76</v>
      </c>
      <c r="W91" t="n" s="6654">
        <f>r91+t91+v91</f>
      </c>
      <c r="X91" t="n" s="6655">
        <v>0.0</v>
      </c>
      <c r="Y91" t="n" s="6656">
        <v>0.0</v>
      </c>
      <c r="Z91" t="n" s="6657">
        <v>0.0</v>
      </c>
      <c r="AA91" t="n" s="6658">
        <f>i91+j91+k91+l91+m91+n91+o91+p91+x91+y91+z91</f>
      </c>
      <c r="AB91" t="n" s="6659">
        <v>1052.0</v>
      </c>
      <c r="AC91" t="n" s="6660">
        <v>138.1</v>
      </c>
      <c r="AD91" t="n" s="6661">
        <v>15.8</v>
      </c>
      <c r="AE91" t="n" s="6662">
        <v>80.0</v>
      </c>
      <c r="AF91" t="n" s="6663">
        <f>ROUND((aa91+ab91+ac91+ad91+ae91),2)</f>
      </c>
      <c r="AG91" t="n" s="6664">
        <f>af91*0.06</f>
      </c>
      <c r="AH91" t="n" s="6665">
        <f>af91+ag91</f>
      </c>
      <c r="AI91" t="s" s="6666">
        <v>0</v>
      </c>
    </row>
    <row r="92">
      <c r="A92" t="s" s="6667">
        <v>444</v>
      </c>
      <c r="B92" t="s" s="6668">
        <v>445</v>
      </c>
      <c r="C92" t="s" s="6669">
        <v>446</v>
      </c>
      <c r="D92" t="s" s="6670">
        <v>447</v>
      </c>
      <c r="E92" t="s" s="6671">
        <v>448</v>
      </c>
      <c r="F92" t="s" s="6672">
        <v>398</v>
      </c>
      <c r="G92" t="n" s="8799">
        <v>41944.0</v>
      </c>
      <c r="H92" t="s" s="8800">
        <v>0</v>
      </c>
      <c r="I92" t="n" s="6675">
        <v>1310.0</v>
      </c>
      <c r="J92" t="n" s="6676">
        <v>100.0</v>
      </c>
      <c r="K92" t="n" s="6677">
        <v>0.0</v>
      </c>
      <c r="L92" t="n" s="6678">
        <v>2450.0</v>
      </c>
      <c r="M92" t="n" s="6679">
        <v>0.0</v>
      </c>
      <c r="N92" t="n" s="6680">
        <v>88.2</v>
      </c>
      <c r="O92" t="n" s="6681">
        <v>60.0</v>
      </c>
      <c r="P92" t="n" s="6682">
        <v>0.0</v>
      </c>
      <c r="Q92" t="n" s="6683">
        <v>11.0</v>
      </c>
      <c r="R92" t="n" s="6684">
        <v>97.57</v>
      </c>
      <c r="S92" t="n" s="6685">
        <v>8.0</v>
      </c>
      <c r="T92" t="n" s="6686">
        <v>94.64</v>
      </c>
      <c r="U92" t="n" s="6687">
        <v>1.0</v>
      </c>
      <c r="V92" t="n" s="6688">
        <v>17.74</v>
      </c>
      <c r="W92" t="n" s="6689">
        <f>r92+t92+v92</f>
      </c>
      <c r="X92" t="n" s="6690">
        <v>0.0</v>
      </c>
      <c r="Y92" t="n" s="6691">
        <v>0.0</v>
      </c>
      <c r="Z92" t="n" s="6692">
        <v>0.0</v>
      </c>
      <c r="AA92" t="n" s="6693">
        <f>i92+j92+k92+l92+m92+n92+o92+p92+x92+y92+z92</f>
      </c>
      <c r="AB92" t="n" s="6694">
        <v>1020.0</v>
      </c>
      <c r="AC92" t="n" s="6695">
        <v>138.1</v>
      </c>
      <c r="AD92" t="n" s="6696">
        <v>15.8</v>
      </c>
      <c r="AE92" t="n" s="6697">
        <v>80.0</v>
      </c>
      <c r="AF92" t="n" s="6698">
        <f>ROUND((aa92+ab92+ac92+ad92+ae92),2)</f>
      </c>
      <c r="AG92" t="n" s="6699">
        <f>af92*0.06</f>
      </c>
      <c r="AH92" t="n" s="6700">
        <f>af92+ag92</f>
      </c>
      <c r="AI92" t="s" s="6701">
        <v>0</v>
      </c>
    </row>
    <row r="93">
      <c r="A93" t="s" s="6702">
        <v>449</v>
      </c>
      <c r="B93" t="s" s="6703">
        <v>450</v>
      </c>
      <c r="C93" t="s" s="6704">
        <v>451</v>
      </c>
      <c r="D93" t="s" s="6705">
        <v>452</v>
      </c>
      <c r="E93" t="s" s="6706">
        <v>453</v>
      </c>
      <c r="F93" t="s" s="6707">
        <v>398</v>
      </c>
      <c r="G93" t="n" s="8801">
        <v>42139.0</v>
      </c>
      <c r="H93" t="s" s="8802">
        <v>0</v>
      </c>
      <c r="I93" t="n" s="6710">
        <v>1180.0</v>
      </c>
      <c r="J93" t="n" s="6711">
        <v>100.0</v>
      </c>
      <c r="K93" t="n" s="6712">
        <v>0.0</v>
      </c>
      <c r="L93" t="n" s="6713">
        <v>3400.0</v>
      </c>
      <c r="M93" t="n" s="6714">
        <v>0.0</v>
      </c>
      <c r="N93" t="n" s="6715">
        <v>10.0</v>
      </c>
      <c r="O93" t="n" s="6716">
        <v>60.0</v>
      </c>
      <c r="P93" t="n" s="6717">
        <v>0.0</v>
      </c>
      <c r="Q93" t="n" s="6718">
        <v>1.0</v>
      </c>
      <c r="R93" t="n" s="6719">
        <v>7.93</v>
      </c>
      <c r="S93" t="n" s="6720">
        <v>8.0</v>
      </c>
      <c r="T93" t="n" s="6721">
        <v>84.64</v>
      </c>
      <c r="U93" t="n" s="6722">
        <v>1.0</v>
      </c>
      <c r="V93" t="n" s="6723">
        <v>15.87</v>
      </c>
      <c r="W93" t="n" s="6724">
        <f>r93+t93+v93</f>
      </c>
      <c r="X93" t="n" s="6725">
        <v>0.0</v>
      </c>
      <c r="Y93" t="n" s="6726">
        <v>0.0</v>
      </c>
      <c r="Z93" t="n" s="6727">
        <v>0.0</v>
      </c>
      <c r="AA93" t="n" s="6728">
        <f>i93+j93+k93+l93+m93+n93+o93+p93+x93+y93+z93</f>
      </c>
      <c r="AB93" t="n" s="6729">
        <v>1234.0</v>
      </c>
      <c r="AC93" t="n" s="6730">
        <v>138.1</v>
      </c>
      <c r="AD93" t="n" s="6731">
        <v>15.8</v>
      </c>
      <c r="AE93" t="n" s="6732">
        <v>80.0</v>
      </c>
      <c r="AF93" t="n" s="6733">
        <f>ROUND((aa93+ab93+ac93+ad93+ae93),2)</f>
      </c>
      <c r="AG93" t="n" s="6734">
        <f>af93*0.06</f>
      </c>
      <c r="AH93" t="n" s="6735">
        <f>af93+ag93</f>
      </c>
      <c r="AI93" t="s" s="6736">
        <v>0</v>
      </c>
    </row>
    <row r="94">
      <c r="A94" t="s" s="6737">
        <v>454</v>
      </c>
      <c r="B94" t="s" s="6738">
        <v>455</v>
      </c>
      <c r="C94" t="s" s="6739">
        <v>456</v>
      </c>
      <c r="D94" t="s" s="6740">
        <v>457</v>
      </c>
      <c r="E94" t="s" s="6741">
        <v>458</v>
      </c>
      <c r="F94" t="s" s="6742">
        <v>398</v>
      </c>
      <c r="G94" t="n" s="8803">
        <v>42993.0</v>
      </c>
      <c r="H94" t="s" s="8804">
        <v>0</v>
      </c>
      <c r="I94" t="n" s="6745">
        <v>1250.0</v>
      </c>
      <c r="J94" t="n" s="6746">
        <v>100.0</v>
      </c>
      <c r="K94" t="n" s="6747">
        <v>0.0</v>
      </c>
      <c r="L94" t="n" s="6748">
        <v>3800.0</v>
      </c>
      <c r="M94" t="n" s="6749">
        <v>0.0</v>
      </c>
      <c r="N94" t="n" s="6750">
        <v>16.9</v>
      </c>
      <c r="O94" t="n" s="6751">
        <v>60.0</v>
      </c>
      <c r="P94" t="n" s="6752">
        <v>0.0</v>
      </c>
      <c r="Q94" t="n" s="6753">
        <v>12.0</v>
      </c>
      <c r="R94" t="n" s="6754">
        <v>103.8</v>
      </c>
      <c r="S94" t="n" s="6755">
        <v>8.0</v>
      </c>
      <c r="T94" t="n" s="6756">
        <v>92.32</v>
      </c>
      <c r="U94" t="n" s="6757">
        <v>2.0</v>
      </c>
      <c r="V94" t="n" s="6758">
        <v>34.62</v>
      </c>
      <c r="W94" t="n" s="6759">
        <f>r94+t94+v94</f>
      </c>
      <c r="X94" t="n" s="6760">
        <v>0.0</v>
      </c>
      <c r="Y94" t="n" s="6761">
        <v>0.0</v>
      </c>
      <c r="Z94" t="n" s="6762">
        <v>0.0</v>
      </c>
      <c r="AA94" t="n" s="6763">
        <f>i94+j94+k94+l94+m94+n94+o94+p94+x94+y94+z94</f>
      </c>
      <c r="AB94" t="n" s="6764">
        <v>1482.0</v>
      </c>
      <c r="AC94" t="n" s="6765">
        <v>138.1</v>
      </c>
      <c r="AD94" t="n" s="6766">
        <v>15.8</v>
      </c>
      <c r="AE94" t="n" s="6767">
        <v>80.0</v>
      </c>
      <c r="AF94" t="n" s="6768">
        <f>ROUND((aa94+ab94+ac94+ad94+ae94),2)</f>
      </c>
      <c r="AG94" t="n" s="6769">
        <f>af94*0.06</f>
      </c>
      <c r="AH94" t="n" s="6770">
        <f>af94+ag94</f>
      </c>
      <c r="AI94" t="s" s="6771">
        <v>0</v>
      </c>
    </row>
    <row r="95">
      <c r="A95" t="s" s="6772">
        <v>459</v>
      </c>
      <c r="B95" t="s" s="6773">
        <v>460</v>
      </c>
      <c r="C95" t="s" s="6774">
        <v>461</v>
      </c>
      <c r="D95" t="s" s="6775">
        <v>462</v>
      </c>
      <c r="E95" t="s" s="6776">
        <v>463</v>
      </c>
      <c r="F95" t="s" s="6777">
        <v>464</v>
      </c>
      <c r="G95" t="n" s="8805">
        <v>41944.0</v>
      </c>
      <c r="H95" t="n" s="8806">
        <v>43190.0</v>
      </c>
      <c r="I95" t="n" s="6780">
        <v>1590.0</v>
      </c>
      <c r="J95" t="n" s="6781">
        <v>100.0</v>
      </c>
      <c r="K95" t="n" s="6782">
        <v>0.0</v>
      </c>
      <c r="L95" t="n" s="6783">
        <v>1750.0</v>
      </c>
      <c r="M95" t="n" s="6784">
        <v>0.0</v>
      </c>
      <c r="N95" t="n" s="6785">
        <v>18.9</v>
      </c>
      <c r="O95" t="n" s="6786">
        <v>60.0</v>
      </c>
      <c r="P95" t="n" s="6787">
        <v>0.0</v>
      </c>
      <c r="Q95" t="n" s="6788">
        <v>0.0</v>
      </c>
      <c r="R95" t="n" s="6789">
        <v>0.0</v>
      </c>
      <c r="S95" t="n" s="6790">
        <v>8.0</v>
      </c>
      <c r="T95" t="n" s="6791">
        <v>115.36</v>
      </c>
      <c r="U95" t="n" s="6792">
        <v>0.0</v>
      </c>
      <c r="V95" t="n" s="6793">
        <v>0.0</v>
      </c>
      <c r="W95" t="n" s="6794">
        <f>r95+t95+v95</f>
      </c>
      <c r="X95" t="n" s="6795">
        <v>0.0</v>
      </c>
      <c r="Y95" t="n" s="6796">
        <v>0.0</v>
      </c>
      <c r="Z95" t="n" s="6797">
        <v>0.0</v>
      </c>
      <c r="AA95" t="n" s="6798">
        <f>i95+j95+k95+l95+m95+n95+o95+p95+x95+y95+z95</f>
      </c>
      <c r="AB95" t="n" s="6799">
        <v>910.0</v>
      </c>
      <c r="AC95" t="n" s="6800">
        <v>124.3</v>
      </c>
      <c r="AD95" t="n" s="6801">
        <v>14.2</v>
      </c>
      <c r="AE95" t="n" s="6802">
        <v>80.0</v>
      </c>
      <c r="AF95" t="n" s="6803">
        <f>ROUND((aa95+ab95+ac95+ad95+ae95),2)</f>
      </c>
      <c r="AG95" t="n" s="6804">
        <f>af95*0.06</f>
      </c>
      <c r="AH95" t="n" s="6805">
        <f>af95+ag95</f>
      </c>
      <c r="AI95" t="s" s="6806">
        <v>0</v>
      </c>
    </row>
    <row r="96">
      <c r="A96" t="s" s="6807">
        <v>465</v>
      </c>
      <c r="B96" t="s" s="6808">
        <v>466</v>
      </c>
      <c r="C96" t="s" s="6809">
        <v>467</v>
      </c>
      <c r="D96" t="s" s="6810">
        <v>468</v>
      </c>
      <c r="E96" t="s" s="6811">
        <v>469</v>
      </c>
      <c r="F96" t="s" s="6812">
        <v>464</v>
      </c>
      <c r="G96" t="n" s="8807">
        <v>41944.0</v>
      </c>
      <c r="H96" t="s" s="8808">
        <v>0</v>
      </c>
      <c r="I96" t="n" s="6815">
        <v>1510.0</v>
      </c>
      <c r="J96" t="n" s="6816">
        <v>100.0</v>
      </c>
      <c r="K96" t="n" s="6817">
        <v>0.0</v>
      </c>
      <c r="L96" t="n" s="6818">
        <v>2400.0</v>
      </c>
      <c r="M96" t="n" s="6819">
        <v>0.0</v>
      </c>
      <c r="N96" t="n" s="6820">
        <v>10.0</v>
      </c>
      <c r="O96" t="n" s="6821">
        <v>60.0</v>
      </c>
      <c r="P96" t="n" s="6822">
        <v>0.0</v>
      </c>
      <c r="Q96" t="n" s="6823">
        <v>43.0</v>
      </c>
      <c r="R96" t="n" s="6824">
        <v>440.32</v>
      </c>
      <c r="S96" t="n" s="6825">
        <v>8.0</v>
      </c>
      <c r="T96" t="n" s="6826">
        <v>109.2</v>
      </c>
      <c r="U96" t="n" s="6827">
        <v>4.0</v>
      </c>
      <c r="V96" t="n" s="6828">
        <v>81.92</v>
      </c>
      <c r="W96" t="n" s="6829">
        <f>r96+t96+v96</f>
      </c>
      <c r="X96" t="n" s="6830">
        <v>0.0</v>
      </c>
      <c r="Y96" t="n" s="6831">
        <v>0.0</v>
      </c>
      <c r="Z96" t="n" s="6832">
        <v>0.0</v>
      </c>
      <c r="AA96" t="n" s="6833">
        <f>i96+j96+k96+l96+m96+n96+o96+p96+x96+y96+z96</f>
      </c>
      <c r="AB96" t="n" s="6834">
        <v>1326.0</v>
      </c>
      <c r="AC96" t="n" s="6835">
        <v>138.1</v>
      </c>
      <c r="AD96" t="n" s="6836">
        <v>15.8</v>
      </c>
      <c r="AE96" t="n" s="6837">
        <v>80.0</v>
      </c>
      <c r="AF96" t="n" s="6838">
        <f>ROUND((aa96+ab96+ac96+ad96+ae96),2)</f>
      </c>
      <c r="AG96" t="n" s="6839">
        <f>af96*0.06</f>
      </c>
      <c r="AH96" t="n" s="6840">
        <f>af96+ag96</f>
      </c>
      <c r="AI96" t="s" s="6841">
        <v>0</v>
      </c>
    </row>
    <row r="97">
      <c r="A97" t="s" s="6842">
        <v>470</v>
      </c>
      <c r="B97" t="s" s="6843">
        <v>471</v>
      </c>
      <c r="C97" t="s" s="6844">
        <v>472</v>
      </c>
      <c r="D97" t="s" s="6845">
        <v>473</v>
      </c>
      <c r="E97" t="s" s="6846">
        <v>474</v>
      </c>
      <c r="F97" t="s" s="6847">
        <v>464</v>
      </c>
      <c r="G97" t="n" s="8809">
        <v>41944.0</v>
      </c>
      <c r="H97" t="n" s="8810">
        <v>43327.0</v>
      </c>
      <c r="I97" t="n" s="6850">
        <v>1250.0</v>
      </c>
      <c r="J97" t="n" s="6851">
        <v>100.0</v>
      </c>
      <c r="K97" t="n" s="6852">
        <v>0.0</v>
      </c>
      <c r="L97" t="n" s="6853">
        <v>1858.0</v>
      </c>
      <c r="M97" t="n" s="6854">
        <v>0.0</v>
      </c>
      <c r="N97" t="n" s="6855">
        <v>21.6</v>
      </c>
      <c r="O97" t="n" s="6856">
        <v>60.0</v>
      </c>
      <c r="P97" t="n" s="6857">
        <v>0.0</v>
      </c>
      <c r="Q97" t="n" s="6858">
        <v>0.0</v>
      </c>
      <c r="R97" t="n" s="6859">
        <v>0.0</v>
      </c>
      <c r="S97" t="n" s="6860">
        <v>8.0</v>
      </c>
      <c r="T97" t="n" s="6861">
        <v>92.32</v>
      </c>
      <c r="U97" t="n" s="6862">
        <v>0.0</v>
      </c>
      <c r="V97" t="n" s="6863">
        <v>0.0</v>
      </c>
      <c r="W97" t="n" s="6864">
        <f>r97+t97+v97</f>
      </c>
      <c r="X97" t="n" s="6865">
        <v>0.0</v>
      </c>
      <c r="Y97" t="n" s="6866">
        <v>0.0</v>
      </c>
      <c r="Z97" t="n" s="6867">
        <v>0.0</v>
      </c>
      <c r="AA97" t="n" s="6868">
        <f>i97+j97+k97+l97+m97+n97+o97+p97+x97+y97+z97</f>
      </c>
      <c r="AB97" t="n" s="6869">
        <v>854.0</v>
      </c>
      <c r="AC97" t="n" s="6870">
        <v>117.3</v>
      </c>
      <c r="AD97" t="n" s="6871">
        <v>13.4</v>
      </c>
      <c r="AE97" t="n" s="6872">
        <v>80.0</v>
      </c>
      <c r="AF97" t="n" s="6873">
        <f>ROUND((aa97+ab97+ac97+ad97+ae97),2)</f>
      </c>
      <c r="AG97" t="n" s="6874">
        <f>af97*0.06</f>
      </c>
      <c r="AH97" t="n" s="6875">
        <f>af97+ag97</f>
      </c>
      <c r="AI97" t="s" s="6876">
        <v>0</v>
      </c>
    </row>
    <row r="98">
      <c r="A98" t="s" s="6877">
        <v>475</v>
      </c>
      <c r="B98" t="s" s="6878">
        <v>476</v>
      </c>
      <c r="C98" t="s" s="6879">
        <v>477</v>
      </c>
      <c r="D98" t="s" s="6880">
        <v>478</v>
      </c>
      <c r="E98" t="s" s="6881">
        <v>479</v>
      </c>
      <c r="F98" t="s" s="6882">
        <v>464</v>
      </c>
      <c r="G98" t="n" s="8811">
        <v>41944.0</v>
      </c>
      <c r="H98" t="s" s="8812">
        <v>0</v>
      </c>
      <c r="I98" t="n" s="6885">
        <v>1850.0</v>
      </c>
      <c r="J98" t="n" s="6886">
        <v>100.0</v>
      </c>
      <c r="K98" t="n" s="6887">
        <v>0.0</v>
      </c>
      <c r="L98" t="n" s="6888">
        <v>600.0</v>
      </c>
      <c r="M98" t="n" s="6889">
        <v>0.0</v>
      </c>
      <c r="N98" t="n" s="6890">
        <v>235.0</v>
      </c>
      <c r="O98" t="n" s="6891">
        <v>60.0</v>
      </c>
      <c r="P98" t="n" s="6892">
        <v>0.0</v>
      </c>
      <c r="Q98" t="n" s="6893">
        <v>23.0</v>
      </c>
      <c r="R98" t="n" s="6894">
        <v>288.65</v>
      </c>
      <c r="S98" t="n" s="6895">
        <v>8.0</v>
      </c>
      <c r="T98" t="n" s="6896">
        <v>133.84</v>
      </c>
      <c r="U98" t="n" s="6897">
        <v>0.0</v>
      </c>
      <c r="V98" t="n" s="6898">
        <v>0.0</v>
      </c>
      <c r="W98" t="n" s="6899">
        <f>r98+t98+v98</f>
      </c>
      <c r="X98" t="n" s="6900">
        <v>0.0</v>
      </c>
      <c r="Y98" t="n" s="6901">
        <v>0.0</v>
      </c>
      <c r="Z98" t="n" s="6902">
        <v>0.0</v>
      </c>
      <c r="AA98" t="n" s="6903">
        <f>i98+j98+k98+l98+m98+n98+o98+p98+x98+y98+z98</f>
      </c>
      <c r="AB98" t="n" s="6904">
        <v>962.0</v>
      </c>
      <c r="AC98" t="n" s="6905">
        <v>138.1</v>
      </c>
      <c r="AD98" t="n" s="6906">
        <v>15.8</v>
      </c>
      <c r="AE98" t="n" s="6907">
        <v>80.0</v>
      </c>
      <c r="AF98" t="n" s="6908">
        <f>ROUND((aa98+ab98+ac98+ad98+ae98),2)</f>
      </c>
      <c r="AG98" t="n" s="6909">
        <f>af98*0.06</f>
      </c>
      <c r="AH98" t="n" s="6910">
        <f>af98+ag98</f>
      </c>
      <c r="AI98" t="s" s="6911">
        <v>0</v>
      </c>
    </row>
    <row r="99">
      <c r="A99" t="s" s="6912">
        <v>480</v>
      </c>
      <c r="B99" t="s" s="6913">
        <v>481</v>
      </c>
      <c r="C99" t="s" s="6914">
        <v>482</v>
      </c>
      <c r="D99" t="s" s="6915">
        <v>483</v>
      </c>
      <c r="E99" t="s" s="6916">
        <v>484</v>
      </c>
      <c r="F99" t="s" s="6917">
        <v>464</v>
      </c>
      <c r="G99" t="n" s="8813">
        <v>41944.0</v>
      </c>
      <c r="H99" t="s" s="8814">
        <v>0</v>
      </c>
      <c r="I99" t="n" s="6920">
        <v>1530.0</v>
      </c>
      <c r="J99" t="n" s="6921">
        <v>100.0</v>
      </c>
      <c r="K99" t="n" s="6922">
        <v>0.0</v>
      </c>
      <c r="L99" t="n" s="6923">
        <v>1931.0</v>
      </c>
      <c r="M99" t="n" s="6924">
        <v>0.0</v>
      </c>
      <c r="N99" t="n" s="6925">
        <v>115.0</v>
      </c>
      <c r="O99" t="n" s="6926">
        <v>60.0</v>
      </c>
      <c r="P99" t="n" s="6927">
        <v>0.0</v>
      </c>
      <c r="Q99" t="n" s="6928">
        <v>10.0</v>
      </c>
      <c r="R99" t="n" s="6929">
        <v>103.8</v>
      </c>
      <c r="S99" t="n" s="6930">
        <v>8.0</v>
      </c>
      <c r="T99" t="n" s="6931">
        <v>110.8</v>
      </c>
      <c r="U99" t="n" s="6932">
        <v>0.0</v>
      </c>
      <c r="V99" t="n" s="6933">
        <v>0.0</v>
      </c>
      <c r="W99" t="n" s="6934">
        <f>r99+t99+v99</f>
      </c>
      <c r="X99" t="n" s="6935">
        <v>0.0</v>
      </c>
      <c r="Y99" t="n" s="6936">
        <v>0.0</v>
      </c>
      <c r="Z99" t="n" s="6937">
        <v>0.0</v>
      </c>
      <c r="AA99" t="n" s="6938">
        <f>i99+j99+k99+l99+m99+n99+o99+p99+x99+y99+z99</f>
      </c>
      <c r="AB99" t="n" s="6939">
        <v>1052.0</v>
      </c>
      <c r="AC99" t="n" s="6940">
        <v>138.1</v>
      </c>
      <c r="AD99" t="n" s="6941">
        <v>15.8</v>
      </c>
      <c r="AE99" t="n" s="6942">
        <v>80.0</v>
      </c>
      <c r="AF99" t="n" s="6943">
        <f>ROUND((aa99+ab99+ac99+ad99+ae99),2)</f>
      </c>
      <c r="AG99" t="n" s="6944">
        <f>af99*0.06</f>
      </c>
      <c r="AH99" t="n" s="6945">
        <f>af99+ag99</f>
      </c>
      <c r="AI99" t="s" s="6946">
        <v>0</v>
      </c>
    </row>
    <row r="100">
      <c r="A100" t="s" s="6947">
        <v>485</v>
      </c>
      <c r="B100" t="s" s="6948">
        <v>486</v>
      </c>
      <c r="C100" t="s" s="6949">
        <v>487</v>
      </c>
      <c r="D100" t="s" s="6950">
        <v>488</v>
      </c>
      <c r="E100" t="s" s="6951">
        <v>489</v>
      </c>
      <c r="F100" t="s" s="6952">
        <v>464</v>
      </c>
      <c r="G100" t="n" s="8815">
        <v>41944.0</v>
      </c>
      <c r="H100" t="s" s="8816">
        <v>0</v>
      </c>
      <c r="I100" t="n" s="6955">
        <v>1390.0</v>
      </c>
      <c r="J100" t="n" s="6956">
        <v>100.0</v>
      </c>
      <c r="K100" t="n" s="6957">
        <v>0.0</v>
      </c>
      <c r="L100" t="n" s="6958">
        <v>2400.0</v>
      </c>
      <c r="M100" t="n" s="6959">
        <v>0.0</v>
      </c>
      <c r="N100" t="n" s="6960">
        <v>22.4</v>
      </c>
      <c r="O100" t="n" s="6961">
        <v>60.0</v>
      </c>
      <c r="P100" t="n" s="6962">
        <v>0.0</v>
      </c>
      <c r="Q100" t="n" s="6963">
        <v>37.0</v>
      </c>
      <c r="R100" t="n" s="6964">
        <v>349.65</v>
      </c>
      <c r="S100" t="n" s="6965">
        <v>8.0</v>
      </c>
      <c r="T100" t="n" s="6966">
        <v>100.8</v>
      </c>
      <c r="U100" t="n" s="6967">
        <v>4.0</v>
      </c>
      <c r="V100" t="n" s="6968">
        <v>75.56</v>
      </c>
      <c r="W100" t="n" s="6969">
        <f>r100+t100+v100</f>
      </c>
      <c r="X100" t="n" s="6970">
        <v>0.0</v>
      </c>
      <c r="Y100" t="n" s="6971">
        <v>0.0</v>
      </c>
      <c r="Z100" t="n" s="6972">
        <v>0.0</v>
      </c>
      <c r="AA100" t="n" s="6973">
        <f>i100+j100+k100+l100+m100+n100+o100+p100+x100+y100+z100</f>
      </c>
      <c r="AB100" t="n" s="6974">
        <v>1352.0</v>
      </c>
      <c r="AC100" t="n" s="6975">
        <v>138.1</v>
      </c>
      <c r="AD100" t="n" s="6976">
        <v>15.8</v>
      </c>
      <c r="AE100" t="n" s="6977">
        <v>80.0</v>
      </c>
      <c r="AF100" t="n" s="6978">
        <f>ROUND((aa100+ab100+ac100+ad100+ae100),2)</f>
      </c>
      <c r="AG100" t="n" s="6979">
        <f>af100*0.06</f>
      </c>
      <c r="AH100" t="n" s="6980">
        <f>af100+ag100</f>
      </c>
      <c r="AI100" t="s" s="6981">
        <v>0</v>
      </c>
    </row>
    <row r="101">
      <c r="A101" t="s" s="6982">
        <v>490</v>
      </c>
      <c r="B101" t="s" s="6983">
        <v>491</v>
      </c>
      <c r="C101" t="s" s="6984">
        <v>492</v>
      </c>
      <c r="D101" t="s" s="6985">
        <v>493</v>
      </c>
      <c r="E101" t="s" s="6986">
        <v>494</v>
      </c>
      <c r="F101" t="s" s="6987">
        <v>464</v>
      </c>
      <c r="G101" t="n" s="8817">
        <v>41944.0</v>
      </c>
      <c r="H101" t="s" s="8818">
        <v>0</v>
      </c>
      <c r="I101" t="n" s="6990">
        <v>1610.0</v>
      </c>
      <c r="J101" t="n" s="6991">
        <v>100.0</v>
      </c>
      <c r="K101" t="n" s="6992">
        <v>0.0</v>
      </c>
      <c r="L101" t="n" s="6993">
        <v>2100.0</v>
      </c>
      <c r="M101" t="n" s="6994">
        <v>0.0</v>
      </c>
      <c r="N101" t="n" s="6995">
        <v>12.6</v>
      </c>
      <c r="O101" t="n" s="6996">
        <v>60.0</v>
      </c>
      <c r="P101" t="n" s="6997">
        <v>0.0</v>
      </c>
      <c r="Q101" t="n" s="6998">
        <v>23.0</v>
      </c>
      <c r="R101" t="n" s="6999">
        <v>255.53</v>
      </c>
      <c r="S101" t="n" s="7000">
        <v>8.0</v>
      </c>
      <c r="T101" t="n" s="7001">
        <v>118.48</v>
      </c>
      <c r="U101" t="n" s="7002">
        <v>4.0</v>
      </c>
      <c r="V101" t="n" s="7003">
        <v>88.84</v>
      </c>
      <c r="W101" t="n" s="7004">
        <f>r101+t101+v101</f>
      </c>
      <c r="X101" t="n" s="7005">
        <v>0.0</v>
      </c>
      <c r="Y101" t="n" s="7006">
        <v>0.0</v>
      </c>
      <c r="Z101" t="n" s="7007">
        <v>0.0</v>
      </c>
      <c r="AA101" t="n" s="7008">
        <f>i101+j101+k101+l101+m101+n101+o101+p101+x101+y101+z101</f>
      </c>
      <c r="AB101" t="n" s="7009">
        <v>1010.0</v>
      </c>
      <c r="AC101" t="n" s="7010">
        <v>138.1</v>
      </c>
      <c r="AD101" t="n" s="7011">
        <v>15.8</v>
      </c>
      <c r="AE101" t="n" s="7012">
        <v>80.0</v>
      </c>
      <c r="AF101" t="n" s="7013">
        <f>ROUND((aa101+ab101+ac101+ad101+ae101),2)</f>
      </c>
      <c r="AG101" t="n" s="7014">
        <f>af101*0.06</f>
      </c>
      <c r="AH101" t="n" s="7015">
        <f>af101+ag101</f>
      </c>
      <c r="AI101" t="s" s="7016">
        <v>0</v>
      </c>
    </row>
    <row r="102">
      <c r="A102" t="s" s="7017">
        <v>495</v>
      </c>
      <c r="B102" t="s" s="7018">
        <v>496</v>
      </c>
      <c r="C102" t="s" s="7019">
        <v>497</v>
      </c>
      <c r="D102" t="s" s="7020">
        <v>498</v>
      </c>
      <c r="E102" t="s" s="7021">
        <v>499</v>
      </c>
      <c r="F102" t="s" s="7022">
        <v>464</v>
      </c>
      <c r="G102" t="n" s="8819">
        <v>41974.0</v>
      </c>
      <c r="H102" t="s" s="8820">
        <v>0</v>
      </c>
      <c r="I102" t="n" s="7025">
        <v>1650.0</v>
      </c>
      <c r="J102" t="n" s="7026">
        <v>100.0</v>
      </c>
      <c r="K102" t="n" s="7027">
        <v>0.0</v>
      </c>
      <c r="L102" t="n" s="7028">
        <v>2400.0</v>
      </c>
      <c r="M102" t="n" s="7029">
        <v>0.0</v>
      </c>
      <c r="N102" t="n" s="7030">
        <v>26.9</v>
      </c>
      <c r="O102" t="n" s="7031">
        <v>60.0</v>
      </c>
      <c r="P102" t="n" s="7032">
        <v>0.0</v>
      </c>
      <c r="Q102" t="n" s="7033">
        <v>46.0</v>
      </c>
      <c r="R102" t="n" s="7034">
        <v>504.16</v>
      </c>
      <c r="S102" t="n" s="7035">
        <v>8.0</v>
      </c>
      <c r="T102" t="n" s="7036">
        <v>116.96</v>
      </c>
      <c r="U102" t="n" s="7037">
        <v>4.0</v>
      </c>
      <c r="V102" t="n" s="7038">
        <v>87.68</v>
      </c>
      <c r="W102" t="n" s="7039">
        <f>r102+t102+v102</f>
      </c>
      <c r="X102" t="n" s="7040">
        <v>0.0</v>
      </c>
      <c r="Y102" t="n" s="7041">
        <v>0.0</v>
      </c>
      <c r="Z102" t="n" s="7042">
        <v>0.0</v>
      </c>
      <c r="AA102" t="n" s="7043">
        <f>i102+j102+k102+l102+m102+n102+o102+p102+x102+y102+z102</f>
      </c>
      <c r="AB102" t="n" s="7044">
        <v>1098.0</v>
      </c>
      <c r="AC102" t="n" s="7045">
        <v>138.1</v>
      </c>
      <c r="AD102" t="n" s="7046">
        <v>15.8</v>
      </c>
      <c r="AE102" t="n" s="7047">
        <v>80.0</v>
      </c>
      <c r="AF102" t="n" s="7048">
        <f>ROUND((aa102+ab102+ac102+ad102+ae102),2)</f>
      </c>
      <c r="AG102" t="n" s="7049">
        <f>af102*0.06</f>
      </c>
      <c r="AH102" t="n" s="7050">
        <f>af102+ag102</f>
      </c>
      <c r="AI102" t="s" s="7051">
        <v>0</v>
      </c>
    </row>
    <row r="103">
      <c r="A103" t="s" s="7052">
        <v>500</v>
      </c>
      <c r="B103" t="s" s="7053">
        <v>501</v>
      </c>
      <c r="C103" t="s" s="7054">
        <v>502</v>
      </c>
      <c r="D103" t="s" s="7055">
        <v>503</v>
      </c>
      <c r="E103" t="s" s="7056">
        <v>504</v>
      </c>
      <c r="F103" t="s" s="7057">
        <v>464</v>
      </c>
      <c r="G103" t="n" s="8821">
        <v>42607.0</v>
      </c>
      <c r="H103" t="s" s="8822">
        <v>0</v>
      </c>
      <c r="I103" t="n" s="7060">
        <v>1490.0</v>
      </c>
      <c r="J103" t="n" s="7061">
        <v>100.0</v>
      </c>
      <c r="K103" t="n" s="7062">
        <v>0.0</v>
      </c>
      <c r="L103" t="n" s="7063">
        <v>1366.0</v>
      </c>
      <c r="M103" t="n" s="7064">
        <v>0.0</v>
      </c>
      <c r="N103" t="n" s="7065">
        <v>10.0</v>
      </c>
      <c r="O103" t="n" s="7066">
        <v>60.0</v>
      </c>
      <c r="P103" t="n" s="7067">
        <v>0.0</v>
      </c>
      <c r="Q103" t="n" s="7068">
        <v>0.0</v>
      </c>
      <c r="R103" t="n" s="7069">
        <v>0.0</v>
      </c>
      <c r="S103" t="n" s="7070">
        <v>8.0</v>
      </c>
      <c r="T103" t="n" s="7071">
        <v>107.68</v>
      </c>
      <c r="U103" t="n" s="7072">
        <v>0.0</v>
      </c>
      <c r="V103" t="n" s="7073">
        <v>0.0</v>
      </c>
      <c r="W103" t="n" s="7074">
        <f>r103+t103+v103</f>
      </c>
      <c r="X103" t="n" s="7075">
        <v>0.0</v>
      </c>
      <c r="Y103" t="n" s="7076">
        <v>0.0</v>
      </c>
      <c r="Z103" t="n" s="7077">
        <v>0.0</v>
      </c>
      <c r="AA103" t="n" s="7078">
        <f>i103+j103+k103+l103+m103+n103+o103+p103+x103+y103+z103</f>
      </c>
      <c r="AB103" t="n" s="7079">
        <v>786.0</v>
      </c>
      <c r="AC103" t="n" s="7080">
        <v>110.1</v>
      </c>
      <c r="AD103" t="n" s="7081">
        <v>12.6</v>
      </c>
      <c r="AE103" t="n" s="7082">
        <v>80.0</v>
      </c>
      <c r="AF103" t="n" s="7083">
        <f>ROUND((aa103+ab103+ac103+ad103+ae103),2)</f>
      </c>
      <c r="AG103" t="n" s="7084">
        <f>af103*0.06</f>
      </c>
      <c r="AH103" t="n" s="7085">
        <f>af103+ag103</f>
      </c>
      <c r="AI103" t="s" s="7086">
        <v>0</v>
      </c>
    </row>
    <row r="104">
      <c r="A104" t="s" s="7087">
        <v>505</v>
      </c>
      <c r="B104" t="s" s="7088">
        <v>506</v>
      </c>
      <c r="C104" t="s" s="7089">
        <v>507</v>
      </c>
      <c r="D104" t="s" s="7090">
        <v>508</v>
      </c>
      <c r="E104" t="s" s="7091">
        <v>509</v>
      </c>
      <c r="F104" t="s" s="7092">
        <v>464</v>
      </c>
      <c r="G104" t="n" s="8823">
        <v>42700.0</v>
      </c>
      <c r="H104" t="n" s="8824">
        <v>43131.0</v>
      </c>
      <c r="I104" t="n" s="7095">
        <v>1250.0</v>
      </c>
      <c r="J104" t="n" s="7096">
        <v>100.0</v>
      </c>
      <c r="K104" t="n" s="7097">
        <v>0.0</v>
      </c>
      <c r="L104" t="n" s="7098">
        <v>1658.0</v>
      </c>
      <c r="M104" t="n" s="7099">
        <v>0.0</v>
      </c>
      <c r="N104" t="n" s="7100">
        <v>10.0</v>
      </c>
      <c r="O104" t="n" s="7101">
        <v>0.0</v>
      </c>
      <c r="P104" t="n" s="7102">
        <v>0.0</v>
      </c>
      <c r="Q104" t="n" s="7103">
        <v>0.0</v>
      </c>
      <c r="R104" t="n" s="7104">
        <v>0.0</v>
      </c>
      <c r="S104" t="n" s="7105">
        <v>8.0</v>
      </c>
      <c r="T104" t="n" s="7106">
        <v>92.32</v>
      </c>
      <c r="U104" t="n" s="7107">
        <v>0.0</v>
      </c>
      <c r="V104" t="n" s="7108">
        <v>0.0</v>
      </c>
      <c r="W104" t="n" s="7109">
        <f>r104+t104+v104</f>
      </c>
      <c r="X104" t="n" s="7110">
        <v>0.0</v>
      </c>
      <c r="Y104" t="n" s="7111">
        <v>0.0</v>
      </c>
      <c r="Z104" t="n" s="7112">
        <v>0.0</v>
      </c>
      <c r="AA104" t="n" s="7113">
        <f>i104+j104+k104+l104+m104+n104+o104+p104+x104+y104+z104</f>
      </c>
      <c r="AB104" t="n" s="7114">
        <v>786.0</v>
      </c>
      <c r="AC104" t="n" s="7115">
        <v>110.3</v>
      </c>
      <c r="AD104" t="n" s="7116">
        <v>12.6</v>
      </c>
      <c r="AE104" t="n" s="7117">
        <v>80.0</v>
      </c>
      <c r="AF104" t="n" s="7118">
        <f>ROUND((aa104+ab104+ac104+ad104+ae104),2)</f>
      </c>
      <c r="AG104" t="n" s="7119">
        <f>af104*0.06</f>
      </c>
      <c r="AH104" t="n" s="7120">
        <f>af104+ag104</f>
      </c>
      <c r="AI104" t="s" s="7121">
        <v>0</v>
      </c>
    </row>
    <row r="105">
      <c r="A105" t="s" s="7122">
        <v>510</v>
      </c>
      <c r="B105" t="s" s="7123">
        <v>511</v>
      </c>
      <c r="C105" t="s" s="7124">
        <v>512</v>
      </c>
      <c r="D105" t="s" s="7125">
        <v>513</v>
      </c>
      <c r="E105" t="s" s="7126">
        <v>514</v>
      </c>
      <c r="F105" t="s" s="7127">
        <v>464</v>
      </c>
      <c r="G105" t="n" s="8825">
        <v>42821.0</v>
      </c>
      <c r="H105" t="n" s="8826">
        <v>43131.0</v>
      </c>
      <c r="I105" t="n" s="7130">
        <v>1250.0</v>
      </c>
      <c r="J105" t="n" s="7131">
        <v>100.0</v>
      </c>
      <c r="K105" t="n" s="7132">
        <v>0.0</v>
      </c>
      <c r="L105" t="n" s="7133">
        <v>608.0</v>
      </c>
      <c r="M105" t="n" s="7134">
        <v>0.0</v>
      </c>
      <c r="N105" t="n" s="7135">
        <v>17.2</v>
      </c>
      <c r="O105" t="n" s="7136">
        <v>0.0</v>
      </c>
      <c r="P105" t="n" s="7137">
        <v>0.0</v>
      </c>
      <c r="Q105" t="n" s="7138">
        <v>0.0</v>
      </c>
      <c r="R105" t="n" s="7139">
        <v>0.0</v>
      </c>
      <c r="S105" t="n" s="7140">
        <v>8.0</v>
      </c>
      <c r="T105" t="n" s="7141">
        <v>92.32</v>
      </c>
      <c r="U105" t="n" s="7142">
        <v>0.0</v>
      </c>
      <c r="V105" t="n" s="7143">
        <v>0.0</v>
      </c>
      <c r="W105" t="n" s="7144">
        <f>r105+t105+v105</f>
      </c>
      <c r="X105" t="n" s="7145">
        <v>0.0</v>
      </c>
      <c r="Y105" t="n" s="7146">
        <v>0.0</v>
      </c>
      <c r="Z105" t="n" s="7147">
        <v>0.0</v>
      </c>
      <c r="AA105" t="n" s="7148">
        <f>i105+j105+k105+l105+m105+n105+o105+p105+x105+y105+z105</f>
      </c>
      <c r="AB105" t="n" s="7149">
        <v>510.0</v>
      </c>
      <c r="AC105" t="n" s="7150">
        <v>71.7</v>
      </c>
      <c r="AD105" t="n" s="7151">
        <v>8.2</v>
      </c>
      <c r="AE105" t="n" s="7152">
        <v>80.0</v>
      </c>
      <c r="AF105" t="n" s="7153">
        <f>ROUND((aa105+ab105+ac105+ad105+ae105),2)</f>
      </c>
      <c r="AG105" t="n" s="7154">
        <f>af105*0.06</f>
      </c>
      <c r="AH105" t="n" s="7155">
        <f>af105+ag105</f>
      </c>
      <c r="AI105" t="s" s="7156">
        <v>0</v>
      </c>
    </row>
    <row r="106">
      <c r="A106" t="s" s="7157">
        <v>515</v>
      </c>
      <c r="B106" t="s" s="7158">
        <v>516</v>
      </c>
      <c r="C106" t="s" s="7159">
        <v>517</v>
      </c>
      <c r="D106" t="s" s="7160">
        <v>518</v>
      </c>
      <c r="E106" t="s" s="7161">
        <v>519</v>
      </c>
      <c r="F106" t="s" s="7162">
        <v>464</v>
      </c>
      <c r="G106" t="n" s="8827">
        <v>42905.0</v>
      </c>
      <c r="H106" t="s" s="8828">
        <v>0</v>
      </c>
      <c r="I106" t="n" s="7165">
        <v>1190.0</v>
      </c>
      <c r="J106" t="n" s="7166">
        <v>100.0</v>
      </c>
      <c r="K106" t="n" s="7167">
        <v>0.0</v>
      </c>
      <c r="L106" t="n" s="7168">
        <v>1840.0</v>
      </c>
      <c r="M106" t="n" s="7169">
        <v>0.0</v>
      </c>
      <c r="N106" t="n" s="7170">
        <v>10.0</v>
      </c>
      <c r="O106" t="n" s="7171">
        <v>60.0</v>
      </c>
      <c r="P106" t="n" s="7172">
        <v>0.0</v>
      </c>
      <c r="Q106" t="n" s="7173">
        <v>0.0</v>
      </c>
      <c r="R106" t="n" s="7174">
        <v>0.0</v>
      </c>
      <c r="S106" t="n" s="7175">
        <v>8.0</v>
      </c>
      <c r="T106" t="n" s="7176">
        <v>84.64</v>
      </c>
      <c r="U106" t="n" s="7177">
        <v>0.0</v>
      </c>
      <c r="V106" t="n" s="7178">
        <v>0.0</v>
      </c>
      <c r="W106" t="n" s="7179">
        <f>r106+t106+v106</f>
      </c>
      <c r="X106" t="n" s="7180">
        <v>0.0</v>
      </c>
      <c r="Y106" t="n" s="7181">
        <v>0.0</v>
      </c>
      <c r="Z106" t="n" s="7182">
        <v>0.0</v>
      </c>
      <c r="AA106" t="n" s="7183">
        <f>i106+j106+k106+l106+m106+n106+o106+p106+x106+y106+z106</f>
      </c>
      <c r="AB106" t="n" s="7184">
        <v>832.0</v>
      </c>
      <c r="AC106" t="n" s="7185">
        <v>113.7</v>
      </c>
      <c r="AD106" t="n" s="7186">
        <v>13.0</v>
      </c>
      <c r="AE106" t="n" s="7187">
        <v>80.0</v>
      </c>
      <c r="AF106" t="n" s="7188">
        <f>ROUND((aa106+ab106+ac106+ad106+ae106),2)</f>
      </c>
      <c r="AG106" t="n" s="7189">
        <f>af106*0.06</f>
      </c>
      <c r="AH106" t="n" s="7190">
        <f>af106+ag106</f>
      </c>
      <c r="AI106" t="s" s="7191">
        <v>0</v>
      </c>
    </row>
    <row r="107">
      <c r="A107" t="s" s="7192">
        <v>520</v>
      </c>
      <c r="B107" t="s" s="7193">
        <v>0</v>
      </c>
      <c r="C107" t="s" s="7194">
        <v>521</v>
      </c>
      <c r="D107" t="s" s="7195">
        <v>522</v>
      </c>
      <c r="E107" t="s" s="7196">
        <v>523</v>
      </c>
      <c r="F107" t="s" s="7197">
        <v>464</v>
      </c>
      <c r="G107" t="n" s="8829">
        <v>43066.0</v>
      </c>
      <c r="H107" t="n" s="8830">
        <v>43190.0</v>
      </c>
      <c r="I107" t="n" s="7200">
        <v>1400.0</v>
      </c>
      <c r="J107" t="n" s="7201">
        <v>100.0</v>
      </c>
      <c r="K107" t="n" s="7202">
        <v>0.0</v>
      </c>
      <c r="L107" t="n" s="7203">
        <v>1838.0</v>
      </c>
      <c r="M107" t="n" s="7204">
        <v>0.0</v>
      </c>
      <c r="N107" t="n" s="7205">
        <v>25.59</v>
      </c>
      <c r="O107" t="n" s="7206">
        <v>60.0</v>
      </c>
      <c r="P107" t="n" s="7207">
        <v>0.0</v>
      </c>
      <c r="Q107" t="n" s="7208">
        <v>0.0</v>
      </c>
      <c r="R107" t="n" s="7209">
        <v>0.0</v>
      </c>
      <c r="S107" t="n" s="7210">
        <v>8.0</v>
      </c>
      <c r="T107" t="n" s="7211">
        <v>107.68</v>
      </c>
      <c r="U107" t="n" s="7212">
        <v>0.0</v>
      </c>
      <c r="V107" t="n" s="7213">
        <v>0.0</v>
      </c>
      <c r="W107" t="n" s="7214">
        <f>r107+t107+v107</f>
      </c>
      <c r="X107" t="n" s="7215">
        <v>0.0</v>
      </c>
      <c r="Y107" t="n" s="7216">
        <v>0.0</v>
      </c>
      <c r="Z107" t="n" s="7217">
        <v>0.0</v>
      </c>
      <c r="AA107" t="n" s="7218">
        <f>i107+j107+k107+l107+m107+n107+o107+p107+x107+y107+z107</f>
      </c>
      <c r="AB107" t="n" s="7219">
        <v>442.0</v>
      </c>
      <c r="AC107" t="n" s="7220">
        <v>62.15</v>
      </c>
      <c r="AD107" t="n" s="7221">
        <v>7.1</v>
      </c>
      <c r="AE107" t="n" s="7222">
        <v>80.0</v>
      </c>
      <c r="AF107" t="n" s="7223">
        <f>ROUND((aa107+ab107+ac107+ad107+ae107),2)</f>
      </c>
      <c r="AG107" t="n" s="7224">
        <f>af107*0.06</f>
      </c>
      <c r="AH107" t="n" s="7225">
        <f>af107+ag107</f>
      </c>
      <c r="AI107" t="s" s="7226">
        <v>0</v>
      </c>
    </row>
    <row r="108">
      <c r="A108" t="s" s="7227">
        <v>524</v>
      </c>
      <c r="B108" t="s" s="7228">
        <v>0</v>
      </c>
      <c r="C108" t="s" s="7229">
        <v>525</v>
      </c>
      <c r="D108" t="s" s="7230">
        <v>526</v>
      </c>
      <c r="E108" t="s" s="7231">
        <v>527</v>
      </c>
      <c r="F108" t="s" s="7232">
        <v>464</v>
      </c>
      <c r="G108" t="n" s="8831">
        <v>43054.0</v>
      </c>
      <c r="H108" t="s" s="8832">
        <v>0</v>
      </c>
      <c r="I108" t="n" s="7235">
        <v>1300.0</v>
      </c>
      <c r="J108" t="n" s="7236">
        <v>100.0</v>
      </c>
      <c r="K108" t="n" s="7237">
        <v>0.0</v>
      </c>
      <c r="L108" t="n" s="7238">
        <v>1778.0</v>
      </c>
      <c r="M108" t="n" s="7239">
        <v>0.0</v>
      </c>
      <c r="N108" t="n" s="7240">
        <v>23.61</v>
      </c>
      <c r="O108" t="n" s="7241">
        <v>60.0</v>
      </c>
      <c r="P108" t="n" s="7242">
        <v>0.0</v>
      </c>
      <c r="Q108" t="n" s="7243">
        <v>0.0</v>
      </c>
      <c r="R108" t="n" s="7244">
        <v>0.0</v>
      </c>
      <c r="S108" t="n" s="7245">
        <v>8.0</v>
      </c>
      <c r="T108" t="n" s="7246">
        <v>100.0</v>
      </c>
      <c r="U108" t="n" s="7247">
        <v>0.0</v>
      </c>
      <c r="V108" t="n" s="7248">
        <v>0.0</v>
      </c>
      <c r="W108" t="n" s="7249">
        <f>r108+t108+v108</f>
      </c>
      <c r="X108" t="n" s="7250">
        <v>0.0</v>
      </c>
      <c r="Y108" t="n" s="7251">
        <v>0.0</v>
      </c>
      <c r="Z108" t="n" s="7252">
        <v>0.0</v>
      </c>
      <c r="AA108" t="n" s="7253">
        <f>i108+j108+k108+l108+m108+n108+o108+p108+x108+y108+z108</f>
      </c>
      <c r="AB108" t="n" s="7254">
        <v>422.0</v>
      </c>
      <c r="AC108" t="n" s="7255">
        <v>58.65</v>
      </c>
      <c r="AD108" t="n" s="7256">
        <v>6.7</v>
      </c>
      <c r="AE108" t="n" s="7257">
        <v>80.0</v>
      </c>
      <c r="AF108" t="n" s="7258">
        <f>ROUND((aa108+ab108+ac108+ad108+ae108),2)</f>
      </c>
      <c r="AG108" t="n" s="7259">
        <f>af108*0.06</f>
      </c>
      <c r="AH108" t="n" s="7260">
        <f>af108+ag108</f>
      </c>
      <c r="AI108" t="s" s="7261">
        <v>0</v>
      </c>
    </row>
    <row r="109">
      <c r="A109" t="s" s="7262">
        <v>528</v>
      </c>
      <c r="B109" t="s" s="7263">
        <v>529</v>
      </c>
      <c r="C109" t="s" s="7264">
        <v>530</v>
      </c>
      <c r="D109" t="s" s="7265">
        <v>531</v>
      </c>
      <c r="E109" t="s" s="7266">
        <v>532</v>
      </c>
      <c r="F109" t="s" s="7267">
        <v>533</v>
      </c>
      <c r="G109" t="n" s="8833">
        <v>41944.0</v>
      </c>
      <c r="H109" t="s" s="8834">
        <v>0</v>
      </c>
      <c r="I109" t="n" s="7270">
        <v>1580.0</v>
      </c>
      <c r="J109" t="n" s="7271">
        <v>100.0</v>
      </c>
      <c r="K109" t="n" s="7272">
        <v>0.0</v>
      </c>
      <c r="L109" t="n" s="7273">
        <v>400.0</v>
      </c>
      <c r="M109" t="n" s="7274">
        <v>0.0</v>
      </c>
      <c r="N109" t="n" s="7275">
        <v>10.0</v>
      </c>
      <c r="O109" t="n" s="7276">
        <v>60.0</v>
      </c>
      <c r="P109" t="n" s="7277">
        <v>0.0</v>
      </c>
      <c r="Q109" t="n" s="7278">
        <v>12.0</v>
      </c>
      <c r="R109" t="n" s="7279">
        <v>129.0</v>
      </c>
      <c r="S109" t="n" s="7280">
        <v>8.0</v>
      </c>
      <c r="T109" t="n" s="7281">
        <v>114.64</v>
      </c>
      <c r="U109" t="n" s="7282">
        <v>3.0</v>
      </c>
      <c r="V109" t="n" s="7283">
        <v>64.47</v>
      </c>
      <c r="W109" t="n" s="7284">
        <f>r109+t109+v109</f>
      </c>
      <c r="X109" t="n" s="7285">
        <v>0.0</v>
      </c>
      <c r="Y109" t="n" s="7286">
        <v>0.0</v>
      </c>
      <c r="Z109" t="n" s="7287">
        <v>0.0</v>
      </c>
      <c r="AA109" t="n" s="7288">
        <f>i109+j109+k109+l109+m109+n109+o109+p109+x109+y109+z109</f>
      </c>
      <c r="AB109" t="n" s="7289">
        <v>558.0</v>
      </c>
      <c r="AC109" t="n" s="7290">
        <v>85.9</v>
      </c>
      <c r="AD109" t="n" s="7291">
        <v>9.8</v>
      </c>
      <c r="AE109" t="n" s="7292">
        <v>80.0</v>
      </c>
      <c r="AF109" t="n" s="7293">
        <f>ROUND((aa109+ab109+ac109+ad109+ae109),2)</f>
      </c>
      <c r="AG109" t="n" s="7294">
        <f>af109*0.06</f>
      </c>
      <c r="AH109" t="n" s="7295">
        <f>af109+ag109</f>
      </c>
      <c r="AI109" t="s" s="7296">
        <v>0</v>
      </c>
    </row>
    <row r="110">
      <c r="A110" t="s" s="7297">
        <v>534</v>
      </c>
      <c r="B110" t="s" s="7298">
        <v>535</v>
      </c>
      <c r="C110" t="s" s="7299">
        <v>536</v>
      </c>
      <c r="D110" t="s" s="7300">
        <v>537</v>
      </c>
      <c r="E110" t="s" s="7301">
        <v>538</v>
      </c>
      <c r="F110" t="s" s="7302">
        <v>533</v>
      </c>
      <c r="G110" t="n" s="8835">
        <v>41944.0</v>
      </c>
      <c r="H110" t="s" s="8836">
        <v>0</v>
      </c>
      <c r="I110" t="n" s="7305">
        <v>1280.0</v>
      </c>
      <c r="J110" t="n" s="7306">
        <v>100.0</v>
      </c>
      <c r="K110" t="n" s="7307">
        <v>0.0</v>
      </c>
      <c r="L110" t="n" s="7308">
        <v>2372.0</v>
      </c>
      <c r="M110" t="n" s="7309">
        <v>0.0</v>
      </c>
      <c r="N110" t="n" s="7310">
        <v>10.0</v>
      </c>
      <c r="O110" t="n" s="7311">
        <v>60.0</v>
      </c>
      <c r="P110" t="n" s="7312">
        <v>0.0</v>
      </c>
      <c r="Q110" t="n" s="7313">
        <v>16.0</v>
      </c>
      <c r="R110" t="n" s="7314">
        <v>138.4</v>
      </c>
      <c r="S110" t="n" s="7315">
        <v>8.0</v>
      </c>
      <c r="T110" t="n" s="7316">
        <v>92.32</v>
      </c>
      <c r="U110" t="n" s="7317">
        <v>1.0</v>
      </c>
      <c r="V110" t="n" s="7318">
        <v>17.31</v>
      </c>
      <c r="W110" t="n" s="7319">
        <f>r110+t110+v110</f>
      </c>
      <c r="X110" t="n" s="7320">
        <v>0.0</v>
      </c>
      <c r="Y110" t="n" s="7321">
        <v>0.0</v>
      </c>
      <c r="Z110" t="n" s="7322">
        <v>0.0</v>
      </c>
      <c r="AA110" t="n" s="7323">
        <f>i110+j110+k110+l110+m110+n110+o110+p110+x110+y110+z110</f>
      </c>
      <c r="AB110" t="n" s="7324">
        <v>994.0</v>
      </c>
      <c r="AC110" t="n" s="7325">
        <v>141.5</v>
      </c>
      <c r="AD110" t="n" s="7326">
        <v>16.2</v>
      </c>
      <c r="AE110" t="n" s="7327">
        <v>80.0</v>
      </c>
      <c r="AF110" t="n" s="7328">
        <f>ROUND((aa110+ab110+ac110+ad110+ae110),2)</f>
      </c>
      <c r="AG110" t="n" s="7329">
        <f>af110*0.06</f>
      </c>
      <c r="AH110" t="n" s="7330">
        <f>af110+ag110</f>
      </c>
      <c r="AI110" t="s" s="7331">
        <v>0</v>
      </c>
    </row>
    <row r="111">
      <c r="A111" t="s" s="7332">
        <v>539</v>
      </c>
      <c r="B111" t="s" s="7333">
        <v>540</v>
      </c>
      <c r="C111" t="s" s="7334">
        <v>541</v>
      </c>
      <c r="D111" t="s" s="7335">
        <v>542</v>
      </c>
      <c r="E111" t="s" s="7336">
        <v>543</v>
      </c>
      <c r="F111" t="s" s="7337">
        <v>533</v>
      </c>
      <c r="G111" t="n" s="8837">
        <v>41944.0</v>
      </c>
      <c r="H111" t="s" s="8838">
        <v>0</v>
      </c>
      <c r="I111" t="n" s="7340">
        <v>1650.0</v>
      </c>
      <c r="J111" t="n" s="7341">
        <v>100.0</v>
      </c>
      <c r="K111" t="n" s="7342">
        <v>0.0</v>
      </c>
      <c r="L111" t="n" s="7343">
        <v>1144.0</v>
      </c>
      <c r="M111" t="n" s="7344">
        <v>0.0</v>
      </c>
      <c r="N111" t="n" s="7345">
        <v>10.0</v>
      </c>
      <c r="O111" t="n" s="7346">
        <v>60.0</v>
      </c>
      <c r="P111" t="n" s="7347">
        <v>0.0</v>
      </c>
      <c r="Q111" t="n" s="7348">
        <v>12.0</v>
      </c>
      <c r="R111" t="n" s="7349">
        <v>136.68</v>
      </c>
      <c r="S111" t="n" s="7350">
        <v>16.0</v>
      </c>
      <c r="T111" t="n" s="7351">
        <v>243.04</v>
      </c>
      <c r="U111" t="n" s="7352">
        <v>3.0</v>
      </c>
      <c r="V111" t="n" s="7353">
        <v>68.37</v>
      </c>
      <c r="W111" t="n" s="7354">
        <f>r111+t111+v111</f>
      </c>
      <c r="X111" t="n" s="7355">
        <v>0.0</v>
      </c>
      <c r="Y111" t="n" s="7356">
        <v>0.0</v>
      </c>
      <c r="Z111" t="n" s="7357">
        <v>0.0</v>
      </c>
      <c r="AA111" t="n" s="7358">
        <f>i111+j111+k111+l111+m111+n111+o111+p111+x111+y111+z111</f>
      </c>
      <c r="AB111" t="n" s="7359">
        <v>770.0</v>
      </c>
      <c r="AC111" t="n" s="7360">
        <v>120.9</v>
      </c>
      <c r="AD111" t="n" s="7361">
        <v>13.8</v>
      </c>
      <c r="AE111" t="n" s="7362">
        <v>80.0</v>
      </c>
      <c r="AF111" t="n" s="7363">
        <f>ROUND((aa111+ab111+ac111+ad111+ae111),2)</f>
      </c>
      <c r="AG111" t="n" s="7364">
        <f>af111*0.06</f>
      </c>
      <c r="AH111" t="n" s="7365">
        <f>af111+ag111</f>
      </c>
      <c r="AI111" t="s" s="7366">
        <v>0</v>
      </c>
    </row>
    <row r="112">
      <c r="A112" t="s" s="7367">
        <v>544</v>
      </c>
      <c r="B112" t="s" s="7368">
        <v>545</v>
      </c>
      <c r="C112" t="s" s="7369">
        <v>546</v>
      </c>
      <c r="D112" t="s" s="7370">
        <v>547</v>
      </c>
      <c r="E112" t="s" s="7371">
        <v>548</v>
      </c>
      <c r="F112" t="s" s="7372">
        <v>533</v>
      </c>
      <c r="G112" t="n" s="8839">
        <v>41944.0</v>
      </c>
      <c r="H112" t="s" s="8840">
        <v>0</v>
      </c>
      <c r="I112" t="n" s="7375">
        <v>1280.0</v>
      </c>
      <c r="J112" t="n" s="7376">
        <v>100.0</v>
      </c>
      <c r="K112" t="n" s="7377">
        <v>0.0</v>
      </c>
      <c r="L112" t="n" s="7378">
        <v>1952.0</v>
      </c>
      <c r="M112" t="n" s="7379">
        <v>0.0</v>
      </c>
      <c r="N112" t="n" s="7380">
        <v>10.0</v>
      </c>
      <c r="O112" t="n" s="7381">
        <v>60.0</v>
      </c>
      <c r="P112" t="n" s="7382">
        <v>0.0</v>
      </c>
      <c r="Q112" t="n" s="7383">
        <v>15.0</v>
      </c>
      <c r="R112" t="n" s="7384">
        <v>129.75</v>
      </c>
      <c r="S112" t="n" s="7385">
        <v>8.0</v>
      </c>
      <c r="T112" t="n" s="7386">
        <v>92.32</v>
      </c>
      <c r="U112" t="n" s="7387">
        <v>2.0</v>
      </c>
      <c r="V112" t="n" s="7388">
        <v>34.62</v>
      </c>
      <c r="W112" t="n" s="7389">
        <f>r112+t112+v112</f>
      </c>
      <c r="X112" t="n" s="7390">
        <v>0.0</v>
      </c>
      <c r="Y112" t="n" s="7391">
        <v>0.0</v>
      </c>
      <c r="Z112" t="n" s="7392">
        <v>0.0</v>
      </c>
      <c r="AA112" t="n" s="7393">
        <f>i112+j112+k112+l112+m112+n112+o112+p112+x112+y112+z112</f>
      </c>
      <c r="AB112" t="n" s="7394">
        <v>884.0</v>
      </c>
      <c r="AC112" t="n" s="7395">
        <v>124.3</v>
      </c>
      <c r="AD112" t="n" s="7396">
        <v>14.2</v>
      </c>
      <c r="AE112" t="n" s="7397">
        <v>80.0</v>
      </c>
      <c r="AF112" t="n" s="7398">
        <f>ROUND((aa112+ab112+ac112+ad112+ae112),2)</f>
      </c>
      <c r="AG112" t="n" s="7399">
        <f>af112*0.06</f>
      </c>
      <c r="AH112" t="n" s="7400">
        <f>af112+ag112</f>
      </c>
      <c r="AI112" t="s" s="7401">
        <v>0</v>
      </c>
    </row>
    <row r="113">
      <c r="A113" t="s" s="7402">
        <v>549</v>
      </c>
      <c r="B113" t="s" s="7403">
        <v>550</v>
      </c>
      <c r="C113" t="s" s="7404">
        <v>551</v>
      </c>
      <c r="D113" t="s" s="7405">
        <v>552</v>
      </c>
      <c r="E113" t="s" s="7406">
        <v>553</v>
      </c>
      <c r="F113" t="s" s="7407">
        <v>533</v>
      </c>
      <c r="G113" t="n" s="8841">
        <v>42614.0</v>
      </c>
      <c r="H113" t="s" s="8842">
        <v>0</v>
      </c>
      <c r="I113" t="n" s="7410">
        <v>1330.0</v>
      </c>
      <c r="J113" t="n" s="7411">
        <v>100.0</v>
      </c>
      <c r="K113" t="n" s="7412">
        <v>0.0</v>
      </c>
      <c r="L113" t="n" s="7413">
        <v>1160.0</v>
      </c>
      <c r="M113" t="n" s="7414">
        <v>0.0</v>
      </c>
      <c r="N113" t="n" s="7415">
        <v>10.0</v>
      </c>
      <c r="O113" t="n" s="7416">
        <v>60.0</v>
      </c>
      <c r="P113" t="n" s="7417">
        <v>0.0</v>
      </c>
      <c r="Q113" t="n" s="7418">
        <v>2.0</v>
      </c>
      <c r="R113" t="n" s="7419">
        <v>18.02</v>
      </c>
      <c r="S113" t="n" s="7420">
        <v>8.0</v>
      </c>
      <c r="T113" t="n" s="7421">
        <v>96.16</v>
      </c>
      <c r="U113" t="n" s="7422">
        <v>0.0</v>
      </c>
      <c r="V113" t="n" s="7423">
        <v>0.0</v>
      </c>
      <c r="W113" t="n" s="7424">
        <f>r113+t113+v113</f>
      </c>
      <c r="X113" t="n" s="7425">
        <v>0.0</v>
      </c>
      <c r="Y113" t="n" s="7426">
        <v>0.0</v>
      </c>
      <c r="Z113" t="n" s="7427">
        <v>0.0</v>
      </c>
      <c r="AA113" t="n" s="7428">
        <f>i113+j113+k113+l113+m113+n113+o113+p113+x113+y113+z113</f>
      </c>
      <c r="AB113" t="n" s="7429">
        <v>692.0</v>
      </c>
      <c r="AC113" t="n" s="7430">
        <v>99.7</v>
      </c>
      <c r="AD113" t="n" s="7431">
        <v>11.4</v>
      </c>
      <c r="AE113" t="n" s="7432">
        <v>80.0</v>
      </c>
      <c r="AF113" t="n" s="7433">
        <f>ROUND((aa113+ab113+ac113+ad113+ae113),2)</f>
      </c>
      <c r="AG113" t="n" s="7434">
        <f>af113*0.06</f>
      </c>
      <c r="AH113" t="n" s="7435">
        <f>af113+ag113</f>
      </c>
      <c r="AI113" t="s" s="7436">
        <v>0</v>
      </c>
    </row>
    <row r="114">
      <c r="A114" t="s" s="7437">
        <v>554</v>
      </c>
      <c r="B114" t="s" s="7438">
        <v>0</v>
      </c>
      <c r="C114" t="s" s="7439">
        <v>555</v>
      </c>
      <c r="D114" t="s" s="7440">
        <v>556</v>
      </c>
      <c r="E114" t="s" s="7441">
        <v>557</v>
      </c>
      <c r="F114" t="s" s="7442">
        <v>533</v>
      </c>
      <c r="G114" t="n" s="8843">
        <v>42736.0</v>
      </c>
      <c r="H114" t="n" s="8844">
        <v>43100.0</v>
      </c>
      <c r="I114" t="n" s="7445">
        <v>0.0</v>
      </c>
      <c r="J114" t="n" s="7446">
        <v>0.0</v>
      </c>
      <c r="K114" t="n" s="7447">
        <v>-22.61</v>
      </c>
      <c r="L114" t="n" s="7448">
        <v>1900.0</v>
      </c>
      <c r="M114" t="n" s="7449">
        <v>0.0</v>
      </c>
      <c r="N114" t="n" s="7450">
        <v>10.0</v>
      </c>
      <c r="O114" t="n" s="7451">
        <v>0.0</v>
      </c>
      <c r="P114" t="n" s="7452">
        <v>0.0</v>
      </c>
      <c r="Q114" t="n" s="7453">
        <v>0.0</v>
      </c>
      <c r="R114" t="n" s="7454">
        <v>0.0</v>
      </c>
      <c r="S114" t="n" s="7455">
        <v>0.0</v>
      </c>
      <c r="T114" t="n" s="7456">
        <v>0.0</v>
      </c>
      <c r="U114" t="n" s="7457">
        <v>0.0</v>
      </c>
      <c r="V114" t="n" s="7458">
        <v>0.0</v>
      </c>
      <c r="W114" t="n" s="7459">
        <f>r114+t114+v114</f>
      </c>
      <c r="X114" t="n" s="7460">
        <v>-270.97</v>
      </c>
      <c r="Y114" t="n" s="7461">
        <v>0.0</v>
      </c>
      <c r="Z114" t="n" s="7462">
        <v>0.0</v>
      </c>
      <c r="AA114" t="n" s="7463">
        <f>i114+j114+k114+l114+m114+n114+o114+p114+x114+y114+z114</f>
      </c>
      <c r="AB114" t="n" s="7464">
        <v>211.0</v>
      </c>
      <c r="AC114" t="n" s="7465">
        <v>28.85</v>
      </c>
      <c r="AD114" t="n" s="7466">
        <v>3.3</v>
      </c>
      <c r="AE114" t="n" s="7467">
        <v>80.0</v>
      </c>
      <c r="AF114" t="n" s="7468">
        <f>ROUND((aa114+ab114+ac114+ad114+ae114),2)</f>
      </c>
      <c r="AG114" t="n" s="7469">
        <f>af114*0.06</f>
      </c>
      <c r="AH114" t="n" s="7470">
        <f>af114+ag114</f>
      </c>
      <c r="AI114" t="s" s="7471">
        <v>0</v>
      </c>
    </row>
    <row r="115">
      <c r="A115" t="s" s="7472">
        <v>558</v>
      </c>
      <c r="B115" t="s" s="7473">
        <v>559</v>
      </c>
      <c r="C115" t="s" s="7474">
        <v>560</v>
      </c>
      <c r="D115" t="s" s="7475">
        <v>561</v>
      </c>
      <c r="E115" t="s" s="7476">
        <v>562</v>
      </c>
      <c r="F115" t="s" s="7477">
        <v>533</v>
      </c>
      <c r="G115" t="n" s="8845">
        <v>42795.0</v>
      </c>
      <c r="H115" t="s" s="8846">
        <v>0</v>
      </c>
      <c r="I115" t="n" s="7480">
        <v>1280.0</v>
      </c>
      <c r="J115" t="n" s="7481">
        <v>100.0</v>
      </c>
      <c r="K115" t="n" s="7482">
        <v>-12.92</v>
      </c>
      <c r="L115" t="n" s="7483">
        <v>216.0</v>
      </c>
      <c r="M115" t="n" s="7484">
        <v>0.0</v>
      </c>
      <c r="N115" t="n" s="7485">
        <v>10.0</v>
      </c>
      <c r="O115" t="n" s="7486">
        <v>60.0</v>
      </c>
      <c r="P115" t="n" s="7487">
        <v>0.0</v>
      </c>
      <c r="Q115" t="n" s="7488">
        <v>10.0</v>
      </c>
      <c r="R115" t="n" s="7489">
        <v>86.5</v>
      </c>
      <c r="S115" t="n" s="7490">
        <v>8.0</v>
      </c>
      <c r="T115" t="n" s="7491">
        <v>92.32</v>
      </c>
      <c r="U115" t="n" s="7492">
        <v>0.0</v>
      </c>
      <c r="V115" t="n" s="7493">
        <v>0.0</v>
      </c>
      <c r="W115" t="n" s="7494">
        <f>r115+t115+v115</f>
      </c>
      <c r="X115" t="n" s="7495">
        <v>-154.84</v>
      </c>
      <c r="Y115" t="n" s="7496">
        <v>0.0</v>
      </c>
      <c r="Z115" t="n" s="7497">
        <v>0.0</v>
      </c>
      <c r="AA115" t="n" s="7498">
        <f>i115+j115+k115+l115+m115+n115+o115+p115+x115+y115+z115</f>
      </c>
      <c r="AB115" t="n" s="7499">
        <v>390.0</v>
      </c>
      <c r="AC115" t="n" s="7500">
        <v>57.7</v>
      </c>
      <c r="AD115" t="n" s="7501">
        <v>6.6</v>
      </c>
      <c r="AE115" t="n" s="7502">
        <v>80.0</v>
      </c>
      <c r="AF115" t="n" s="7503">
        <f>ROUND((aa115+ab115+ac115+ad115+ae115),2)</f>
      </c>
      <c r="AG115" t="n" s="7504">
        <f>af115*0.06</f>
      </c>
      <c r="AH115" t="n" s="7505">
        <f>af115+ag115</f>
      </c>
      <c r="AI115" t="s" s="7506">
        <v>0</v>
      </c>
    </row>
    <row r="116">
      <c r="A116" t="s" s="7507">
        <v>563</v>
      </c>
      <c r="B116" t="s" s="7508">
        <v>0</v>
      </c>
      <c r="C116" t="s" s="7509">
        <v>564</v>
      </c>
      <c r="D116" t="s" s="7510">
        <v>565</v>
      </c>
      <c r="E116" t="s" s="7511">
        <v>566</v>
      </c>
      <c r="F116" t="s" s="7512">
        <v>533</v>
      </c>
      <c r="G116" t="n" s="8847">
        <v>42826.0</v>
      </c>
      <c r="H116" t="n" s="8848">
        <v>43100.0</v>
      </c>
      <c r="I116" t="n" s="7515">
        <v>0.0</v>
      </c>
      <c r="J116" t="n" s="7516">
        <v>0.0</v>
      </c>
      <c r="K116" t="n" s="7517">
        <v>0.0</v>
      </c>
      <c r="L116" t="n" s="7518">
        <v>100.0</v>
      </c>
      <c r="M116" t="n" s="7519">
        <v>0.0</v>
      </c>
      <c r="N116" t="n" s="7520">
        <v>10.0</v>
      </c>
      <c r="O116" t="n" s="7521">
        <v>0.0</v>
      </c>
      <c r="P116" t="n" s="7522">
        <v>0.0</v>
      </c>
      <c r="Q116" t="n" s="7523">
        <v>2.0</v>
      </c>
      <c r="R116" t="n" s="7524">
        <v>17.3</v>
      </c>
      <c r="S116" t="n" s="7525">
        <v>8.0</v>
      </c>
      <c r="T116" t="n" s="7526">
        <v>92.32</v>
      </c>
      <c r="U116" t="n" s="7527">
        <v>2.0</v>
      </c>
      <c r="V116" t="n" s="7528">
        <v>34.62</v>
      </c>
      <c r="W116" t="n" s="7529">
        <f>r116+t116+v116</f>
      </c>
      <c r="X116" t="n" s="7530">
        <v>0.0</v>
      </c>
      <c r="Y116" t="n" s="7531">
        <v>0.0</v>
      </c>
      <c r="Z116" t="n" s="7532">
        <v>0.0</v>
      </c>
      <c r="AA116" t="n" s="7533">
        <f>i116+j116+k116+l116+m116+n116+o116+p116+x116+y116+z116</f>
      </c>
      <c r="AB116" t="n" s="7534">
        <v>13.0</v>
      </c>
      <c r="AC116" t="n" s="7535">
        <v>4.35</v>
      </c>
      <c r="AD116" t="n" s="7536">
        <v>0.5</v>
      </c>
      <c r="AE116" t="n" s="7537">
        <v>80.0</v>
      </c>
      <c r="AF116" t="n" s="7538">
        <f>ROUND((aa116+ab116+ac116+ad116+ae116),2)</f>
      </c>
      <c r="AG116" t="n" s="7539">
        <f>af116*0.06</f>
      </c>
      <c r="AH116" t="n" s="7540">
        <f>af116+ag116</f>
      </c>
      <c r="AI116" t="s" s="7541">
        <v>0</v>
      </c>
    </row>
    <row r="117">
      <c r="A117" t="s" s="7542">
        <v>567</v>
      </c>
      <c r="B117" t="s" s="7543">
        <v>568</v>
      </c>
      <c r="C117" t="s" s="7544">
        <v>569</v>
      </c>
      <c r="D117" t="s" s="7545">
        <v>570</v>
      </c>
      <c r="E117" t="s" s="7546">
        <v>571</v>
      </c>
      <c r="F117" t="s" s="7547">
        <v>572</v>
      </c>
      <c r="G117" t="n" s="8849">
        <v>41944.0</v>
      </c>
      <c r="H117" t="s" s="8850">
        <v>0</v>
      </c>
      <c r="I117" t="n" s="7550">
        <v>1080.0</v>
      </c>
      <c r="J117" t="n" s="7551">
        <v>100.0</v>
      </c>
      <c r="K117" t="n" s="7552">
        <v>0.0</v>
      </c>
      <c r="L117" t="n" s="7553">
        <v>1916.0</v>
      </c>
      <c r="M117" t="n" s="7554">
        <v>0.0</v>
      </c>
      <c r="N117" t="n" s="7555">
        <v>10.0</v>
      </c>
      <c r="O117" t="n" s="7556">
        <v>60.0</v>
      </c>
      <c r="P117" t="n" s="7557">
        <v>0.0</v>
      </c>
      <c r="Q117" t="n" s="7558">
        <v>10.0</v>
      </c>
      <c r="R117" t="n" s="7559">
        <v>74.3</v>
      </c>
      <c r="S117" t="n" s="7560">
        <v>0.0</v>
      </c>
      <c r="T117" t="n" s="7561">
        <v>0.0</v>
      </c>
      <c r="U117" t="n" s="7562">
        <v>0.0</v>
      </c>
      <c r="V117" t="n" s="7563">
        <v>0.0</v>
      </c>
      <c r="W117" t="n" s="7564">
        <f>r117+t117+v117</f>
      </c>
      <c r="X117" t="n" s="7565">
        <v>0.0</v>
      </c>
      <c r="Y117" t="n" s="7566">
        <v>0.0</v>
      </c>
      <c r="Z117" t="n" s="7567">
        <v>0.0</v>
      </c>
      <c r="AA117" t="n" s="7568">
        <f>i117+j117+k117+l117+m117+n117+o117+p117+x117+y117+z117</f>
      </c>
      <c r="AB117" t="n" s="7569">
        <v>822.0</v>
      </c>
      <c r="AC117" t="n" s="7570">
        <v>113.9</v>
      </c>
      <c r="AD117" t="n" s="7571">
        <v>13.0</v>
      </c>
      <c r="AE117" t="n" s="7572">
        <v>80.0</v>
      </c>
      <c r="AF117" t="n" s="7573">
        <f>ROUND((aa117+ab117+ac117+ad117+ae117),2)</f>
      </c>
      <c r="AG117" t="n" s="7574">
        <f>af117*0.06</f>
      </c>
      <c r="AH117" t="n" s="7575">
        <f>af117+ag117</f>
      </c>
      <c r="AI117" t="s" s="7576">
        <v>0</v>
      </c>
    </row>
    <row r="118">
      <c r="A118" t="s" s="7577">
        <v>573</v>
      </c>
      <c r="B118" t="s" s="7578">
        <v>574</v>
      </c>
      <c r="C118" t="s" s="7579">
        <v>575</v>
      </c>
      <c r="D118" t="s" s="7580">
        <v>576</v>
      </c>
      <c r="E118" t="s" s="7581">
        <v>577</v>
      </c>
      <c r="F118" t="s" s="7582">
        <v>572</v>
      </c>
      <c r="G118" t="n" s="8851">
        <v>41944.0</v>
      </c>
      <c r="H118" t="s" s="8852">
        <v>0</v>
      </c>
      <c r="I118" t="n" s="7585">
        <v>1230.0</v>
      </c>
      <c r="J118" t="n" s="7586">
        <v>100.0</v>
      </c>
      <c r="K118" t="n" s="7587">
        <v>0.0</v>
      </c>
      <c r="L118" t="n" s="7588">
        <v>2015.0</v>
      </c>
      <c r="M118" t="n" s="7589">
        <v>0.0</v>
      </c>
      <c r="N118" t="n" s="7590">
        <v>52.2</v>
      </c>
      <c r="O118" t="n" s="7591">
        <v>60.0</v>
      </c>
      <c r="P118" t="n" s="7592">
        <v>0.0</v>
      </c>
      <c r="Q118" t="n" s="7593">
        <v>1.0</v>
      </c>
      <c r="R118" t="n" s="7594">
        <v>8.51</v>
      </c>
      <c r="S118" t="n" s="7595">
        <v>0.0</v>
      </c>
      <c r="T118" t="n" s="7596">
        <v>0.0</v>
      </c>
      <c r="U118" t="n" s="7597">
        <v>0.0</v>
      </c>
      <c r="V118" t="n" s="7598">
        <v>0.0</v>
      </c>
      <c r="W118" t="n" s="7599">
        <f>r118+t118+v118</f>
      </c>
      <c r="X118" t="n" s="7600">
        <v>0.0</v>
      </c>
      <c r="Y118" t="n" s="7601">
        <v>0.0</v>
      </c>
      <c r="Z118" t="n" s="7602">
        <v>0.0</v>
      </c>
      <c r="AA118" t="n" s="7603">
        <f>i118+j118+k118+l118+m118+n118+o118+p118+x118+y118+z118</f>
      </c>
      <c r="AB118" t="n" s="7604">
        <v>890.0</v>
      </c>
      <c r="AC118" t="n" s="7605">
        <v>120.7</v>
      </c>
      <c r="AD118" t="n" s="7606">
        <v>13.8</v>
      </c>
      <c r="AE118" t="n" s="7607">
        <v>80.0</v>
      </c>
      <c r="AF118" t="n" s="7608">
        <f>ROUND((aa118+ab118+ac118+ad118+ae118),2)</f>
      </c>
      <c r="AG118" t="n" s="7609">
        <f>af118*0.06</f>
      </c>
      <c r="AH118" t="n" s="7610">
        <f>af118+ag118</f>
      </c>
      <c r="AI118" t="s" s="7611">
        <v>0</v>
      </c>
    </row>
    <row r="119">
      <c r="A119" t="s" s="7612">
        <v>578</v>
      </c>
      <c r="B119" t="s" s="7613">
        <v>579</v>
      </c>
      <c r="C119" t="s" s="7614">
        <v>580</v>
      </c>
      <c r="D119" t="s" s="7615">
        <v>581</v>
      </c>
      <c r="E119" t="s" s="7616">
        <v>582</v>
      </c>
      <c r="F119" t="s" s="7617">
        <v>572</v>
      </c>
      <c r="G119" t="n" s="8853">
        <v>41944.0</v>
      </c>
      <c r="H119" t="s" s="8854">
        <v>0</v>
      </c>
      <c r="I119" t="n" s="7620">
        <v>1180.0</v>
      </c>
      <c r="J119" t="n" s="7621">
        <v>100.0</v>
      </c>
      <c r="K119" t="n" s="7622">
        <v>-3.23</v>
      </c>
      <c r="L119" t="n" s="7623">
        <v>2312.0</v>
      </c>
      <c r="M119" t="n" s="7624">
        <v>0.0</v>
      </c>
      <c r="N119" t="n" s="7625">
        <v>10.0</v>
      </c>
      <c r="O119" t="n" s="7626">
        <v>60.0</v>
      </c>
      <c r="P119" t="n" s="7627">
        <v>0.0</v>
      </c>
      <c r="Q119" t="n" s="7628">
        <v>3.0</v>
      </c>
      <c r="R119" t="n" s="7629">
        <v>24.45</v>
      </c>
      <c r="S119" t="n" s="7630">
        <v>0.0</v>
      </c>
      <c r="T119" t="n" s="7631">
        <v>0.0</v>
      </c>
      <c r="U119" t="n" s="7632">
        <v>0.0</v>
      </c>
      <c r="V119" t="n" s="7633">
        <v>0.0</v>
      </c>
      <c r="W119" t="n" s="7634">
        <f>r119+t119+v119</f>
      </c>
      <c r="X119" t="n" s="7635">
        <v>-36.45</v>
      </c>
      <c r="Y119" t="n" s="7636">
        <v>0.0</v>
      </c>
      <c r="Z119" t="n" s="7637">
        <v>0.0</v>
      </c>
      <c r="AA119" t="n" s="7638">
        <f>i119+j119+k119+l119+m119+n119+o119+p119+x119+y119+z119</f>
      </c>
      <c r="AB119" t="n" s="7639">
        <v>942.0</v>
      </c>
      <c r="AC119" t="n" s="7640">
        <v>131.1</v>
      </c>
      <c r="AD119" t="n" s="7641">
        <v>15.0</v>
      </c>
      <c r="AE119" t="n" s="7642">
        <v>80.0</v>
      </c>
      <c r="AF119" t="n" s="7643">
        <f>ROUND((aa119+ab119+ac119+ad119+ae119),2)</f>
      </c>
      <c r="AG119" t="n" s="7644">
        <f>af119*0.06</f>
      </c>
      <c r="AH119" t="n" s="7645">
        <f>af119+ag119</f>
      </c>
      <c r="AI119" t="s" s="7646">
        <v>0</v>
      </c>
    </row>
    <row r="120">
      <c r="A120" t="s" s="7647">
        <v>583</v>
      </c>
      <c r="B120" t="s" s="7648">
        <v>0</v>
      </c>
      <c r="C120" t="s" s="7649">
        <v>584</v>
      </c>
      <c r="D120" t="s" s="7650">
        <v>585</v>
      </c>
      <c r="E120" t="s" s="7651">
        <v>586</v>
      </c>
      <c r="F120" t="s" s="7652">
        <v>572</v>
      </c>
      <c r="G120" t="n" s="8855">
        <v>41944.0</v>
      </c>
      <c r="H120" t="s" s="8856">
        <v>0</v>
      </c>
      <c r="I120" t="n" s="7655">
        <v>1080.0</v>
      </c>
      <c r="J120" t="n" s="7656">
        <v>100.0</v>
      </c>
      <c r="K120" t="n" s="7657">
        <v>0.0</v>
      </c>
      <c r="L120" t="n" s="7658">
        <v>100.0</v>
      </c>
      <c r="M120" t="n" s="7659">
        <v>0.0</v>
      </c>
      <c r="N120" t="n" s="7660">
        <v>10.0</v>
      </c>
      <c r="O120" t="n" s="7661">
        <v>60.0</v>
      </c>
      <c r="P120" t="n" s="7662">
        <v>0.0</v>
      </c>
      <c r="Q120" t="n" s="7663">
        <v>0.0</v>
      </c>
      <c r="R120" t="n" s="7664">
        <v>0.0</v>
      </c>
      <c r="S120" t="n" s="7665">
        <v>0.0</v>
      </c>
      <c r="T120" t="n" s="7666">
        <v>0.0</v>
      </c>
      <c r="U120" t="n" s="7667">
        <v>0.0</v>
      </c>
      <c r="V120" t="n" s="7668">
        <v>0.0</v>
      </c>
      <c r="W120" t="n" s="7669">
        <f>r120+t120+v120</f>
      </c>
      <c r="X120" t="n" s="7670">
        <v>0.0</v>
      </c>
      <c r="Y120" t="n" s="7671">
        <v>0.0</v>
      </c>
      <c r="Z120" t="n" s="7672">
        <v>0.0</v>
      </c>
      <c r="AA120" t="n" s="7673">
        <f>i120+j120+k120+l120+m120+n120+o120+p120+x120+y120+z120</f>
      </c>
      <c r="AB120" t="n" s="7674">
        <v>175.0</v>
      </c>
      <c r="AC120" t="n" s="7675">
        <v>23.65</v>
      </c>
      <c r="AD120" t="n" s="7676">
        <v>2.7</v>
      </c>
      <c r="AE120" t="n" s="7677">
        <v>80.0</v>
      </c>
      <c r="AF120" t="n" s="7678">
        <f>ROUND((aa120+ab120+ac120+ad120+ae120),2)</f>
      </c>
      <c r="AG120" t="n" s="7679">
        <f>af120*0.06</f>
      </c>
      <c r="AH120" t="n" s="7680">
        <f>af120+ag120</f>
      </c>
      <c r="AI120" t="s" s="7681">
        <v>0</v>
      </c>
    </row>
    <row r="121">
      <c r="A121" t="s" s="7682">
        <v>587</v>
      </c>
      <c r="B121" t="s" s="7683">
        <v>588</v>
      </c>
      <c r="C121" t="s" s="7684">
        <v>589</v>
      </c>
      <c r="D121" t="s" s="7685">
        <v>590</v>
      </c>
      <c r="E121" t="s" s="7686">
        <v>591</v>
      </c>
      <c r="F121" t="s" s="7687">
        <v>572</v>
      </c>
      <c r="G121" t="n" s="8857">
        <v>41944.0</v>
      </c>
      <c r="H121" t="s" s="8858">
        <v>0</v>
      </c>
      <c r="I121" t="n" s="7690">
        <v>1140.0</v>
      </c>
      <c r="J121" t="n" s="7691">
        <v>100.0</v>
      </c>
      <c r="K121" t="n" s="7692">
        <v>0.0</v>
      </c>
      <c r="L121" t="n" s="7693">
        <v>1374.0</v>
      </c>
      <c r="M121" t="n" s="7694">
        <v>0.0</v>
      </c>
      <c r="N121" t="n" s="7695">
        <v>10.0</v>
      </c>
      <c r="O121" t="n" s="7696">
        <v>60.0</v>
      </c>
      <c r="P121" t="n" s="7697">
        <v>0.0</v>
      </c>
      <c r="Q121" t="n" s="7698">
        <v>5.0</v>
      </c>
      <c r="R121" t="n" s="7699">
        <v>39.3</v>
      </c>
      <c r="S121" t="n" s="7700">
        <v>8.0</v>
      </c>
      <c r="T121" t="n" s="7701">
        <v>83.84</v>
      </c>
      <c r="U121" t="n" s="7702">
        <v>0.0</v>
      </c>
      <c r="V121" t="n" s="7703">
        <v>0.0</v>
      </c>
      <c r="W121" t="n" s="7704">
        <f>r121+t121+v121</f>
      </c>
      <c r="X121" t="n" s="7705">
        <v>0.0</v>
      </c>
      <c r="Y121" t="n" s="7706">
        <v>0.0</v>
      </c>
      <c r="Z121" t="n" s="7707">
        <v>0.0</v>
      </c>
      <c r="AA121" t="n" s="7708">
        <f>i121+j121+k121+l121+m121+n121+o121+p121+x121+y121+z121</f>
      </c>
      <c r="AB121" t="n" s="7709">
        <v>698.0</v>
      </c>
      <c r="AC121" t="n" s="7710">
        <v>96.3</v>
      </c>
      <c r="AD121" t="n" s="7711">
        <v>11.0</v>
      </c>
      <c r="AE121" t="n" s="7712">
        <v>80.0</v>
      </c>
      <c r="AF121" t="n" s="7713">
        <f>ROUND((aa121+ab121+ac121+ad121+ae121),2)</f>
      </c>
      <c r="AG121" t="n" s="7714">
        <f>af121*0.06</f>
      </c>
      <c r="AH121" t="n" s="7715">
        <f>af121+ag121</f>
      </c>
      <c r="AI121" t="s" s="7716">
        <v>0</v>
      </c>
    </row>
    <row r="122">
      <c r="A122" t="s" s="7717">
        <v>592</v>
      </c>
      <c r="B122" t="s" s="7718">
        <v>593</v>
      </c>
      <c r="C122" t="s" s="7719">
        <v>594</v>
      </c>
      <c r="D122" t="s" s="7720">
        <v>595</v>
      </c>
      <c r="E122" t="s" s="7721">
        <v>596</v>
      </c>
      <c r="F122" t="s" s="7722">
        <v>572</v>
      </c>
      <c r="G122" t="n" s="8859">
        <v>41944.0</v>
      </c>
      <c r="H122" t="s" s="8860">
        <v>0</v>
      </c>
      <c r="I122" t="n" s="7725">
        <v>1120.0</v>
      </c>
      <c r="J122" t="n" s="7726">
        <v>100.0</v>
      </c>
      <c r="K122" t="n" s="7727">
        <v>0.0</v>
      </c>
      <c r="L122" t="n" s="7728">
        <v>1924.0</v>
      </c>
      <c r="M122" t="n" s="7729">
        <v>0.0</v>
      </c>
      <c r="N122" t="n" s="7730">
        <v>44.8</v>
      </c>
      <c r="O122" t="n" s="7731">
        <v>60.0</v>
      </c>
      <c r="P122" t="n" s="7732">
        <v>0.0</v>
      </c>
      <c r="Q122" t="n" s="7733">
        <v>2.0</v>
      </c>
      <c r="R122" t="n" s="7734">
        <v>15.44</v>
      </c>
      <c r="S122" t="n" s="7735">
        <v>0.0</v>
      </c>
      <c r="T122" t="n" s="7736">
        <v>0.0</v>
      </c>
      <c r="U122" t="n" s="7737">
        <v>0.0</v>
      </c>
      <c r="V122" t="n" s="7738">
        <v>0.0</v>
      </c>
      <c r="W122" t="n" s="7739">
        <f>r122+t122+v122</f>
      </c>
      <c r="X122" t="n" s="7740">
        <v>0.0</v>
      </c>
      <c r="Y122" t="n" s="7741">
        <v>0.0</v>
      </c>
      <c r="Z122" t="n" s="7742">
        <v>0.0</v>
      </c>
      <c r="AA122" t="n" s="7743">
        <f>i122+j122+k122+l122+m122+n122+o122+p122+x122+y122+z122</f>
      </c>
      <c r="AB122" t="n" s="7744">
        <v>838.0</v>
      </c>
      <c r="AC122" t="n" s="7745">
        <v>113.7</v>
      </c>
      <c r="AD122" t="n" s="7746">
        <v>13.0</v>
      </c>
      <c r="AE122" t="n" s="7747">
        <v>80.0</v>
      </c>
      <c r="AF122" t="n" s="7748">
        <f>ROUND((aa122+ab122+ac122+ad122+ae122),2)</f>
      </c>
      <c r="AG122" t="n" s="7749">
        <f>af122*0.06</f>
      </c>
      <c r="AH122" t="n" s="7750">
        <f>af122+ag122</f>
      </c>
      <c r="AI122" t="s" s="7751">
        <v>0</v>
      </c>
    </row>
    <row r="123">
      <c r="A123" t="s" s="7752">
        <v>597</v>
      </c>
      <c r="B123" t="s" s="7753">
        <v>0</v>
      </c>
      <c r="C123" t="s" s="7754">
        <v>598</v>
      </c>
      <c r="D123" t="s" s="7755">
        <v>599</v>
      </c>
      <c r="E123" t="s" s="7756">
        <v>600</v>
      </c>
      <c r="F123" t="s" s="7757">
        <v>572</v>
      </c>
      <c r="G123" t="n" s="8861">
        <v>41944.0</v>
      </c>
      <c r="H123" t="s" s="8862">
        <v>0</v>
      </c>
      <c r="I123" t="n" s="7760">
        <v>3220.0</v>
      </c>
      <c r="J123" t="n" s="7761">
        <v>0.0</v>
      </c>
      <c r="K123" t="n" s="7762">
        <v>0.0</v>
      </c>
      <c r="L123" t="n" s="7763">
        <v>0.0</v>
      </c>
      <c r="M123" t="n" s="7764">
        <v>300.0</v>
      </c>
      <c r="N123" t="n" s="7765">
        <v>897.16</v>
      </c>
      <c r="O123" t="n" s="7766">
        <v>0.0</v>
      </c>
      <c r="P123" t="n" s="7767">
        <v>0.0</v>
      </c>
      <c r="Q123" t="n" s="7768">
        <v>0.0</v>
      </c>
      <c r="R123" t="n" s="7769">
        <v>0.0</v>
      </c>
      <c r="S123" t="n" s="7770">
        <v>0.0</v>
      </c>
      <c r="T123" t="n" s="7771">
        <v>0.0</v>
      </c>
      <c r="U123" t="n" s="7772">
        <v>0.0</v>
      </c>
      <c r="V123" t="n" s="7773">
        <v>0.0</v>
      </c>
      <c r="W123" t="n" s="7774">
        <f>r123+t123+v123</f>
      </c>
      <c r="X123" t="n" s="7775">
        <v>0.0</v>
      </c>
      <c r="Y123" t="n" s="7776">
        <v>0.0</v>
      </c>
      <c r="Z123" t="n" s="7777">
        <v>0.0</v>
      </c>
      <c r="AA123" t="n" s="7778">
        <f>i123+j123+k123+l123+m123+n123+o123+p123+x123+y123+z123</f>
      </c>
      <c r="AB123" t="n" s="7779">
        <v>458.0</v>
      </c>
      <c r="AC123" t="n" s="7780">
        <v>62.15</v>
      </c>
      <c r="AD123" t="n" s="7781">
        <v>7.1</v>
      </c>
      <c r="AE123" t="n" s="7782">
        <v>80.0</v>
      </c>
      <c r="AF123" t="n" s="7783">
        <f>ROUND((aa123+ab123+ac123+ad123+ae123),2)</f>
      </c>
      <c r="AG123" t="n" s="7784">
        <f>af123*0.06</f>
      </c>
      <c r="AH123" t="n" s="7785">
        <f>af123+ag123</f>
      </c>
      <c r="AI123" t="s" s="7786">
        <v>0</v>
      </c>
    </row>
    <row r="124">
      <c r="A124" t="s" s="7787">
        <v>601</v>
      </c>
      <c r="B124" t="s" s="7788">
        <v>602</v>
      </c>
      <c r="C124" t="s" s="7789">
        <v>603</v>
      </c>
      <c r="D124" t="s" s="7790">
        <v>604</v>
      </c>
      <c r="E124" t="s" s="7791">
        <v>605</v>
      </c>
      <c r="F124" t="s" s="7792">
        <v>572</v>
      </c>
      <c r="G124" t="n" s="8863">
        <v>41944.0</v>
      </c>
      <c r="H124" t="s" s="8864">
        <v>0</v>
      </c>
      <c r="I124" t="n" s="7795">
        <v>1140.0</v>
      </c>
      <c r="J124" t="n" s="7796">
        <v>100.0</v>
      </c>
      <c r="K124" t="n" s="7797">
        <v>0.0</v>
      </c>
      <c r="L124" t="n" s="7798">
        <v>2340.0</v>
      </c>
      <c r="M124" t="n" s="7799">
        <v>0.0</v>
      </c>
      <c r="N124" t="n" s="7800">
        <v>28.5</v>
      </c>
      <c r="O124" t="n" s="7801">
        <v>60.0</v>
      </c>
      <c r="P124" t="n" s="7802">
        <v>0.0</v>
      </c>
      <c r="Q124" t="n" s="7803">
        <v>11.0</v>
      </c>
      <c r="R124" t="n" s="7804">
        <v>83.27</v>
      </c>
      <c r="S124" t="n" s="7805">
        <v>0.0</v>
      </c>
      <c r="T124" t="n" s="7806">
        <v>0.0</v>
      </c>
      <c r="U124" t="n" s="7807">
        <v>0.0</v>
      </c>
      <c r="V124" t="n" s="7808">
        <v>0.0</v>
      </c>
      <c r="W124" t="n" s="7809">
        <f>r124+t124+v124</f>
      </c>
      <c r="X124" t="n" s="7810">
        <v>0.0</v>
      </c>
      <c r="Y124" t="n" s="7811">
        <v>0.0</v>
      </c>
      <c r="Z124" t="n" s="7812">
        <v>0.0</v>
      </c>
      <c r="AA124" t="n" s="7813">
        <f>i124+j124+k124+l124+m124+n124+o124+p124+x124+y124+z124</f>
      </c>
      <c r="AB124" t="n" s="7814">
        <v>948.0</v>
      </c>
      <c r="AC124" t="n" s="7815">
        <v>131.1</v>
      </c>
      <c r="AD124" t="n" s="7816">
        <v>15.0</v>
      </c>
      <c r="AE124" t="n" s="7817">
        <v>80.0</v>
      </c>
      <c r="AF124" t="n" s="7818">
        <f>ROUND((aa124+ab124+ac124+ad124+ae124),2)</f>
      </c>
      <c r="AG124" t="n" s="7819">
        <f>af124*0.06</f>
      </c>
      <c r="AH124" t="n" s="7820">
        <f>af124+ag124</f>
      </c>
      <c r="AI124" t="s" s="7821">
        <v>0</v>
      </c>
    </row>
    <row r="125">
      <c r="A125" t="s" s="7822">
        <v>606</v>
      </c>
      <c r="B125" t="s" s="7823">
        <v>0</v>
      </c>
      <c r="C125" t="s" s="7824">
        <v>607</v>
      </c>
      <c r="D125" t="s" s="7825">
        <v>608</v>
      </c>
      <c r="E125" t="s" s="7826">
        <v>609</v>
      </c>
      <c r="F125" t="s" s="7827">
        <v>572</v>
      </c>
      <c r="G125" t="n" s="8865">
        <v>41944.0</v>
      </c>
      <c r="H125" t="s" s="8866">
        <v>0</v>
      </c>
      <c r="I125" t="n" s="7830">
        <v>1320.0</v>
      </c>
      <c r="J125" t="n" s="7831">
        <v>100.0</v>
      </c>
      <c r="K125" t="n" s="7832">
        <v>0.0</v>
      </c>
      <c r="L125" t="n" s="7833">
        <v>866.0</v>
      </c>
      <c r="M125" t="n" s="7834">
        <v>0.0</v>
      </c>
      <c r="N125" t="n" s="7835">
        <v>32.55</v>
      </c>
      <c r="O125" t="n" s="7836">
        <v>60.0</v>
      </c>
      <c r="P125" t="n" s="7837">
        <v>0.0</v>
      </c>
      <c r="Q125" t="n" s="7838">
        <v>0.0</v>
      </c>
      <c r="R125" t="n" s="7839">
        <v>0.0</v>
      </c>
      <c r="S125" t="n" s="7840">
        <v>0.0</v>
      </c>
      <c r="T125" t="n" s="7841">
        <v>0.0</v>
      </c>
      <c r="U125" t="n" s="7842">
        <v>0.0</v>
      </c>
      <c r="V125" t="n" s="7843">
        <v>0.0</v>
      </c>
      <c r="W125" t="n" s="7844">
        <f>r125+t125+v125</f>
      </c>
      <c r="X125" t="n" s="7845">
        <v>0.0</v>
      </c>
      <c r="Y125" t="n" s="7846">
        <v>0.0</v>
      </c>
      <c r="Z125" t="n" s="7847">
        <v>0.0</v>
      </c>
      <c r="AA125" t="n" s="7848">
        <f>i125+j125+k125+l125+m125+n125+o125+p125+x125+y125+z125</f>
      </c>
      <c r="AB125" t="n" s="7849">
        <v>307.0</v>
      </c>
      <c r="AC125" t="n" s="7850">
        <v>41.15</v>
      </c>
      <c r="AD125" t="n" s="7851">
        <v>4.7</v>
      </c>
      <c r="AE125" t="n" s="7852">
        <v>80.0</v>
      </c>
      <c r="AF125" t="n" s="7853">
        <f>ROUND((aa125+ab125+ac125+ad125+ae125),2)</f>
      </c>
      <c r="AG125" t="n" s="7854">
        <f>af125*0.06</f>
      </c>
      <c r="AH125" t="n" s="7855">
        <f>af125+ag125</f>
      </c>
      <c r="AI125" t="s" s="7856">
        <v>0</v>
      </c>
    </row>
    <row r="126">
      <c r="A126" t="s" s="7857">
        <v>610</v>
      </c>
      <c r="B126" t="s" s="7858">
        <v>611</v>
      </c>
      <c r="C126" t="s" s="7859">
        <v>612</v>
      </c>
      <c r="D126" t="s" s="7860">
        <v>613</v>
      </c>
      <c r="E126" t="s" s="7861">
        <v>614</v>
      </c>
      <c r="F126" t="s" s="7862">
        <v>572</v>
      </c>
      <c r="G126" t="n" s="8867">
        <v>41944.0</v>
      </c>
      <c r="H126" t="n" s="8868">
        <v>43332.0</v>
      </c>
      <c r="I126" t="n" s="7865">
        <v>1060.0</v>
      </c>
      <c r="J126" t="n" s="7866">
        <v>100.0</v>
      </c>
      <c r="K126" t="n" s="7867">
        <v>0.0</v>
      </c>
      <c r="L126" t="n" s="7868">
        <v>450.0</v>
      </c>
      <c r="M126" t="n" s="7869">
        <v>0.0</v>
      </c>
      <c r="N126" t="n" s="7870">
        <v>10.0</v>
      </c>
      <c r="O126" t="n" s="7871">
        <v>60.0</v>
      </c>
      <c r="P126" t="n" s="7872">
        <v>0.0</v>
      </c>
      <c r="Q126" t="n" s="7873">
        <v>1.0</v>
      </c>
      <c r="R126" t="n" s="7874">
        <v>7.36</v>
      </c>
      <c r="S126" t="n" s="7875">
        <v>0.0</v>
      </c>
      <c r="T126" t="n" s="7876">
        <v>0.0</v>
      </c>
      <c r="U126" t="n" s="7877">
        <v>0.0</v>
      </c>
      <c r="V126" t="n" s="7878">
        <v>0.0</v>
      </c>
      <c r="W126" t="n" s="7879">
        <f>r126+t126+v126</f>
      </c>
      <c r="X126" t="n" s="7880">
        <v>0.0</v>
      </c>
      <c r="Y126" t="n" s="7881">
        <v>0.0</v>
      </c>
      <c r="Z126" t="n" s="7882">
        <v>0.0</v>
      </c>
      <c r="AA126" t="n" s="7883">
        <f>i126+j126+k126+l126+m126+n126+o126+p126+x126+y126+z126</f>
      </c>
      <c r="AB126" t="n" s="7884">
        <v>506.0</v>
      </c>
      <c r="AC126" t="n" s="7885">
        <v>68.3</v>
      </c>
      <c r="AD126" t="n" s="7886">
        <v>7.8</v>
      </c>
      <c r="AE126" t="n" s="7887">
        <v>80.0</v>
      </c>
      <c r="AF126" t="n" s="7888">
        <f>ROUND((aa126+ab126+ac126+ad126+ae126),2)</f>
      </c>
      <c r="AG126" t="n" s="7889">
        <f>af126*0.06</f>
      </c>
      <c r="AH126" t="n" s="7890">
        <f>af126+ag126</f>
      </c>
      <c r="AI126" t="s" s="7891">
        <v>0</v>
      </c>
    </row>
    <row r="127">
      <c r="A127" t="s" s="7892">
        <v>615</v>
      </c>
      <c r="B127" t="s" s="7893">
        <v>616</v>
      </c>
      <c r="C127" t="s" s="7894">
        <v>617</v>
      </c>
      <c r="D127" t="s" s="7895">
        <v>618</v>
      </c>
      <c r="E127" t="s" s="7896">
        <v>619</v>
      </c>
      <c r="F127" t="s" s="7897">
        <v>572</v>
      </c>
      <c r="G127" t="n" s="8869">
        <v>41944.0</v>
      </c>
      <c r="H127" t="s" s="8870">
        <v>0</v>
      </c>
      <c r="I127" t="n" s="7900">
        <v>1100.0</v>
      </c>
      <c r="J127" t="n" s="7901">
        <v>100.0</v>
      </c>
      <c r="K127" t="n" s="7902">
        <v>0.0</v>
      </c>
      <c r="L127" t="n" s="7903">
        <v>2340.0</v>
      </c>
      <c r="M127" t="n" s="7904">
        <v>0.0</v>
      </c>
      <c r="N127" t="n" s="7905">
        <v>37.5</v>
      </c>
      <c r="O127" t="n" s="7906">
        <v>60.0</v>
      </c>
      <c r="P127" t="n" s="7907">
        <v>0.0</v>
      </c>
      <c r="Q127" t="n" s="7908">
        <v>7.0</v>
      </c>
      <c r="R127" t="n" s="7909">
        <v>53.48</v>
      </c>
      <c r="S127" t="n" s="7910">
        <v>8.0</v>
      </c>
      <c r="T127" t="n" s="7911">
        <v>81.52</v>
      </c>
      <c r="U127" t="n" s="7912">
        <v>0.0</v>
      </c>
      <c r="V127" t="n" s="7913">
        <v>0.0</v>
      </c>
      <c r="W127" t="n" s="7914">
        <f>r127+t127+v127</f>
      </c>
      <c r="X127" t="n" s="7915">
        <v>0.0</v>
      </c>
      <c r="Y127" t="n" s="7916">
        <v>0.0</v>
      </c>
      <c r="Z127" t="n" s="7917">
        <v>0.0</v>
      </c>
      <c r="AA127" t="n" s="7918">
        <f>i127+j127+k127+l127+m127+n127+o127+p127+x127+y127+z127</f>
      </c>
      <c r="AB127" t="n" s="7919">
        <v>936.0</v>
      </c>
      <c r="AC127" t="n" s="7920">
        <v>127.7</v>
      </c>
      <c r="AD127" t="n" s="7921">
        <v>14.6</v>
      </c>
      <c r="AE127" t="n" s="7922">
        <v>80.0</v>
      </c>
      <c r="AF127" t="n" s="7923">
        <f>ROUND((aa127+ab127+ac127+ad127+ae127),2)</f>
      </c>
      <c r="AG127" t="n" s="7924">
        <f>af127*0.06</f>
      </c>
      <c r="AH127" t="n" s="7925">
        <f>af127+ag127</f>
      </c>
      <c r="AI127" t="s" s="7926">
        <v>0</v>
      </c>
    </row>
    <row r="128">
      <c r="A128" t="s" s="7927">
        <v>620</v>
      </c>
      <c r="B128" t="s" s="7928">
        <v>621</v>
      </c>
      <c r="C128" t="s" s="7929">
        <v>622</v>
      </c>
      <c r="D128" t="s" s="7930">
        <v>623</v>
      </c>
      <c r="E128" t="s" s="7931">
        <v>624</v>
      </c>
      <c r="F128" t="s" s="7932">
        <v>572</v>
      </c>
      <c r="G128" t="n" s="8871">
        <v>41944.0</v>
      </c>
      <c r="H128" t="s" s="8872">
        <v>0</v>
      </c>
      <c r="I128" t="n" s="7935">
        <v>1060.0</v>
      </c>
      <c r="J128" t="n" s="7936">
        <v>100.0</v>
      </c>
      <c r="K128" t="n" s="7937">
        <v>0.0</v>
      </c>
      <c r="L128" t="n" s="7938">
        <v>2536.0</v>
      </c>
      <c r="M128" t="n" s="7939">
        <v>0.0</v>
      </c>
      <c r="N128" t="n" s="7940">
        <v>10.0</v>
      </c>
      <c r="O128" t="n" s="7941">
        <v>60.0</v>
      </c>
      <c r="P128" t="n" s="7942">
        <v>0.0</v>
      </c>
      <c r="Q128" t="n" s="7943">
        <v>12.0</v>
      </c>
      <c r="R128" t="n" s="7944">
        <v>86.52</v>
      </c>
      <c r="S128" t="n" s="7945">
        <v>8.0</v>
      </c>
      <c r="T128" t="n" s="7946">
        <v>76.96</v>
      </c>
      <c r="U128" t="n" s="7947">
        <v>0.0</v>
      </c>
      <c r="V128" t="n" s="7948">
        <v>0.0</v>
      </c>
      <c r="W128" t="n" s="7949">
        <f>r128+t128+v128</f>
      </c>
      <c r="X128" t="n" s="7950">
        <v>0.0</v>
      </c>
      <c r="Y128" t="n" s="7951">
        <v>0.0</v>
      </c>
      <c r="Z128" t="n" s="7952">
        <v>0.0</v>
      </c>
      <c r="AA128" t="n" s="7953">
        <f>i128+j128+k128+l128+m128+n128+o128+p128+x128+y128+z128</f>
      </c>
      <c r="AB128" t="n" s="7954">
        <v>1082.0</v>
      </c>
      <c r="AC128" t="n" s="7955">
        <v>138.1</v>
      </c>
      <c r="AD128" t="n" s="7956">
        <v>15.8</v>
      </c>
      <c r="AE128" t="n" s="7957">
        <v>80.0</v>
      </c>
      <c r="AF128" t="n" s="7958">
        <f>ROUND((aa128+ab128+ac128+ad128+ae128),2)</f>
      </c>
      <c r="AG128" t="n" s="7959">
        <f>af128*0.06</f>
      </c>
      <c r="AH128" t="n" s="7960">
        <f>af128+ag128</f>
      </c>
      <c r="AI128" t="s" s="7961">
        <v>0</v>
      </c>
    </row>
    <row r="129">
      <c r="A129" t="s" s="7962">
        <v>625</v>
      </c>
      <c r="B129" t="s" s="7963">
        <v>626</v>
      </c>
      <c r="C129" t="s" s="7964">
        <v>627</v>
      </c>
      <c r="D129" t="s" s="7965">
        <v>628</v>
      </c>
      <c r="E129" t="s" s="7966">
        <v>629</v>
      </c>
      <c r="F129" t="s" s="7967">
        <v>572</v>
      </c>
      <c r="G129" t="n" s="8873">
        <v>41944.0</v>
      </c>
      <c r="H129" t="s" s="8874">
        <v>0</v>
      </c>
      <c r="I129" t="n" s="7970">
        <v>1210.0</v>
      </c>
      <c r="J129" t="n" s="7971">
        <v>100.0</v>
      </c>
      <c r="K129" t="n" s="7972">
        <v>0.0</v>
      </c>
      <c r="L129" t="n" s="7973">
        <v>2356.0</v>
      </c>
      <c r="M129" t="n" s="7974">
        <v>0.0</v>
      </c>
      <c r="N129" t="n" s="7975">
        <v>10.0</v>
      </c>
      <c r="O129" t="n" s="7976">
        <v>60.0</v>
      </c>
      <c r="P129" t="n" s="7977">
        <v>0.0</v>
      </c>
      <c r="Q129" t="n" s="7978">
        <v>11.0</v>
      </c>
      <c r="R129" t="n" s="7979">
        <v>90.42</v>
      </c>
      <c r="S129" t="n" s="7980">
        <v>8.0</v>
      </c>
      <c r="T129" t="n" s="7981">
        <v>87.68</v>
      </c>
      <c r="U129" t="n" s="7982">
        <v>0.0</v>
      </c>
      <c r="V129" t="n" s="7983">
        <v>0.0</v>
      </c>
      <c r="W129" t="n" s="7984">
        <f>r129+t129+v129</f>
      </c>
      <c r="X129" t="n" s="7985">
        <v>0.0</v>
      </c>
      <c r="Y129" t="n" s="7986">
        <v>0.0</v>
      </c>
      <c r="Z129" t="n" s="7987">
        <v>0.0</v>
      </c>
      <c r="AA129" t="n" s="7988">
        <f>i129+j129+k129+l129+m129+n129+o129+p129+x129+y129+z129</f>
      </c>
      <c r="AB129" t="n" s="7989">
        <v>974.0</v>
      </c>
      <c r="AC129" t="n" s="7990">
        <v>138.3</v>
      </c>
      <c r="AD129" t="n" s="7991">
        <v>15.8</v>
      </c>
      <c r="AE129" t="n" s="7992">
        <v>80.0</v>
      </c>
      <c r="AF129" t="n" s="7993">
        <f>ROUND((aa129+ab129+ac129+ad129+ae129),2)</f>
      </c>
      <c r="AG129" t="n" s="7994">
        <f>af129*0.06</f>
      </c>
      <c r="AH129" t="n" s="7995">
        <f>af129+ag129</f>
      </c>
      <c r="AI129" t="s" s="7996">
        <v>0</v>
      </c>
    </row>
    <row r="130">
      <c r="A130" t="s" s="7997">
        <v>630</v>
      </c>
      <c r="B130" t="s" s="7998">
        <v>631</v>
      </c>
      <c r="C130" t="s" s="7999">
        <v>632</v>
      </c>
      <c r="D130" t="s" s="8000">
        <v>633</v>
      </c>
      <c r="E130" t="s" s="8001">
        <v>634</v>
      </c>
      <c r="F130" t="s" s="8002">
        <v>572</v>
      </c>
      <c r="G130" t="n" s="8875">
        <v>41944.0</v>
      </c>
      <c r="H130" t="s" s="8876">
        <v>0</v>
      </c>
      <c r="I130" t="n" s="8005">
        <v>1130.0</v>
      </c>
      <c r="J130" t="n" s="8006">
        <v>100.0</v>
      </c>
      <c r="K130" t="n" s="8007">
        <v>0.0</v>
      </c>
      <c r="L130" t="n" s="8008">
        <v>1508.0</v>
      </c>
      <c r="M130" t="n" s="8009">
        <v>0.0</v>
      </c>
      <c r="N130" t="n" s="8010">
        <v>24.23</v>
      </c>
      <c r="O130" t="n" s="8011">
        <v>60.0</v>
      </c>
      <c r="P130" t="n" s="8012">
        <v>0.0</v>
      </c>
      <c r="Q130" t="n" s="8013">
        <v>12.0</v>
      </c>
      <c r="R130" t="n" s="8014">
        <v>94.32</v>
      </c>
      <c r="S130" t="n" s="8015">
        <v>8.0</v>
      </c>
      <c r="T130" t="n" s="8016">
        <v>83.84</v>
      </c>
      <c r="U130" t="n" s="8017">
        <v>0.0</v>
      </c>
      <c r="V130" t="n" s="8018">
        <v>0.0</v>
      </c>
      <c r="W130" t="n" s="8019">
        <f>r130+t130+v130</f>
      </c>
      <c r="X130" t="n" s="8020">
        <v>0.0</v>
      </c>
      <c r="Y130" t="n" s="8021">
        <v>0.0</v>
      </c>
      <c r="Z130" t="n" s="8022">
        <v>0.0</v>
      </c>
      <c r="AA130" t="n" s="8023">
        <f>i130+j130+k130+l130+m130+n130+o130+p130+x130+y130+z130</f>
      </c>
      <c r="AB130" t="n" s="8024">
        <v>728.0</v>
      </c>
      <c r="AC130" t="n" s="8025">
        <v>103.3</v>
      </c>
      <c r="AD130" t="n" s="8026">
        <v>11.8</v>
      </c>
      <c r="AE130" t="n" s="8027">
        <v>80.0</v>
      </c>
      <c r="AF130" t="n" s="8028">
        <f>ROUND((aa130+ab130+ac130+ad130+ae130),2)</f>
      </c>
      <c r="AG130" t="n" s="8029">
        <f>af130*0.06</f>
      </c>
      <c r="AH130" t="n" s="8030">
        <f>af130+ag130</f>
      </c>
      <c r="AI130" t="s" s="8031">
        <v>0</v>
      </c>
    </row>
    <row r="131">
      <c r="A131" t="s" s="8032">
        <v>635</v>
      </c>
      <c r="B131" t="s" s="8033">
        <v>636</v>
      </c>
      <c r="C131" t="s" s="8034">
        <v>637</v>
      </c>
      <c r="D131" t="s" s="8035">
        <v>638</v>
      </c>
      <c r="E131" t="s" s="8036">
        <v>639</v>
      </c>
      <c r="F131" t="s" s="8037">
        <v>572</v>
      </c>
      <c r="G131" t="n" s="8877">
        <v>42125.0</v>
      </c>
      <c r="H131" t="s" s="8878">
        <v>0</v>
      </c>
      <c r="I131" t="n" s="8040">
        <v>1090.0</v>
      </c>
      <c r="J131" t="n" s="8041">
        <v>100.0</v>
      </c>
      <c r="K131" t="n" s="8042">
        <v>0.0</v>
      </c>
      <c r="L131" t="n" s="8043">
        <v>1750.0</v>
      </c>
      <c r="M131" t="n" s="8044">
        <v>0.0</v>
      </c>
      <c r="N131" t="n" s="8045">
        <v>10.0</v>
      </c>
      <c r="O131" t="n" s="8046">
        <v>60.0</v>
      </c>
      <c r="P131" t="n" s="8047">
        <v>0.0</v>
      </c>
      <c r="Q131" t="n" s="8048">
        <v>5.0</v>
      </c>
      <c r="R131" t="n" s="8049">
        <v>37.5</v>
      </c>
      <c r="S131" t="n" s="8050">
        <v>0.0</v>
      </c>
      <c r="T131" t="n" s="8051">
        <v>0.0</v>
      </c>
      <c r="U131" t="n" s="8052">
        <v>0.0</v>
      </c>
      <c r="V131" t="n" s="8053">
        <v>0.0</v>
      </c>
      <c r="W131" t="n" s="8054">
        <f>r131+t131+v131</f>
      </c>
      <c r="X131" t="n" s="8055">
        <v>0.0</v>
      </c>
      <c r="Y131" t="n" s="8056">
        <v>0.0</v>
      </c>
      <c r="Z131" t="n" s="8057">
        <v>0.0</v>
      </c>
      <c r="AA131" t="n" s="8058">
        <f>i131+j131+k131+l131+m131+n131+o131+p131+x131+y131+z131</f>
      </c>
      <c r="AB131" t="n" s="8059">
        <v>780.0</v>
      </c>
      <c r="AC131" t="n" s="8060">
        <v>103.3</v>
      </c>
      <c r="AD131" t="n" s="8061">
        <v>11.8</v>
      </c>
      <c r="AE131" t="n" s="8062">
        <v>80.0</v>
      </c>
      <c r="AF131" t="n" s="8063">
        <f>ROUND((aa131+ab131+ac131+ad131+ae131),2)</f>
      </c>
      <c r="AG131" t="n" s="8064">
        <f>af131*0.06</f>
      </c>
      <c r="AH131" t="n" s="8065">
        <f>af131+ag131</f>
      </c>
      <c r="AI131" t="s" s="8066">
        <v>0</v>
      </c>
    </row>
    <row r="132">
      <c r="A132" t="s" s="8067">
        <v>640</v>
      </c>
      <c r="B132" t="s" s="8068">
        <v>641</v>
      </c>
      <c r="C132" t="s" s="8069">
        <v>642</v>
      </c>
      <c r="D132" t="s" s="8070">
        <v>643</v>
      </c>
      <c r="E132" t="s" s="8071">
        <v>644</v>
      </c>
      <c r="F132" t="s" s="8072">
        <v>572</v>
      </c>
      <c r="G132" t="n" s="8879">
        <v>42125.0</v>
      </c>
      <c r="H132" t="s" s="8880">
        <v>0</v>
      </c>
      <c r="I132" t="n" s="8075">
        <v>1440.0</v>
      </c>
      <c r="J132" t="n" s="8076">
        <v>100.0</v>
      </c>
      <c r="K132" t="n" s="8077">
        <v>0.0</v>
      </c>
      <c r="L132" t="n" s="8078">
        <v>2400.0</v>
      </c>
      <c r="M132" t="n" s="8079">
        <v>0.0</v>
      </c>
      <c r="N132" t="n" s="8080">
        <v>37.9</v>
      </c>
      <c r="O132" t="n" s="8081">
        <v>60.0</v>
      </c>
      <c r="P132" t="n" s="8082">
        <v>0.0</v>
      </c>
      <c r="Q132" t="n" s="8083">
        <v>7.0</v>
      </c>
      <c r="R132" t="n" s="8084">
        <v>67.13</v>
      </c>
      <c r="S132" t="n" s="8085">
        <v>8.0</v>
      </c>
      <c r="T132" t="n" s="8086">
        <v>102.32</v>
      </c>
      <c r="U132" t="n" s="8087">
        <v>0.0</v>
      </c>
      <c r="V132" t="n" s="8088">
        <v>0.0</v>
      </c>
      <c r="W132" t="n" s="8089">
        <f>r132+t132+v132</f>
      </c>
      <c r="X132" t="n" s="8090">
        <v>0.0</v>
      </c>
      <c r="Y132" t="n" s="8091">
        <v>0.0</v>
      </c>
      <c r="Z132" t="n" s="8092">
        <v>0.0</v>
      </c>
      <c r="AA132" t="n" s="8093">
        <f>i132+j132+k132+l132+m132+n132+o132+p132+x132+y132+z132</f>
      </c>
      <c r="AB132" t="n" s="8094">
        <v>1040.0</v>
      </c>
      <c r="AC132" t="n" s="8095">
        <v>138.1</v>
      </c>
      <c r="AD132" t="n" s="8096">
        <v>15.8</v>
      </c>
      <c r="AE132" t="n" s="8097">
        <v>80.0</v>
      </c>
      <c r="AF132" t="n" s="8098">
        <f>ROUND((aa132+ab132+ac132+ad132+ae132),2)</f>
      </c>
      <c r="AG132" t="n" s="8099">
        <f>af132*0.06</f>
      </c>
      <c r="AH132" t="n" s="8100">
        <f>af132+ag132</f>
      </c>
      <c r="AI132" t="s" s="8101">
        <v>0</v>
      </c>
    </row>
    <row r="133">
      <c r="A133" t="s" s="8102">
        <v>645</v>
      </c>
      <c r="B133" t="s" s="8103">
        <v>646</v>
      </c>
      <c r="C133" t="s" s="8104">
        <v>647</v>
      </c>
      <c r="D133" t="s" s="8105">
        <v>648</v>
      </c>
      <c r="E133" t="s" s="8106">
        <v>649</v>
      </c>
      <c r="F133" t="s" s="8107">
        <v>572</v>
      </c>
      <c r="G133" t="n" s="8881">
        <v>42658.0</v>
      </c>
      <c r="H133" t="s" s="8882">
        <v>0</v>
      </c>
      <c r="I133" t="n" s="8110">
        <v>1040.0</v>
      </c>
      <c r="J133" t="n" s="8111">
        <v>100.0</v>
      </c>
      <c r="K133" t="n" s="8112">
        <v>0.0</v>
      </c>
      <c r="L133" t="n" s="8113">
        <v>2556.0</v>
      </c>
      <c r="M133" t="n" s="8114">
        <v>0.0</v>
      </c>
      <c r="N133" t="n" s="8115">
        <v>10.0</v>
      </c>
      <c r="O133" t="n" s="8116">
        <v>60.0</v>
      </c>
      <c r="P133" t="n" s="8117">
        <v>0.0</v>
      </c>
      <c r="Q133" t="n" s="8118">
        <v>4.0</v>
      </c>
      <c r="R133" t="n" s="8119">
        <v>28.84</v>
      </c>
      <c r="S133" t="n" s="8120">
        <v>8.0</v>
      </c>
      <c r="T133" t="n" s="8121">
        <v>76.96</v>
      </c>
      <c r="U133" t="n" s="8122">
        <v>0.0</v>
      </c>
      <c r="V133" t="n" s="8123">
        <v>0.0</v>
      </c>
      <c r="W133" t="n" s="8124">
        <f>r133+t133+v133</f>
      </c>
      <c r="X133" t="n" s="8125">
        <v>0.0</v>
      </c>
      <c r="Y133" t="n" s="8126">
        <v>0.0</v>
      </c>
      <c r="Z133" t="n" s="8127">
        <v>0.0</v>
      </c>
      <c r="AA133" t="n" s="8128">
        <f>i133+j133+k133+l133+m133+n133+o133+p133+x133+y133+z133</f>
      </c>
      <c r="AB133" t="n" s="8129">
        <v>978.0</v>
      </c>
      <c r="AC133" t="n" s="8130">
        <v>138.3</v>
      </c>
      <c r="AD133" t="n" s="8131">
        <v>15.8</v>
      </c>
      <c r="AE133" t="n" s="8132">
        <v>80.0</v>
      </c>
      <c r="AF133" t="n" s="8133">
        <f>ROUND((aa133+ab133+ac133+ad133+ae133),2)</f>
      </c>
      <c r="AG133" t="n" s="8134">
        <f>af133*0.06</f>
      </c>
      <c r="AH133" t="n" s="8135">
        <f>af133+ag133</f>
      </c>
      <c r="AI133" t="s" s="8136">
        <v>0</v>
      </c>
    </row>
    <row r="134">
      <c r="A134" t="s" s="8137">
        <v>650</v>
      </c>
      <c r="B134" t="s" s="8138">
        <v>651</v>
      </c>
      <c r="C134" t="s" s="8139">
        <v>652</v>
      </c>
      <c r="D134" t="s" s="8140">
        <v>653</v>
      </c>
      <c r="E134" t="s" s="8141">
        <v>654</v>
      </c>
      <c r="F134" t="s" s="8142">
        <v>655</v>
      </c>
      <c r="G134" t="n" s="8883">
        <v>41944.0</v>
      </c>
      <c r="H134" t="s" s="8884">
        <v>0</v>
      </c>
      <c r="I134" t="n" s="8145">
        <v>1260.0</v>
      </c>
      <c r="J134" t="n" s="8146">
        <v>100.0</v>
      </c>
      <c r="K134" t="n" s="8147">
        <v>0.0</v>
      </c>
      <c r="L134" t="n" s="8148">
        <v>1786.0</v>
      </c>
      <c r="M134" t="n" s="8149">
        <v>0.0</v>
      </c>
      <c r="N134" t="n" s="8150">
        <v>14.3</v>
      </c>
      <c r="O134" t="n" s="8151">
        <v>60.0</v>
      </c>
      <c r="P134" t="n" s="8152">
        <v>0.0</v>
      </c>
      <c r="Q134" t="n" s="8153">
        <v>1.5</v>
      </c>
      <c r="R134" t="n" s="8154">
        <v>12.98</v>
      </c>
      <c r="S134" t="n" s="8155">
        <v>8.0</v>
      </c>
      <c r="T134" t="n" s="8156">
        <v>92.32</v>
      </c>
      <c r="U134" t="n" s="8157">
        <v>0.0</v>
      </c>
      <c r="V134" t="n" s="8158">
        <v>0.0</v>
      </c>
      <c r="W134" t="n" s="8159">
        <f>r134+t134+v134</f>
      </c>
      <c r="X134" t="n" s="8160">
        <v>0.0</v>
      </c>
      <c r="Y134" t="n" s="8161">
        <v>0.0</v>
      </c>
      <c r="Z134" t="n" s="8162">
        <v>0.0</v>
      </c>
      <c r="AA134" t="n" s="8163">
        <f>i134+j134+k134+l134+m134+n134+o134+p134+x134+y134+z134</f>
      </c>
      <c r="AB134" t="n" s="8164">
        <v>838.0</v>
      </c>
      <c r="AC134" t="n" s="8165">
        <v>117.1</v>
      </c>
      <c r="AD134" t="n" s="8166">
        <v>13.4</v>
      </c>
      <c r="AE134" t="n" s="8167">
        <v>80.0</v>
      </c>
      <c r="AF134" t="n" s="8168">
        <f>ROUND((aa134+ab134+ac134+ad134+ae134),2)</f>
      </c>
      <c r="AG134" t="n" s="8169">
        <f>af134*0.06</f>
      </c>
      <c r="AH134" t="n" s="8170">
        <f>af134+ag134</f>
      </c>
      <c r="AI134" t="s" s="8171">
        <v>0</v>
      </c>
    </row>
    <row r="135">
      <c r="A135" t="s" s="8172">
        <v>656</v>
      </c>
      <c r="B135" t="s" s="8173">
        <v>657</v>
      </c>
      <c r="C135" t="s" s="8174">
        <v>658</v>
      </c>
      <c r="D135" t="s" s="8175">
        <v>659</v>
      </c>
      <c r="E135" t="s" s="8176">
        <v>660</v>
      </c>
      <c r="F135" t="s" s="8177">
        <v>655</v>
      </c>
      <c r="G135" t="n" s="8885">
        <v>41944.0</v>
      </c>
      <c r="H135" t="s" s="8886">
        <v>0</v>
      </c>
      <c r="I135" t="n" s="8180">
        <v>1150.0</v>
      </c>
      <c r="J135" t="n" s="8181">
        <v>100.0</v>
      </c>
      <c r="K135" t="n" s="8182">
        <v>0.0</v>
      </c>
      <c r="L135" t="n" s="8183">
        <v>1758.0</v>
      </c>
      <c r="M135" t="n" s="8184">
        <v>0.0</v>
      </c>
      <c r="N135" t="n" s="8185">
        <v>10.0</v>
      </c>
      <c r="O135" t="n" s="8186">
        <v>60.0</v>
      </c>
      <c r="P135" t="n" s="8187">
        <v>0.0</v>
      </c>
      <c r="Q135" t="n" s="8188">
        <v>1.5</v>
      </c>
      <c r="R135" t="n" s="8189">
        <v>11.58</v>
      </c>
      <c r="S135" t="n" s="8190">
        <v>8.0</v>
      </c>
      <c r="T135" t="n" s="8191">
        <v>82.32</v>
      </c>
      <c r="U135" t="n" s="8192">
        <v>0.0</v>
      </c>
      <c r="V135" t="n" s="8193">
        <v>0.0</v>
      </c>
      <c r="W135" t="n" s="8194">
        <f>r135+t135+v135</f>
      </c>
      <c r="X135" t="n" s="8195">
        <v>0.0</v>
      </c>
      <c r="Y135" t="n" s="8196">
        <v>0.0</v>
      </c>
      <c r="Z135" t="n" s="8197">
        <v>0.0</v>
      </c>
      <c r="AA135" t="n" s="8198">
        <f>i135+j135+k135+l135+m135+n135+o135+p135+x135+y135+z135</f>
      </c>
      <c r="AB135" t="n" s="8199">
        <v>802.0</v>
      </c>
      <c r="AC135" t="n" s="8200">
        <v>110.3</v>
      </c>
      <c r="AD135" t="n" s="8201">
        <v>12.6</v>
      </c>
      <c r="AE135" t="n" s="8202">
        <v>80.0</v>
      </c>
      <c r="AF135" t="n" s="8203">
        <f>ROUND((aa135+ab135+ac135+ad135+ae135),2)</f>
      </c>
      <c r="AG135" t="n" s="8204">
        <f>af135*0.06</f>
      </c>
      <c r="AH135" t="n" s="8205">
        <f>af135+ag135</f>
      </c>
      <c r="AI135" t="s" s="8206">
        <v>0</v>
      </c>
    </row>
    <row r="136">
      <c r="A136" t="s" s="8207">
        <v>661</v>
      </c>
      <c r="B136" t="s" s="8208">
        <v>662</v>
      </c>
      <c r="C136" t="s" s="8209">
        <v>663</v>
      </c>
      <c r="D136" t="s" s="8210">
        <v>664</v>
      </c>
      <c r="E136" t="s" s="8211">
        <v>665</v>
      </c>
      <c r="F136" t="s" s="8212">
        <v>655</v>
      </c>
      <c r="G136" t="n" s="8887">
        <v>41944.0</v>
      </c>
      <c r="H136" t="s" s="8888">
        <v>0</v>
      </c>
      <c r="I136" t="n" s="8215">
        <v>1280.0</v>
      </c>
      <c r="J136" t="n" s="8216">
        <v>100.0</v>
      </c>
      <c r="K136" t="n" s="8217">
        <v>0.0</v>
      </c>
      <c r="L136" t="n" s="8218">
        <v>2340.0</v>
      </c>
      <c r="M136" t="n" s="8219">
        <v>0.0</v>
      </c>
      <c r="N136" t="n" s="8220">
        <v>10.0</v>
      </c>
      <c r="O136" t="n" s="8221">
        <v>60.0</v>
      </c>
      <c r="P136" t="n" s="8222">
        <v>0.0</v>
      </c>
      <c r="Q136" t="n" s="8223">
        <v>1.5</v>
      </c>
      <c r="R136" t="n" s="8224">
        <v>12.98</v>
      </c>
      <c r="S136" t="n" s="8225">
        <v>8.0</v>
      </c>
      <c r="T136" t="n" s="8226">
        <v>92.32</v>
      </c>
      <c r="U136" t="n" s="8227">
        <v>0.0</v>
      </c>
      <c r="V136" t="n" s="8228">
        <v>0.0</v>
      </c>
      <c r="W136" t="n" s="8229">
        <f>r136+t136+v136</f>
      </c>
      <c r="X136" t="n" s="8230">
        <v>0.0</v>
      </c>
      <c r="Y136" t="n" s="8231">
        <v>0.0</v>
      </c>
      <c r="Z136" t="n" s="8232">
        <v>0.0</v>
      </c>
      <c r="AA136" t="n" s="8233">
        <f>i136+j136+k136+l136+m136+n136+o136+p136+x136+y136+z136</f>
      </c>
      <c r="AB136" t="n" s="8234">
        <v>984.0</v>
      </c>
      <c r="AC136" t="n" s="8235">
        <v>134.7</v>
      </c>
      <c r="AD136" t="n" s="8236">
        <v>15.4</v>
      </c>
      <c r="AE136" t="n" s="8237">
        <v>80.0</v>
      </c>
      <c r="AF136" t="n" s="8238">
        <f>ROUND((aa136+ab136+ac136+ad136+ae136),2)</f>
      </c>
      <c r="AG136" t="n" s="8239">
        <f>af136*0.06</f>
      </c>
      <c r="AH136" t="n" s="8240">
        <f>af136+ag136</f>
      </c>
      <c r="AI136" t="s" s="8241">
        <v>0</v>
      </c>
    </row>
    <row r="137">
      <c r="A137" t="s" s="8242">
        <v>666</v>
      </c>
      <c r="B137" t="s" s="8243">
        <v>667</v>
      </c>
      <c r="C137" t="s" s="8244">
        <v>668</v>
      </c>
      <c r="D137" t="s" s="8245">
        <v>669</v>
      </c>
      <c r="E137" t="s" s="8246">
        <v>670</v>
      </c>
      <c r="F137" t="s" s="8247">
        <v>655</v>
      </c>
      <c r="G137" t="n" s="8889">
        <v>41944.0</v>
      </c>
      <c r="H137" t="s" s="8890">
        <v>0</v>
      </c>
      <c r="I137" t="n" s="8250">
        <v>1440.0</v>
      </c>
      <c r="J137" t="n" s="8251">
        <v>100.0</v>
      </c>
      <c r="K137" t="n" s="8252">
        <v>-6.46</v>
      </c>
      <c r="L137" t="n" s="8253">
        <v>2324.0</v>
      </c>
      <c r="M137" t="n" s="8254">
        <v>0.0</v>
      </c>
      <c r="N137" t="n" s="8255">
        <v>10.0</v>
      </c>
      <c r="O137" t="n" s="8256">
        <v>60.0</v>
      </c>
      <c r="P137" t="n" s="8257">
        <v>0.0</v>
      </c>
      <c r="Q137" t="n" s="8258">
        <v>2.0</v>
      </c>
      <c r="R137" t="n" s="8259">
        <v>19.32</v>
      </c>
      <c r="S137" t="n" s="8260">
        <v>0.0</v>
      </c>
      <c r="T137" t="n" s="8261">
        <v>0.0</v>
      </c>
      <c r="U137" t="n" s="8262">
        <v>0.0</v>
      </c>
      <c r="V137" t="n" s="8263">
        <v>0.0</v>
      </c>
      <c r="W137" t="n" s="8264">
        <f>r137+t137+v137</f>
      </c>
      <c r="X137" t="n" s="8265">
        <v>-86.46</v>
      </c>
      <c r="Y137" t="n" s="8266">
        <v>0.0</v>
      </c>
      <c r="Z137" t="n" s="8267">
        <v>0.0</v>
      </c>
      <c r="AA137" t="n" s="8268">
        <f>i137+j137+k137+l137+m137+n137+o137+p137+x137+y137+z137</f>
      </c>
      <c r="AB137" t="n" s="8269">
        <v>1000.0</v>
      </c>
      <c r="AC137" t="n" s="8270">
        <v>134.7</v>
      </c>
      <c r="AD137" t="n" s="8271">
        <v>15.4</v>
      </c>
      <c r="AE137" t="n" s="8272">
        <v>80.0</v>
      </c>
      <c r="AF137" t="n" s="8273">
        <f>ROUND((aa137+ab137+ac137+ad137+ae137),2)</f>
      </c>
      <c r="AG137" t="n" s="8274">
        <f>af137*0.06</f>
      </c>
      <c r="AH137" t="n" s="8275">
        <f>af137+ag137</f>
      </c>
      <c r="AI137" t="s" s="8276">
        <v>0</v>
      </c>
    </row>
    <row r="138">
      <c r="A138" t="s" s="8277">
        <v>671</v>
      </c>
      <c r="B138" t="s" s="8278">
        <v>0</v>
      </c>
      <c r="C138" t="s" s="8279">
        <v>672</v>
      </c>
      <c r="D138" t="s" s="8280">
        <v>673</v>
      </c>
      <c r="E138" t="s" s="8281">
        <v>674</v>
      </c>
      <c r="F138" t="s" s="8282">
        <v>655</v>
      </c>
      <c r="G138" t="n" s="8891">
        <v>42005.0</v>
      </c>
      <c r="H138" t="n" s="8892">
        <v>43100.0</v>
      </c>
      <c r="I138" t="n" s="8285">
        <v>0.0</v>
      </c>
      <c r="J138" t="n" s="8286">
        <v>0.0</v>
      </c>
      <c r="K138" t="n" s="8287">
        <v>0.0</v>
      </c>
      <c r="L138" t="n" s="8288">
        <v>0.0</v>
      </c>
      <c r="M138" t="n" s="8289">
        <v>0.0</v>
      </c>
      <c r="N138" t="n" s="8290">
        <v>2787.24</v>
      </c>
      <c r="O138" t="n" s="8291">
        <v>0.0</v>
      </c>
      <c r="P138" t="n" s="8292">
        <v>0.0</v>
      </c>
      <c r="Q138" t="n" s="8293">
        <v>0.0</v>
      </c>
      <c r="R138" t="n" s="8294">
        <v>0.0</v>
      </c>
      <c r="S138" t="n" s="8295">
        <v>0.0</v>
      </c>
      <c r="T138" t="n" s="8296">
        <v>0.0</v>
      </c>
      <c r="U138" t="n" s="8297">
        <v>0.0</v>
      </c>
      <c r="V138" t="n" s="8298">
        <v>0.0</v>
      </c>
      <c r="W138" t="n" s="8299">
        <f>r138+t138+v138</f>
      </c>
      <c r="X138" t="n" s="8300">
        <v>0.0</v>
      </c>
      <c r="Y138" t="n" s="8301">
        <v>0.0</v>
      </c>
      <c r="Z138" t="n" s="8302">
        <v>0.0</v>
      </c>
      <c r="AA138" t="n" s="8303">
        <f>i138+j138+k138+l138+m138+n138+o138+p138+x138+y138+z138</f>
      </c>
      <c r="AB138" t="n" s="8304">
        <v>0.0</v>
      </c>
      <c r="AC138" t="n" s="8305">
        <v>0.0</v>
      </c>
      <c r="AD138" t="n" s="8306">
        <v>0.0</v>
      </c>
      <c r="AE138" t="n" s="8307">
        <v>80.0</v>
      </c>
      <c r="AF138" t="n" s="8308">
        <f>ROUND((aa138+ab138+ac138+ad138+ae138),2)</f>
      </c>
      <c r="AG138" t="n" s="8309">
        <f>af138*0.06</f>
      </c>
      <c r="AH138" t="n" s="8310">
        <f>af138+ag138</f>
      </c>
      <c r="AI138" t="s" s="8311">
        <v>0</v>
      </c>
    </row>
    <row r="139">
      <c r="A139" t="s" s="8312">
        <v>675</v>
      </c>
      <c r="B139" t="s" s="8313">
        <v>0</v>
      </c>
      <c r="C139" t="s" s="8314">
        <v>676</v>
      </c>
      <c r="D139" t="s" s="8315">
        <v>677</v>
      </c>
      <c r="E139" t="s" s="8316">
        <v>678</v>
      </c>
      <c r="F139" t="s" s="8317">
        <v>655</v>
      </c>
      <c r="G139" t="n" s="8893">
        <v>41944.0</v>
      </c>
      <c r="H139" t="s" s="8894">
        <v>0</v>
      </c>
      <c r="I139" t="n" s="8320">
        <v>1250.0</v>
      </c>
      <c r="J139" t="n" s="8321">
        <v>100.0</v>
      </c>
      <c r="K139" t="n" s="8322">
        <v>-6.46</v>
      </c>
      <c r="L139" t="n" s="8323">
        <v>2308.0</v>
      </c>
      <c r="M139" t="n" s="8324">
        <v>0.0</v>
      </c>
      <c r="N139" t="n" s="8325">
        <v>17.1</v>
      </c>
      <c r="O139" t="n" s="8326">
        <v>60.0</v>
      </c>
      <c r="P139" t="n" s="8327">
        <v>0.0</v>
      </c>
      <c r="Q139" t="n" s="8328">
        <v>0.0</v>
      </c>
      <c r="R139" t="n" s="8329">
        <v>0.0</v>
      </c>
      <c r="S139" t="n" s="8330">
        <v>0.0</v>
      </c>
      <c r="T139" t="n" s="8331">
        <v>0.0</v>
      </c>
      <c r="U139" t="n" s="8332">
        <v>0.0</v>
      </c>
      <c r="V139" t="n" s="8333">
        <v>0.0</v>
      </c>
      <c r="W139" t="n" s="8334">
        <f>r139+t139+v139</f>
      </c>
      <c r="X139" t="n" s="8335">
        <v>-37.42</v>
      </c>
      <c r="Y139" t="n" s="8336">
        <v>0.0</v>
      </c>
      <c r="Z139" t="n" s="8337">
        <v>0.0</v>
      </c>
      <c r="AA139" t="n" s="8338">
        <f>i139+j139+k139+l139+m139+n139+o139+p139+x139+y139+z139</f>
      </c>
      <c r="AB139" t="n" s="8339">
        <v>479.0</v>
      </c>
      <c r="AC139" t="n" s="8340">
        <v>63.85</v>
      </c>
      <c r="AD139" t="n" s="8341">
        <v>7.3</v>
      </c>
      <c r="AE139" t="n" s="8342">
        <v>80.0</v>
      </c>
      <c r="AF139" t="n" s="8343">
        <f>ROUND((aa139+ab139+ac139+ad139+ae139),2)</f>
      </c>
      <c r="AG139" t="n" s="8344">
        <f>af139*0.06</f>
      </c>
      <c r="AH139" t="n" s="8345">
        <f>af139+ag139</f>
      </c>
      <c r="AI139" t="s" s="8346">
        <v>0</v>
      </c>
    </row>
    <row r="140">
      <c r="A140" t="s" s="8347">
        <v>679</v>
      </c>
      <c r="B140" t="s" s="8348">
        <v>680</v>
      </c>
      <c r="C140" t="s" s="8349">
        <v>681</v>
      </c>
      <c r="D140" t="s" s="8350">
        <v>682</v>
      </c>
      <c r="E140" t="s" s="8351">
        <v>683</v>
      </c>
      <c r="F140" t="s" s="8352">
        <v>655</v>
      </c>
      <c r="G140" t="n" s="8895">
        <v>41944.0</v>
      </c>
      <c r="H140" t="s" s="8896">
        <v>0</v>
      </c>
      <c r="I140" t="n" s="8355">
        <v>1130.0</v>
      </c>
      <c r="J140" t="n" s="8356">
        <v>100.0</v>
      </c>
      <c r="K140" t="n" s="8357">
        <v>0.0</v>
      </c>
      <c r="L140" t="n" s="8358">
        <v>1762.0</v>
      </c>
      <c r="M140" t="n" s="8359">
        <v>0.0</v>
      </c>
      <c r="N140" t="n" s="8360">
        <v>26.5</v>
      </c>
      <c r="O140" t="n" s="8361">
        <v>60.0</v>
      </c>
      <c r="P140" t="n" s="8362">
        <v>0.0</v>
      </c>
      <c r="Q140" t="n" s="8363">
        <v>1.5</v>
      </c>
      <c r="R140" t="n" s="8364">
        <v>11.58</v>
      </c>
      <c r="S140" t="n" s="8365">
        <v>8.0</v>
      </c>
      <c r="T140" t="n" s="8366">
        <v>82.32</v>
      </c>
      <c r="U140" t="n" s="8367">
        <v>0.0</v>
      </c>
      <c r="V140" t="n" s="8368">
        <v>0.0</v>
      </c>
      <c r="W140" t="n" s="8369">
        <f>r140+t140+v140</f>
      </c>
      <c r="X140" t="n" s="8370">
        <v>0.0</v>
      </c>
      <c r="Y140" t="n" s="8371">
        <v>0.0</v>
      </c>
      <c r="Z140" t="n" s="8372">
        <v>0.0</v>
      </c>
      <c r="AA140" t="n" s="8373">
        <f>i140+j140+k140+l140+m140+n140+o140+p140+x140+y140+z140</f>
      </c>
      <c r="AB140" t="n" s="8374">
        <v>796.0</v>
      </c>
      <c r="AC140" t="n" s="8375">
        <v>110.3</v>
      </c>
      <c r="AD140" t="n" s="8376">
        <v>12.6</v>
      </c>
      <c r="AE140" t="n" s="8377">
        <v>80.0</v>
      </c>
      <c r="AF140" t="n" s="8378">
        <f>ROUND((aa140+ab140+ac140+ad140+ae140),2)</f>
      </c>
      <c r="AG140" t="n" s="8379">
        <f>af140*0.06</f>
      </c>
      <c r="AH140" t="n" s="8380">
        <f>af140+ag140</f>
      </c>
      <c r="AI140" t="s" s="8381">
        <v>0</v>
      </c>
    </row>
    <row r="141">
      <c r="A141" t="s" s="8382">
        <v>684</v>
      </c>
      <c r="B141" t="s" s="8383">
        <v>685</v>
      </c>
      <c r="C141" t="s" s="8384">
        <v>686</v>
      </c>
      <c r="D141" t="s" s="8385">
        <v>687</v>
      </c>
      <c r="E141" t="s" s="8386">
        <v>688</v>
      </c>
      <c r="F141" t="s" s="8387">
        <v>655</v>
      </c>
      <c r="G141" t="n" s="8897">
        <v>42131.0</v>
      </c>
      <c r="H141" t="s" s="8898">
        <v>0</v>
      </c>
      <c r="I141" t="n" s="8390">
        <v>1300.0</v>
      </c>
      <c r="J141" t="n" s="8391">
        <v>100.0</v>
      </c>
      <c r="K141" t="n" s="8392">
        <v>0.0</v>
      </c>
      <c r="L141" t="n" s="8393">
        <v>2400.0</v>
      </c>
      <c r="M141" t="n" s="8394">
        <v>0.0</v>
      </c>
      <c r="N141" t="n" s="8395">
        <v>10.0</v>
      </c>
      <c r="O141" t="n" s="8396">
        <v>60.0</v>
      </c>
      <c r="P141" t="n" s="8397">
        <v>0.0</v>
      </c>
      <c r="Q141" t="n" s="8398">
        <v>0.0</v>
      </c>
      <c r="R141" t="n" s="8399">
        <v>0.0</v>
      </c>
      <c r="S141" t="n" s="8400">
        <v>8.0</v>
      </c>
      <c r="T141" t="n" s="8401">
        <v>92.32</v>
      </c>
      <c r="U141" t="n" s="8402">
        <v>0.0</v>
      </c>
      <c r="V141" t="n" s="8403">
        <v>0.0</v>
      </c>
      <c r="W141" t="n" s="8404">
        <f>r141+t141+v141</f>
      </c>
      <c r="X141" t="n" s="8405">
        <v>0.0</v>
      </c>
      <c r="Y141" t="n" s="8406">
        <v>0.0</v>
      </c>
      <c r="Z141" t="n" s="8407">
        <v>0.0</v>
      </c>
      <c r="AA141" t="n" s="8408">
        <f>i141+j141+k141+l141+m141+n141+o141+p141+x141+y141+z141</f>
      </c>
      <c r="AB141" t="n" s="8409">
        <v>1004.0</v>
      </c>
      <c r="AC141" t="n" s="8410">
        <v>138.1</v>
      </c>
      <c r="AD141" t="n" s="8411">
        <v>15.8</v>
      </c>
      <c r="AE141" t="n" s="8412">
        <v>80.0</v>
      </c>
      <c r="AF141" t="n" s="8413">
        <f>ROUND((aa141+ab141+ac141+ad141+ae141),2)</f>
      </c>
      <c r="AG141" t="n" s="8414">
        <f>af141*0.06</f>
      </c>
      <c r="AH141" t="n" s="8415">
        <f>af141+ag141</f>
      </c>
      <c r="AI141" t="s" s="8416">
        <v>0</v>
      </c>
    </row>
    <row r="142">
      <c r="A142" t="s" s="8417">
        <v>689</v>
      </c>
      <c r="B142" t="s" s="8418">
        <v>690</v>
      </c>
      <c r="C142" t="s" s="8419">
        <v>691</v>
      </c>
      <c r="D142" t="s" s="8420">
        <v>692</v>
      </c>
      <c r="E142" t="s" s="8421">
        <v>693</v>
      </c>
      <c r="F142" t="s" s="8422">
        <v>655</v>
      </c>
      <c r="G142" t="n" s="8899">
        <v>42131.0</v>
      </c>
      <c r="H142" t="s" s="8900">
        <v>0</v>
      </c>
      <c r="I142" t="n" s="8425">
        <v>1040.0</v>
      </c>
      <c r="J142" t="n" s="8426">
        <v>100.0</v>
      </c>
      <c r="K142" t="n" s="8427">
        <v>-3.23</v>
      </c>
      <c r="L142" t="n" s="8428">
        <v>1970.0</v>
      </c>
      <c r="M142" t="n" s="8429">
        <v>0.0</v>
      </c>
      <c r="N142" t="n" s="8430">
        <v>10.0</v>
      </c>
      <c r="O142" t="n" s="8431">
        <v>60.0</v>
      </c>
      <c r="P142" t="n" s="8432">
        <v>0.0</v>
      </c>
      <c r="Q142" t="n" s="8433">
        <v>0.0</v>
      </c>
      <c r="R142" t="n" s="8434">
        <v>0.0</v>
      </c>
      <c r="S142" t="n" s="8435">
        <v>8.0</v>
      </c>
      <c r="T142" t="n" s="8436">
        <v>76.16</v>
      </c>
      <c r="U142" t="n" s="8437">
        <v>0.0</v>
      </c>
      <c r="V142" t="n" s="8438">
        <v>0.0</v>
      </c>
      <c r="W142" t="n" s="8439">
        <f>r142+t142+v142</f>
      </c>
      <c r="X142" t="n" s="8440">
        <v>-31.94</v>
      </c>
      <c r="Y142" t="n" s="8441">
        <v>0.0</v>
      </c>
      <c r="Z142" t="n" s="8442">
        <v>0.0</v>
      </c>
      <c r="AA142" t="n" s="8443">
        <f>i142+j142+k142+l142+m142+n142+o142+p142+x142+y142+z142</f>
      </c>
      <c r="AB142" t="n" s="8444">
        <v>818.0</v>
      </c>
      <c r="AC142" t="n" s="8445">
        <v>110.3</v>
      </c>
      <c r="AD142" t="n" s="8446">
        <v>12.6</v>
      </c>
      <c r="AE142" t="n" s="8447">
        <v>80.0</v>
      </c>
      <c r="AF142" t="n" s="8448">
        <f>ROUND((aa142+ab142+ac142+ad142+ae142),2)</f>
      </c>
      <c r="AG142" t="n" s="8449">
        <f>af142*0.06</f>
      </c>
      <c r="AH142" t="n" s="8450">
        <f>af142+ag142</f>
      </c>
      <c r="AI142" t="s" s="8451">
        <v>0</v>
      </c>
    </row>
    <row r="143">
      <c r="A143" t="s" s="8452">
        <v>694</v>
      </c>
      <c r="B143" t="s" s="8453">
        <v>0</v>
      </c>
      <c r="C143" t="s" s="8454">
        <v>695</v>
      </c>
      <c r="D143" t="s" s="8455">
        <v>696</v>
      </c>
      <c r="E143" t="s" s="8456">
        <v>697</v>
      </c>
      <c r="F143" t="s" s="8457">
        <v>655</v>
      </c>
      <c r="G143" t="n" s="8901">
        <v>42149.0</v>
      </c>
      <c r="H143" t="s" s="8902">
        <v>0</v>
      </c>
      <c r="I143" t="n" s="8460">
        <v>3410.0</v>
      </c>
      <c r="J143" t="n" s="8461">
        <v>0.0</v>
      </c>
      <c r="K143" t="n" s="8462">
        <v>0.0</v>
      </c>
      <c r="L143" t="n" s="8463">
        <v>0.0</v>
      </c>
      <c r="M143" t="n" s="8464">
        <v>300.0</v>
      </c>
      <c r="N143" t="n" s="8465">
        <v>3921.08</v>
      </c>
      <c r="O143" t="n" s="8466">
        <v>0.0</v>
      </c>
      <c r="P143" t="n" s="8467">
        <v>0.0</v>
      </c>
      <c r="Q143" t="n" s="8468">
        <v>0.0</v>
      </c>
      <c r="R143" t="n" s="8469">
        <v>0.0</v>
      </c>
      <c r="S143" t="n" s="8470">
        <v>0.0</v>
      </c>
      <c r="T143" t="n" s="8471">
        <v>0.0</v>
      </c>
      <c r="U143" t="n" s="8472">
        <v>0.0</v>
      </c>
      <c r="V143" t="n" s="8473">
        <v>0.0</v>
      </c>
      <c r="W143" t="n" s="8474">
        <f>r143+t143+v143</f>
      </c>
      <c r="X143" t="n" s="8475">
        <v>0.0</v>
      </c>
      <c r="Y143" t="n" s="8476">
        <v>0.0</v>
      </c>
      <c r="Z143" t="n" s="8477">
        <v>0.0</v>
      </c>
      <c r="AA143" t="n" s="8478">
        <f>i143+j143+k143+l143+m143+n143+o143+p143+x143+y143+z143</f>
      </c>
      <c r="AB143" t="n" s="8479">
        <v>484.0</v>
      </c>
      <c r="AC143" t="n" s="8480">
        <v>65.65</v>
      </c>
      <c r="AD143" t="n" s="8481">
        <v>7.5</v>
      </c>
      <c r="AE143" t="n" s="8482">
        <v>80.0</v>
      </c>
      <c r="AF143" t="n" s="8483">
        <f>ROUND((aa143+ab143+ac143+ad143+ae143),2)</f>
      </c>
      <c r="AG143" t="n" s="8484">
        <f>af143*0.06</f>
      </c>
      <c r="AH143" t="n" s="8485">
        <f>af143+ag143</f>
      </c>
      <c r="AI143" t="s" s="8486">
        <v>0</v>
      </c>
    </row>
    <row r="144">
      <c r="A144" t="s" s="8487">
        <v>698</v>
      </c>
      <c r="B144" t="s" s="8488">
        <v>699</v>
      </c>
      <c r="C144" t="s" s="8489">
        <v>700</v>
      </c>
      <c r="D144" t="s" s="8490">
        <v>701</v>
      </c>
      <c r="E144" t="s" s="8491">
        <v>702</v>
      </c>
      <c r="F144" t="s" s="8492">
        <v>655</v>
      </c>
      <c r="G144" t="n" s="8903">
        <v>42840.0</v>
      </c>
      <c r="H144" t="n" s="8904">
        <v>43316.0</v>
      </c>
      <c r="I144" t="n" s="8495">
        <v>1060.0</v>
      </c>
      <c r="J144" t="n" s="8496">
        <v>100.0</v>
      </c>
      <c r="K144" t="n" s="8497">
        <v>-3.23</v>
      </c>
      <c r="L144" t="n" s="8498">
        <v>3150.0</v>
      </c>
      <c r="M144" t="n" s="8499">
        <v>0.0</v>
      </c>
      <c r="N144" t="n" s="8500">
        <v>27.55</v>
      </c>
      <c r="O144" t="n" s="8501">
        <v>60.0</v>
      </c>
      <c r="P144" t="n" s="8502">
        <v>0.0</v>
      </c>
      <c r="Q144" t="n" s="8503">
        <v>0.5</v>
      </c>
      <c r="R144" t="n" s="8504">
        <v>3.61</v>
      </c>
      <c r="S144" t="n" s="8505">
        <v>8.0</v>
      </c>
      <c r="T144" t="n" s="8506">
        <v>76.96</v>
      </c>
      <c r="U144" t="n" s="8507">
        <v>0.0</v>
      </c>
      <c r="V144" t="n" s="8508">
        <v>0.0</v>
      </c>
      <c r="W144" t="n" s="8509">
        <f>r144+t144+v144</f>
      </c>
      <c r="X144" t="n" s="8510">
        <v>-32.26</v>
      </c>
      <c r="Y144" t="n" s="8511">
        <v>0.0</v>
      </c>
      <c r="Z144" t="n" s="8512">
        <v>0.0</v>
      </c>
      <c r="AA144" t="n" s="8513">
        <f>i144+j144+k144+l144+m144+n144+o144+p144+x144+y144+z144</f>
      </c>
      <c r="AB144" t="n" s="8514">
        <v>1234.0</v>
      </c>
      <c r="AC144" t="n" s="8515">
        <v>138.1</v>
      </c>
      <c r="AD144" t="n" s="8516">
        <v>15.8</v>
      </c>
      <c r="AE144" t="n" s="8517">
        <v>80.0</v>
      </c>
      <c r="AF144" t="n" s="8518">
        <f>ROUND((aa144+ab144+ac144+ad144+ae144),2)</f>
      </c>
      <c r="AG144" t="n" s="8519">
        <f>af144*0.06</f>
      </c>
      <c r="AH144" t="n" s="8520">
        <f>af144+ag144</f>
      </c>
      <c r="AI144" t="s" s="8521">
        <v>0</v>
      </c>
    </row>
    <row r="145">
      <c r="A145" s="8592"/>
      <c r="B145" s="8593"/>
      <c r="C145" s="8594"/>
      <c r="D145" s="8595"/>
      <c r="E145" s="8596"/>
      <c r="F145" s="8597"/>
      <c r="G145" s="8905"/>
      <c r="H145" s="8906"/>
      <c r="I145" s="8600">
        <f>SUM(i8:i144)</f>
      </c>
      <c r="J145" s="8601">
        <f>SUM(j8:j144)</f>
      </c>
      <c r="K145" s="8602">
        <f>SUM(k8:k144)</f>
      </c>
      <c r="L145" s="8603">
        <f>SUM(l8:l144)</f>
      </c>
      <c r="M145" s="8604">
        <f>SUM(m8:m144)</f>
      </c>
      <c r="N145" s="8605">
        <f>SUM(n8:n144)</f>
      </c>
      <c r="O145" s="8606">
        <f>SUM(o8:o144)</f>
      </c>
      <c r="P145" s="8607">
        <f>SUM(p8:p144)</f>
      </c>
      <c r="Q145" s="8608">
        <f>SUM(q8:q144)</f>
      </c>
      <c r="R145" s="8609">
        <f>SUM(r8:r144)</f>
      </c>
      <c r="S145" s="8610">
        <f>SUM(s8:s144)</f>
      </c>
      <c r="T145" s="8611">
        <f>SUM(t8:t144)</f>
      </c>
      <c r="U145" s="8612">
        <f>SUM(u8:u144)</f>
      </c>
      <c r="V145" s="8613">
        <f>SUM(v8:v144)</f>
      </c>
      <c r="W145" s="8614">
        <f>SUM(w8:w144)</f>
      </c>
      <c r="X145" s="8615">
        <f>SUM(x8:x144)</f>
      </c>
      <c r="Y145" s="8616">
        <f>SUM(y8:y144)</f>
      </c>
      <c r="Z145" s="8617">
        <f>SUM(z8:z144)</f>
      </c>
      <c r="AA145" s="8618">
        <f>SUM(aa8:aa144)</f>
      </c>
      <c r="AB145" s="8619">
        <f>SUM(ab8:ab144)</f>
      </c>
      <c r="AC145" s="8620">
        <f>SUM(ac8:ac144)</f>
      </c>
      <c r="AD145" s="8621">
        <f>SUM(ad8:ad144)</f>
      </c>
      <c r="AE145" s="8622">
        <f>SUM(ae8:ae144)</f>
      </c>
      <c r="AF145" s="8623">
        <f>SUM(af8:af144)</f>
      </c>
      <c r="AG145" s="8624">
        <f>SUM(ag8:ag144)</f>
      </c>
      <c r="AH145" s="8625">
        <f>SUM(ah8:ah144)</f>
      </c>
      <c r="AI145" s="8626"/>
    </row>
    <row r="146"/>
    <row r="147">
      <c r="A147" t="s">
        <v>0</v>
      </c>
      <c r="B147" t="s">
        <v>0</v>
      </c>
      <c r="C147" t="s">
        <v>0</v>
      </c>
      <c r="D147" t="s">
        <v>703</v>
      </c>
    </row>
    <row r="148">
      <c r="D148">
        <f>COUNTA(A8:A144)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8907">
        <v>0</v>
      </c>
      <c r="B1" t="s" s="8908">
        <v>0</v>
      </c>
      <c r="C1" t="s" s="8909">
        <v>0</v>
      </c>
      <c r="D1" t="s" s="8910">
        <v>1</v>
      </c>
    </row>
    <row r="2" ht="15.0" customHeight="true">
      <c r="A2" t="s" s="8911">
        <v>0</v>
      </c>
      <c r="B2" t="s" s="8912">
        <v>0</v>
      </c>
      <c r="C2" t="s" s="8913">
        <v>0</v>
      </c>
      <c r="D2" t="s" s="8914">
        <v>2</v>
      </c>
    </row>
    <row r="3" ht="15.0" customHeight="true">
      <c r="A3" t="s" s="8915">
        <v>0</v>
      </c>
      <c r="B3" t="s" s="8916">
        <v>0</v>
      </c>
      <c r="C3" t="s" s="8917">
        <v>0</v>
      </c>
      <c r="D3" t="s" s="8918">
        <v>3</v>
      </c>
    </row>
    <row r="4" ht="15.0" customHeight="true">
      <c r="A4" t="s" s="8919">
        <v>0</v>
      </c>
      <c r="B4" t="s" s="8920">
        <v>0</v>
      </c>
      <c r="C4" t="s" s="8921">
        <v>0</v>
      </c>
      <c r="D4" t="s" s="8922">
        <v>4</v>
      </c>
      <c r="E4" t="s" s="8923">
        <v>0</v>
      </c>
      <c r="F4" t="s" s="8924">
        <v>0</v>
      </c>
      <c r="G4" t="s" s="8925">
        <v>0</v>
      </c>
      <c r="H4" t="s" s="8926">
        <v>0</v>
      </c>
      <c r="I4" t="s" s="8927">
        <v>0</v>
      </c>
      <c r="J4" t="s" s="8928">
        <v>0</v>
      </c>
      <c r="K4" t="s" s="8929">
        <v>0</v>
      </c>
      <c r="L4" t="s" s="8930">
        <v>0</v>
      </c>
      <c r="M4" t="s" s="8931">
        <v>0</v>
      </c>
      <c r="N4" t="s" s="8932">
        <v>0</v>
      </c>
      <c r="O4" t="s" s="8933">
        <v>0</v>
      </c>
      <c r="P4" t="s" s="8934">
        <v>0</v>
      </c>
      <c r="Q4" t="s" s="8935">
        <v>0</v>
      </c>
      <c r="R4" t="s" s="8936">
        <v>0</v>
      </c>
      <c r="S4" t="s" s="8937">
        <v>0</v>
      </c>
      <c r="T4" t="s" s="8938">
        <v>0</v>
      </c>
      <c r="U4" t="s" s="8939">
        <v>0</v>
      </c>
      <c r="V4" t="s" s="8940">
        <v>0</v>
      </c>
      <c r="W4" t="s" s="8941">
        <v>0</v>
      </c>
      <c r="X4" t="s" s="8942">
        <v>0</v>
      </c>
      <c r="Y4" t="s" s="8943">
        <v>0</v>
      </c>
      <c r="Z4" t="s" s="8944">
        <v>0</v>
      </c>
      <c r="AA4" t="s" s="8945">
        <v>0</v>
      </c>
      <c r="AB4" t="s" s="8946">
        <v>0</v>
      </c>
      <c r="AC4" t="s" s="8947">
        <v>5</v>
      </c>
      <c r="AD4" t="n" s="8948">
        <v>2018.0</v>
      </c>
    </row>
    <row r="5" ht="15.0" customHeight="true">
      <c r="A5" t="s" s="8949">
        <v>0</v>
      </c>
      <c r="B5" t="s" s="8950">
        <v>0</v>
      </c>
      <c r="C5" t="s" s="8951">
        <v>0</v>
      </c>
      <c r="D5" t="s" s="8952">
        <v>0</v>
      </c>
      <c r="E5" t="s" s="8953">
        <v>0</v>
      </c>
      <c r="F5" t="s" s="8954">
        <v>0</v>
      </c>
      <c r="G5" t="s" s="8955">
        <v>0</v>
      </c>
      <c r="H5" t="s" s="8956">
        <v>0</v>
      </c>
      <c r="I5" t="s" s="8957">
        <v>0</v>
      </c>
      <c r="J5" t="s" s="8958">
        <v>0</v>
      </c>
      <c r="K5" t="s" s="8959">
        <v>0</v>
      </c>
      <c r="L5" t="s" s="8960">
        <v>0</v>
      </c>
      <c r="M5" t="s" s="8961">
        <v>0</v>
      </c>
      <c r="N5" t="s" s="8962">
        <v>0</v>
      </c>
      <c r="O5" t="s" s="8963">
        <v>0</v>
      </c>
      <c r="P5" t="s" s="8964">
        <v>0</v>
      </c>
      <c r="Q5" t="s" s="8965">
        <v>0</v>
      </c>
      <c r="R5" t="s" s="8966">
        <v>0</v>
      </c>
      <c r="S5" t="s" s="8967">
        <v>0</v>
      </c>
      <c r="T5" t="s" s="8968">
        <v>0</v>
      </c>
      <c r="U5" t="s" s="8969">
        <v>0</v>
      </c>
      <c r="V5" t="s" s="8970">
        <v>0</v>
      </c>
      <c r="W5" t="s" s="8971">
        <v>0</v>
      </c>
      <c r="X5" t="s" s="8972">
        <v>0</v>
      </c>
      <c r="Y5" t="s" s="8973">
        <v>0</v>
      </c>
      <c r="Z5" t="s" s="8974">
        <v>0</v>
      </c>
      <c r="AA5" t="s" s="8975">
        <v>0</v>
      </c>
      <c r="AB5" t="s" s="8976">
        <v>0</v>
      </c>
      <c r="AC5" t="s" s="8977">
        <v>6</v>
      </c>
      <c r="AD5" t="n" s="8978">
        <v>2017.0</v>
      </c>
    </row>
    <row r="6" ht="15.0" customHeight="true"/>
    <row r="7" ht="35.0" customHeight="true">
      <c r="A7" t="s" s="8979">
        <v>7</v>
      </c>
      <c r="B7" t="s" s="8980">
        <v>8</v>
      </c>
      <c r="C7" t="s" s="8981">
        <v>9</v>
      </c>
      <c r="D7" t="s" s="8982">
        <v>10</v>
      </c>
      <c r="E7" t="s" s="8983">
        <v>11</v>
      </c>
      <c r="F7" t="s" s="8984">
        <v>12</v>
      </c>
      <c r="G7" t="s" s="8985">
        <v>13</v>
      </c>
      <c r="H7" t="s" s="8986">
        <v>14</v>
      </c>
      <c r="I7" t="s" s="8987">
        <v>15</v>
      </c>
      <c r="J7" t="s" s="8988">
        <v>16</v>
      </c>
      <c r="K7" t="s" s="8989">
        <v>17</v>
      </c>
      <c r="L7" t="s" s="8990">
        <v>18</v>
      </c>
      <c r="M7" t="s" s="8991">
        <v>19</v>
      </c>
      <c r="N7" t="s" s="8992">
        <v>20</v>
      </c>
      <c r="O7" t="s" s="8993">
        <v>21</v>
      </c>
      <c r="P7" t="s" s="8994">
        <v>22</v>
      </c>
      <c r="Q7" t="s" s="8995">
        <v>23</v>
      </c>
      <c r="R7" t="s" s="8996">
        <v>24</v>
      </c>
      <c r="S7" t="s" s="8997">
        <v>25</v>
      </c>
      <c r="T7" t="s" s="8998">
        <v>26</v>
      </c>
      <c r="U7" t="s" s="8999">
        <v>27</v>
      </c>
      <c r="V7" t="s" s="9000">
        <v>28</v>
      </c>
      <c r="W7" t="s" s="9001">
        <v>29</v>
      </c>
      <c r="X7" t="s" s="9002">
        <v>30</v>
      </c>
      <c r="Y7" t="s" s="9003">
        <v>31</v>
      </c>
      <c r="Z7" t="s" s="9004">
        <v>32</v>
      </c>
      <c r="AA7" t="s" s="9005">
        <v>33</v>
      </c>
      <c r="AB7" t="s" s="9006">
        <v>34</v>
      </c>
      <c r="AC7" t="s" s="9007">
        <v>35</v>
      </c>
      <c r="AD7" t="s" s="9008">
        <v>36</v>
      </c>
      <c r="AE7" t="s" s="9009">
        <v>37</v>
      </c>
      <c r="AF7" t="s" s="9010">
        <v>38</v>
      </c>
      <c r="AG7" t="s" s="9011">
        <v>39</v>
      </c>
      <c r="AH7" t="s" s="9012">
        <v>40</v>
      </c>
      <c r="AI7" t="s" s="9013">
        <v>41</v>
      </c>
    </row>
    <row r="8" ht="15.0" customHeight="true">
      <c r="A8" t="s" s="9014">
        <v>102</v>
      </c>
      <c r="B8" t="s" s="9015">
        <v>103</v>
      </c>
      <c r="C8" t="s" s="9016">
        <v>104</v>
      </c>
      <c r="D8" t="s" s="9017">
        <v>105</v>
      </c>
      <c r="E8" t="s" s="9018">
        <v>106</v>
      </c>
      <c r="F8" t="s" s="9019">
        <v>107</v>
      </c>
      <c r="G8" t="n" s="9020">
        <v>41944.0</v>
      </c>
      <c r="H8" t="s" s="9021">
        <v>0</v>
      </c>
      <c r="I8" t="n" s="9022">
        <v>1660.0</v>
      </c>
      <c r="J8" t="n" s="9023">
        <v>100.0</v>
      </c>
      <c r="K8" t="n" s="9024">
        <v>0.0</v>
      </c>
      <c r="L8" t="n" s="9025">
        <v>3376.0</v>
      </c>
      <c r="M8" t="n" s="9026">
        <v>0.0</v>
      </c>
      <c r="N8" t="n" s="9027">
        <v>10.0</v>
      </c>
      <c r="O8" t="n" s="9028">
        <v>60.0</v>
      </c>
      <c r="P8" t="n" s="9029">
        <v>0.0</v>
      </c>
      <c r="Q8" t="n" s="9030">
        <v>0.0</v>
      </c>
      <c r="R8" t="n" s="9031">
        <v>0.0</v>
      </c>
      <c r="S8" t="n" s="9032">
        <v>16.0</v>
      </c>
      <c r="T8" t="n" s="9033">
        <v>238.4</v>
      </c>
      <c r="U8" t="n" s="9034">
        <v>0.0</v>
      </c>
      <c r="V8" t="n" s="9035">
        <v>0.0</v>
      </c>
      <c r="W8" s="9036">
        <f>r8+t8+v8</f>
      </c>
      <c r="X8" t="n" s="9037">
        <v>0.0</v>
      </c>
      <c r="Y8" t="n" s="9038">
        <v>0.0</v>
      </c>
      <c r="Z8" t="n" s="9039">
        <v>0.0</v>
      </c>
      <c r="AA8" s="9040">
        <f>i8+j8+k8+l8+m8+n8+o8+p8+x8+y8+z8</f>
      </c>
      <c r="AB8" t="n" s="9041">
        <v>1352.0</v>
      </c>
      <c r="AC8" t="n" s="9042">
        <v>138.1</v>
      </c>
      <c r="AD8" t="n" s="9043">
        <v>15.8</v>
      </c>
      <c r="AE8" t="n" s="9044">
        <v>80.0</v>
      </c>
      <c r="AF8" s="9045">
        <f>ROUND((aa8+ab8+ac8+ad8+ae8),2)</f>
      </c>
      <c r="AG8" s="9046">
        <f>af8*0.06</f>
      </c>
      <c r="AH8" s="9047">
        <f>af8+ag8</f>
      </c>
      <c r="AI8" t="s" s="9048">
        <v>0</v>
      </c>
    </row>
    <row r="9" ht="15.0" customHeight="true">
      <c r="A9" t="s" s="9049">
        <v>108</v>
      </c>
      <c r="B9" t="s" s="9050">
        <v>109</v>
      </c>
      <c r="C9" t="s" s="9051">
        <v>110</v>
      </c>
      <c r="D9" t="s" s="9052">
        <v>111</v>
      </c>
      <c r="E9" t="s" s="9053">
        <v>112</v>
      </c>
      <c r="F9" t="s" s="9054">
        <v>107</v>
      </c>
      <c r="G9" t="n" s="9055">
        <v>41944.0</v>
      </c>
      <c r="H9" t="s" s="9056">
        <v>0</v>
      </c>
      <c r="I9" t="n" s="9057">
        <v>1400.0</v>
      </c>
      <c r="J9" t="n" s="9058">
        <v>100.0</v>
      </c>
      <c r="K9" t="n" s="9059">
        <v>0.0</v>
      </c>
      <c r="L9" t="n" s="9060">
        <v>740.0</v>
      </c>
      <c r="M9" t="n" s="9061">
        <v>0.0</v>
      </c>
      <c r="N9" t="n" s="9062">
        <v>10.0</v>
      </c>
      <c r="O9" t="n" s="9063">
        <v>60.0</v>
      </c>
      <c r="P9" t="n" s="9064">
        <v>0.0</v>
      </c>
      <c r="Q9" t="n" s="9065">
        <v>3.0</v>
      </c>
      <c r="R9" t="n" s="9066">
        <v>28.56</v>
      </c>
      <c r="S9" t="n" s="9067">
        <v>8.0</v>
      </c>
      <c r="T9" t="n" s="9068">
        <v>101.52</v>
      </c>
      <c r="U9" t="n" s="9069">
        <v>0.0</v>
      </c>
      <c r="V9" t="n" s="9070">
        <v>0.0</v>
      </c>
      <c r="W9" s="9071">
        <f>r9+t9+v9</f>
      </c>
      <c r="X9" t="n" s="9072">
        <v>0.0</v>
      </c>
      <c r="Y9" t="n" s="9073">
        <v>0.0</v>
      </c>
      <c r="Z9" t="n" s="9074">
        <v>0.0</v>
      </c>
      <c r="AA9" s="9075">
        <f>i9+j9+k9+l9+m9+n9+o9+p9+x9+y9+z9</f>
      </c>
      <c r="AB9" t="n" s="9076">
        <v>598.0</v>
      </c>
      <c r="AC9" t="n" s="9077">
        <v>82.3</v>
      </c>
      <c r="AD9" t="n" s="9078">
        <v>9.4</v>
      </c>
      <c r="AE9" t="n" s="9079">
        <v>80.0</v>
      </c>
      <c r="AF9" s="9080">
        <f>ROUND((aa9+ab9+ac9+ad9+ae9),2)</f>
      </c>
      <c r="AG9" s="9081">
        <f>af9*0.06</f>
      </c>
      <c r="AH9" s="9082">
        <f>af9+ag9</f>
      </c>
      <c r="AI9" t="s" s="9083">
        <v>0</v>
      </c>
    </row>
    <row r="10" ht="15.0" customHeight="true">
      <c r="A10" t="s" s="9084">
        <v>113</v>
      </c>
      <c r="B10" t="s" s="9085">
        <v>114</v>
      </c>
      <c r="C10" t="s" s="9086">
        <v>115</v>
      </c>
      <c r="D10" t="s" s="9087">
        <v>116</v>
      </c>
      <c r="E10" t="s" s="9088">
        <v>117</v>
      </c>
      <c r="F10" t="s" s="9089">
        <v>107</v>
      </c>
      <c r="G10" t="n" s="9090">
        <v>42700.0</v>
      </c>
      <c r="H10" t="s" s="9091">
        <v>0</v>
      </c>
      <c r="I10" t="n" s="9092">
        <v>1370.0</v>
      </c>
      <c r="J10" t="n" s="9093">
        <v>100.0</v>
      </c>
      <c r="K10" t="n" s="9094">
        <v>0.0</v>
      </c>
      <c r="L10" t="n" s="9095">
        <v>1500.0</v>
      </c>
      <c r="M10" t="n" s="9096">
        <v>0.0</v>
      </c>
      <c r="N10" t="n" s="9097">
        <v>10.0</v>
      </c>
      <c r="O10" t="n" s="9098">
        <v>60.0</v>
      </c>
      <c r="P10" t="n" s="9099">
        <v>0.0</v>
      </c>
      <c r="Q10" t="n" s="9100">
        <v>4.0</v>
      </c>
      <c r="R10" t="n" s="9101">
        <v>37.52</v>
      </c>
      <c r="S10" t="n" s="9102">
        <v>8.0</v>
      </c>
      <c r="T10" t="n" s="9103">
        <v>100.0</v>
      </c>
      <c r="U10" t="n" s="9104">
        <v>0.0</v>
      </c>
      <c r="V10" t="n" s="9105">
        <v>0.0</v>
      </c>
      <c r="W10" s="9106">
        <f>r10+t10+v10</f>
      </c>
      <c r="X10" t="n" s="9107">
        <v>0.0</v>
      </c>
      <c r="Y10" t="n" s="9108">
        <v>0.0</v>
      </c>
      <c r="Z10" t="n" s="9109">
        <v>0.0</v>
      </c>
      <c r="AA10" s="9110">
        <f>i10+j10+k10+l10+m10+n10+o10+p10+x10+y10+z10</f>
      </c>
      <c r="AB10" t="n" s="9111">
        <v>792.0</v>
      </c>
      <c r="AC10" t="n" s="9112">
        <v>113.7</v>
      </c>
      <c r="AD10" t="n" s="9113">
        <v>13.0</v>
      </c>
      <c r="AE10" t="n" s="9114">
        <v>80.0</v>
      </c>
      <c r="AF10" s="9115">
        <f>ROUND((aa10+ab10+ac10+ad10+ae10),2)</f>
      </c>
      <c r="AG10" s="9116">
        <f>af10*0.06</f>
      </c>
      <c r="AH10" s="9117">
        <f>af10+ag10</f>
      </c>
      <c r="AI10" t="s" s="9118">
        <v>0</v>
      </c>
    </row>
    <row r="11" ht="15.0" customHeight="true">
      <c r="A11" t="s" s="9119">
        <v>118</v>
      </c>
      <c r="B11" t="s" s="9120">
        <v>119</v>
      </c>
      <c r="C11" t="s" s="9121">
        <v>120</v>
      </c>
      <c r="D11" t="s" s="9122">
        <v>121</v>
      </c>
      <c r="E11" t="s" s="9123">
        <v>122</v>
      </c>
      <c r="F11" t="s" s="9124">
        <v>107</v>
      </c>
      <c r="G11" t="n" s="9125">
        <v>41944.0</v>
      </c>
      <c r="H11" t="s" s="9126">
        <v>0</v>
      </c>
      <c r="I11" t="n" s="9127">
        <v>1280.0</v>
      </c>
      <c r="J11" t="n" s="9128">
        <v>100.0</v>
      </c>
      <c r="K11" t="n" s="9129">
        <v>0.0</v>
      </c>
      <c r="L11" t="n" s="9130">
        <v>2300.0</v>
      </c>
      <c r="M11" t="n" s="9131">
        <v>0.0</v>
      </c>
      <c r="N11" t="n" s="9132">
        <v>10.0</v>
      </c>
      <c r="O11" t="n" s="9133">
        <v>60.0</v>
      </c>
      <c r="P11" t="n" s="9134">
        <v>0.0</v>
      </c>
      <c r="Q11" t="n" s="9135">
        <v>0.0</v>
      </c>
      <c r="R11" t="n" s="9136">
        <v>0.0</v>
      </c>
      <c r="S11" t="n" s="9137">
        <v>16.0</v>
      </c>
      <c r="T11" t="n" s="9138">
        <v>186.08</v>
      </c>
      <c r="U11" t="n" s="9139">
        <v>0.0</v>
      </c>
      <c r="V11" t="n" s="9140">
        <v>0.0</v>
      </c>
      <c r="W11" s="9141">
        <f>r11+t11+v11</f>
      </c>
      <c r="X11" t="n" s="9142">
        <v>0.0</v>
      </c>
      <c r="Y11" t="n" s="9143">
        <v>0.0</v>
      </c>
      <c r="Z11" t="n" s="9144">
        <v>0.0</v>
      </c>
      <c r="AA11" s="9145">
        <f>i11+j11+k11+l11+m11+n11+o11+p11+x11+y11+z11</f>
      </c>
      <c r="AB11" t="n" s="9146">
        <v>974.0</v>
      </c>
      <c r="AC11" t="n" s="9147">
        <v>138.3</v>
      </c>
      <c r="AD11" t="n" s="9148">
        <v>15.8</v>
      </c>
      <c r="AE11" t="n" s="9149">
        <v>80.0</v>
      </c>
      <c r="AF11" s="9150">
        <f>ROUND((aa11+ab11+ac11+ad11+ae11),2)</f>
      </c>
      <c r="AG11" s="9151">
        <f>af11*0.06</f>
      </c>
      <c r="AH11" s="9152">
        <f>af11+ag11</f>
      </c>
      <c r="AI11" t="s" s="9153">
        <v>0</v>
      </c>
    </row>
    <row r="12" ht="15.0" customHeight="true">
      <c r="A12" t="s" s="9154">
        <v>123</v>
      </c>
      <c r="B12" t="s" s="9155">
        <v>0</v>
      </c>
      <c r="C12" t="s" s="9156">
        <v>124</v>
      </c>
      <c r="D12" t="s" s="9157">
        <v>125</v>
      </c>
      <c r="E12" t="s" s="9158">
        <v>126</v>
      </c>
      <c r="F12" t="s" s="9159">
        <v>107</v>
      </c>
      <c r="G12" t="n" s="9160">
        <v>41944.0</v>
      </c>
      <c r="H12" t="s" s="9161">
        <v>0</v>
      </c>
      <c r="I12" t="n" s="9162">
        <v>1240.0</v>
      </c>
      <c r="J12" t="n" s="9163">
        <v>100.0</v>
      </c>
      <c r="K12" t="n" s="9164">
        <v>0.0</v>
      </c>
      <c r="L12" t="n" s="9165">
        <v>1750.0</v>
      </c>
      <c r="M12" t="n" s="9166">
        <v>0.0</v>
      </c>
      <c r="N12" t="n" s="9167">
        <v>10.0</v>
      </c>
      <c r="O12" t="n" s="9168">
        <v>60.0</v>
      </c>
      <c r="P12" t="n" s="9169">
        <v>0.0</v>
      </c>
      <c r="Q12" t="n" s="9170">
        <v>0.0</v>
      </c>
      <c r="R12" t="n" s="9171">
        <v>0.0</v>
      </c>
      <c r="S12" t="n" s="9172">
        <v>16.0</v>
      </c>
      <c r="T12" t="n" s="9173">
        <v>190.72</v>
      </c>
      <c r="U12" t="n" s="9174">
        <v>0.0</v>
      </c>
      <c r="V12" t="n" s="9175">
        <v>0.0</v>
      </c>
      <c r="W12" s="9176">
        <f>r12+t12+v12</f>
      </c>
      <c r="X12" t="n" s="9177">
        <v>0.0</v>
      </c>
      <c r="Y12" t="n" s="9178">
        <v>0.0</v>
      </c>
      <c r="Z12" t="n" s="9179">
        <v>0.0</v>
      </c>
      <c r="AA12" s="9180">
        <f>i12+j12+k12+l12+m12+n12+o12+p12+x12+y12+z12</f>
      </c>
      <c r="AB12" t="n" s="9181">
        <v>411.0</v>
      </c>
      <c r="AC12" t="n" s="9182">
        <v>58.65</v>
      </c>
      <c r="AD12" t="n" s="9183">
        <v>6.7</v>
      </c>
      <c r="AE12" t="n" s="9184">
        <v>80.0</v>
      </c>
      <c r="AF12" s="9185">
        <f>ROUND((aa12+ab12+ac12+ad12+ae12),2)</f>
      </c>
      <c r="AG12" s="9186">
        <f>af12*0.06</f>
      </c>
      <c r="AH12" s="9187">
        <f>af12+ag12</f>
      </c>
      <c r="AI12" t="s" s="9188">
        <v>0</v>
      </c>
    </row>
    <row r="13" ht="15.0" customHeight="true">
      <c r="A13" t="s" s="9189">
        <v>127</v>
      </c>
      <c r="B13" t="s" s="9190">
        <v>128</v>
      </c>
      <c r="C13" t="s" s="9191">
        <v>129</v>
      </c>
      <c r="D13" t="s" s="9192">
        <v>130</v>
      </c>
      <c r="E13" t="s" s="9193">
        <v>131</v>
      </c>
      <c r="F13" t="s" s="9194">
        <v>107</v>
      </c>
      <c r="G13" t="n" s="9195">
        <v>41944.0</v>
      </c>
      <c r="H13" t="s" s="9196">
        <v>0</v>
      </c>
      <c r="I13" t="n" s="9197">
        <v>1660.0</v>
      </c>
      <c r="J13" t="n" s="9198">
        <v>100.0</v>
      </c>
      <c r="K13" t="n" s="9199">
        <v>0.0</v>
      </c>
      <c r="L13" t="n" s="9200">
        <v>740.0</v>
      </c>
      <c r="M13" t="n" s="9201">
        <v>0.0</v>
      </c>
      <c r="N13" t="n" s="9202">
        <v>20.9</v>
      </c>
      <c r="O13" t="n" s="9203">
        <v>60.0</v>
      </c>
      <c r="P13" t="n" s="9204">
        <v>0.0</v>
      </c>
      <c r="Q13" t="n" s="9205">
        <v>14.0</v>
      </c>
      <c r="R13" t="n" s="9206">
        <v>157.5</v>
      </c>
      <c r="S13" t="n" s="9207">
        <v>8.0</v>
      </c>
      <c r="T13" t="n" s="9208">
        <v>120.0</v>
      </c>
      <c r="U13" t="n" s="9209">
        <v>0.5</v>
      </c>
      <c r="V13" t="n" s="9210">
        <v>11.25</v>
      </c>
      <c r="W13" s="9211">
        <f>r13+t13+v13</f>
      </c>
      <c r="X13" t="n" s="9212">
        <v>0.0</v>
      </c>
      <c r="Y13" t="n" s="9213">
        <v>0.0</v>
      </c>
      <c r="Z13" t="n" s="9214">
        <v>0.0</v>
      </c>
      <c r="AA13" s="9215">
        <f>i13+j13+k13+l13+m13+n13+o13+p13+x13+y13+z13</f>
      </c>
      <c r="AB13" t="n" s="9216">
        <v>666.0</v>
      </c>
      <c r="AC13" t="n" s="9217">
        <v>99.9</v>
      </c>
      <c r="AD13" t="n" s="9218">
        <v>11.4</v>
      </c>
      <c r="AE13" t="n" s="9219">
        <v>80.0</v>
      </c>
      <c r="AF13" s="9220">
        <f>ROUND((aa13+ab13+ac13+ad13+ae13),2)</f>
      </c>
      <c r="AG13" s="9221">
        <f>af13*0.06</f>
      </c>
      <c r="AH13" s="9222">
        <f>af13+ag13</f>
      </c>
      <c r="AI13" t="s" s="9223">
        <v>0</v>
      </c>
    </row>
    <row r="14" ht="15.0" customHeight="true">
      <c r="A14" t="s" s="9224">
        <v>132</v>
      </c>
      <c r="B14" t="s" s="9225">
        <v>133</v>
      </c>
      <c r="C14" t="s" s="9226">
        <v>134</v>
      </c>
      <c r="D14" t="s" s="9227">
        <v>135</v>
      </c>
      <c r="E14" t="s" s="9228">
        <v>136</v>
      </c>
      <c r="F14" t="s" s="9229">
        <v>107</v>
      </c>
      <c r="G14" t="n" s="9230">
        <v>41944.0</v>
      </c>
      <c r="H14" t="s" s="9231">
        <v>0</v>
      </c>
      <c r="I14" t="n" s="9232">
        <v>1300.0</v>
      </c>
      <c r="J14" t="n" s="9233">
        <v>100.0</v>
      </c>
      <c r="K14" t="n" s="9234">
        <v>0.0</v>
      </c>
      <c r="L14" t="n" s="9235">
        <v>2300.0</v>
      </c>
      <c r="M14" t="n" s="9236">
        <v>0.0</v>
      </c>
      <c r="N14" t="n" s="9237">
        <v>10.0</v>
      </c>
      <c r="O14" t="n" s="9238">
        <v>60.0</v>
      </c>
      <c r="P14" t="n" s="9239">
        <v>0.0</v>
      </c>
      <c r="Q14" t="n" s="9240">
        <v>4.0</v>
      </c>
      <c r="R14" t="n" s="9241">
        <v>36.04</v>
      </c>
      <c r="S14" t="n" s="9242">
        <v>8.0</v>
      </c>
      <c r="T14" t="n" s="9243">
        <v>96.16</v>
      </c>
      <c r="U14" t="n" s="9244">
        <v>0.0</v>
      </c>
      <c r="V14" t="n" s="9245">
        <v>0.0</v>
      </c>
      <c r="W14" s="9246">
        <f>r14+t14+v14</f>
      </c>
      <c r="X14" t="n" s="9247">
        <v>0.0</v>
      </c>
      <c r="Y14" t="n" s="9248">
        <v>0.0</v>
      </c>
      <c r="Z14" t="n" s="9249">
        <v>0.0</v>
      </c>
      <c r="AA14" s="9250">
        <f>i14+j14+k14+l14+m14+n14+o14+p14+x14+y14+z14</f>
      </c>
      <c r="AB14" t="n" s="9251">
        <v>978.0</v>
      </c>
      <c r="AC14" t="n" s="9252">
        <v>138.3</v>
      </c>
      <c r="AD14" t="n" s="9253">
        <v>15.8</v>
      </c>
      <c r="AE14" t="n" s="9254">
        <v>80.0</v>
      </c>
      <c r="AF14" s="9255">
        <f>ROUND((aa14+ab14+ac14+ad14+ae14),2)</f>
      </c>
      <c r="AG14" s="9256">
        <f>af14*0.06</f>
      </c>
      <c r="AH14" s="9257">
        <f>af14+ag14</f>
      </c>
      <c r="AI14" t="s" s="9258">
        <v>0</v>
      </c>
    </row>
    <row r="15" ht="15.0" customHeight="true">
      <c r="A15" t="s" s="9259">
        <v>137</v>
      </c>
      <c r="B15" t="s" s="9260">
        <v>138</v>
      </c>
      <c r="C15" t="s" s="9261">
        <v>139</v>
      </c>
      <c r="D15" t="s" s="9262">
        <v>140</v>
      </c>
      <c r="E15" t="s" s="9263">
        <v>141</v>
      </c>
      <c r="F15" t="s" s="9264">
        <v>107</v>
      </c>
      <c r="G15" t="n" s="9265">
        <v>41944.0</v>
      </c>
      <c r="H15" t="s" s="9266">
        <v>0</v>
      </c>
      <c r="I15" t="n" s="9267">
        <v>1430.0</v>
      </c>
      <c r="J15" t="n" s="9268">
        <v>100.0</v>
      </c>
      <c r="K15" t="n" s="9269">
        <v>0.0</v>
      </c>
      <c r="L15" t="n" s="9270">
        <v>1100.0</v>
      </c>
      <c r="M15" t="n" s="9271">
        <v>0.0</v>
      </c>
      <c r="N15" t="n" s="9272">
        <v>36.2</v>
      </c>
      <c r="O15" t="n" s="9273">
        <v>60.0</v>
      </c>
      <c r="P15" t="n" s="9274">
        <v>0.0</v>
      </c>
      <c r="Q15" t="n" s="9275">
        <v>13.0</v>
      </c>
      <c r="R15" t="n" s="9276">
        <v>128.44</v>
      </c>
      <c r="S15" t="n" s="9277">
        <v>8.0</v>
      </c>
      <c r="T15" t="n" s="9278">
        <v>105.36</v>
      </c>
      <c r="U15" t="n" s="9279">
        <v>2.0</v>
      </c>
      <c r="V15" t="n" s="9280">
        <v>39.52</v>
      </c>
      <c r="W15" s="9281">
        <f>r15+t15+v15</f>
      </c>
      <c r="X15" t="n" s="9282">
        <v>0.0</v>
      </c>
      <c r="Y15" t="n" s="9283">
        <v>0.0</v>
      </c>
      <c r="Z15" t="n" s="9284">
        <v>0.0</v>
      </c>
      <c r="AA15" s="9285">
        <f>i15+j15+k15+l15+m15+n15+o15+p15+x15+y15+z15</f>
      </c>
      <c r="AB15" t="n" s="9286">
        <v>702.0</v>
      </c>
      <c r="AC15" t="n" s="9287">
        <v>103.1</v>
      </c>
      <c r="AD15" t="n" s="9288">
        <v>11.8</v>
      </c>
      <c r="AE15" t="n" s="9289">
        <v>80.0</v>
      </c>
      <c r="AF15" s="9290">
        <f>ROUND((aa15+ab15+ac15+ad15+ae15),2)</f>
      </c>
      <c r="AG15" s="9291">
        <f>af15*0.06</f>
      </c>
      <c r="AH15" s="9292">
        <f>af15+ag15</f>
      </c>
      <c r="AI15" t="s" s="9293">
        <v>0</v>
      </c>
    </row>
    <row r="16" ht="15.0" customHeight="true">
      <c r="A16" t="s" s="9294">
        <v>142</v>
      </c>
      <c r="B16" t="s" s="9295">
        <v>143</v>
      </c>
      <c r="C16" t="s" s="9296">
        <v>144</v>
      </c>
      <c r="D16" t="s" s="9297">
        <v>145</v>
      </c>
      <c r="E16" t="s" s="9298">
        <v>146</v>
      </c>
      <c r="F16" t="s" s="9299">
        <v>107</v>
      </c>
      <c r="G16" t="n" s="9300">
        <v>42811.0</v>
      </c>
      <c r="H16" t="s" s="9301">
        <v>0</v>
      </c>
      <c r="I16" t="n" s="9302">
        <v>1340.0</v>
      </c>
      <c r="J16" t="n" s="9303">
        <v>100.0</v>
      </c>
      <c r="K16" t="n" s="9304">
        <v>0.0</v>
      </c>
      <c r="L16" t="n" s="9305">
        <v>2754.0</v>
      </c>
      <c r="M16" t="n" s="9306">
        <v>0.0</v>
      </c>
      <c r="N16" t="n" s="9307">
        <v>10.0</v>
      </c>
      <c r="O16" t="n" s="9308">
        <v>60.0</v>
      </c>
      <c r="P16" t="n" s="9309">
        <v>0.0</v>
      </c>
      <c r="Q16" t="n" s="9310">
        <v>15.0</v>
      </c>
      <c r="R16" t="n" s="9311">
        <v>140.7</v>
      </c>
      <c r="S16" t="n" s="9312">
        <v>16.0</v>
      </c>
      <c r="T16" t="n" s="9313">
        <v>200.0</v>
      </c>
      <c r="U16" t="n" s="9314">
        <v>0.0</v>
      </c>
      <c r="V16" t="n" s="9315">
        <v>0.0</v>
      </c>
      <c r="W16" s="9316">
        <f>r16+t16+v16</f>
      </c>
      <c r="X16" t="n" s="9317">
        <v>0.0</v>
      </c>
      <c r="Y16" t="n" s="9318">
        <v>0.0</v>
      </c>
      <c r="Z16" t="n" s="9319">
        <v>0.0</v>
      </c>
      <c r="AA16" s="9320">
        <f>i16+j16+k16+l16+m16+n16+o16+p16+x16+y16+z16</f>
      </c>
      <c r="AB16" t="n" s="9321">
        <v>1248.0</v>
      </c>
      <c r="AC16" t="n" s="9322">
        <v>138.1</v>
      </c>
      <c r="AD16" t="n" s="9323">
        <v>15.8</v>
      </c>
      <c r="AE16" t="n" s="9324">
        <v>80.0</v>
      </c>
      <c r="AF16" s="9325">
        <f>ROUND((aa16+ab16+ac16+ad16+ae16),2)</f>
      </c>
      <c r="AG16" s="9326">
        <f>af16*0.06</f>
      </c>
      <c r="AH16" s="9327">
        <f>af16+ag16</f>
      </c>
      <c r="AI16" t="s" s="9328">
        <v>0</v>
      </c>
    </row>
    <row r="17" ht="15.0" customHeight="true">
      <c r="A17" t="s" s="9329">
        <v>147</v>
      </c>
      <c r="B17" t="s" s="9330">
        <v>148</v>
      </c>
      <c r="C17" t="s" s="9331">
        <v>149</v>
      </c>
      <c r="D17" t="s" s="9332">
        <v>150</v>
      </c>
      <c r="E17" t="s" s="9333">
        <v>151</v>
      </c>
      <c r="F17" t="s" s="9334">
        <v>107</v>
      </c>
      <c r="G17" t="n" s="9335">
        <v>41944.0</v>
      </c>
      <c r="H17" t="s" s="9336">
        <v>0</v>
      </c>
      <c r="I17" t="n" s="9337">
        <v>1350.0</v>
      </c>
      <c r="J17" t="n" s="9338">
        <v>100.0</v>
      </c>
      <c r="K17" t="n" s="9339">
        <v>-3.23</v>
      </c>
      <c r="L17" t="n" s="9340">
        <v>1500.0</v>
      </c>
      <c r="M17" t="n" s="9341">
        <v>0.0</v>
      </c>
      <c r="N17" t="n" s="9342">
        <v>10.0</v>
      </c>
      <c r="O17" t="n" s="9343">
        <v>60.0</v>
      </c>
      <c r="P17" t="n" s="9344">
        <v>0.0</v>
      </c>
      <c r="Q17" t="n" s="9345">
        <v>5.0</v>
      </c>
      <c r="R17" t="n" s="9346">
        <v>46.15</v>
      </c>
      <c r="S17" t="n" s="9347">
        <v>8.0</v>
      </c>
      <c r="T17" t="n" s="9348">
        <v>98.48</v>
      </c>
      <c r="U17" t="n" s="9349">
        <v>0.0</v>
      </c>
      <c r="V17" t="n" s="9350">
        <v>0.0</v>
      </c>
      <c r="W17" s="9351">
        <f>r17+t17+v17</f>
      </c>
      <c r="X17" t="n" s="9352">
        <v>-41.29</v>
      </c>
      <c r="Y17" t="n" s="9353">
        <v>0.0</v>
      </c>
      <c r="Z17" t="n" s="9354">
        <v>0.0</v>
      </c>
      <c r="AA17" s="9355">
        <f>i17+j17+k17+l17+m17+n17+o17+p17+x17+y17+z17</f>
      </c>
      <c r="AB17" t="n" s="9356">
        <v>776.0</v>
      </c>
      <c r="AC17" t="n" s="9357">
        <v>106.7</v>
      </c>
      <c r="AD17" t="n" s="9358">
        <v>12.2</v>
      </c>
      <c r="AE17" t="n" s="9359">
        <v>80.0</v>
      </c>
      <c r="AF17" s="9360">
        <f>ROUND((aa17+ab17+ac17+ad17+ae17),2)</f>
      </c>
      <c r="AG17" s="9361">
        <f>af17*0.06</f>
      </c>
      <c r="AH17" s="9362">
        <f>af17+ag17</f>
      </c>
      <c r="AI17" t="s" s="9363">
        <v>0</v>
      </c>
    </row>
    <row r="18" ht="15.0" customHeight="true">
      <c r="A18" t="s" s="9364">
        <v>152</v>
      </c>
      <c r="B18" t="s" s="9365">
        <v>153</v>
      </c>
      <c r="C18" t="s" s="9366">
        <v>154</v>
      </c>
      <c r="D18" t="s" s="9367">
        <v>155</v>
      </c>
      <c r="E18" t="s" s="9368">
        <v>156</v>
      </c>
      <c r="F18" t="s" s="9369">
        <v>107</v>
      </c>
      <c r="G18" t="n" s="9370">
        <v>41944.0</v>
      </c>
      <c r="H18" t="s" s="9371">
        <v>0</v>
      </c>
      <c r="I18" t="n" s="9372">
        <v>1310.0</v>
      </c>
      <c r="J18" t="n" s="9373">
        <v>100.0</v>
      </c>
      <c r="K18" t="n" s="9374">
        <v>0.0</v>
      </c>
      <c r="L18" t="n" s="9375">
        <v>2300.0</v>
      </c>
      <c r="M18" t="n" s="9376">
        <v>0.0</v>
      </c>
      <c r="N18" t="n" s="9377">
        <v>10.0</v>
      </c>
      <c r="O18" t="n" s="9378">
        <v>60.0</v>
      </c>
      <c r="P18" t="n" s="9379">
        <v>0.0</v>
      </c>
      <c r="Q18" t="n" s="9380">
        <v>12.0</v>
      </c>
      <c r="R18" t="n" s="9381">
        <v>107.28</v>
      </c>
      <c r="S18" t="n" s="9382">
        <v>16.0</v>
      </c>
      <c r="T18" t="n" s="9383">
        <v>190.72</v>
      </c>
      <c r="U18" t="n" s="9384">
        <v>0.0</v>
      </c>
      <c r="V18" t="n" s="9385">
        <v>0.0</v>
      </c>
      <c r="W18" s="9386">
        <f>r18+t18+v18</f>
      </c>
      <c r="X18" t="n" s="9387">
        <v>0.0</v>
      </c>
      <c r="Y18" t="n" s="9388">
        <v>0.0</v>
      </c>
      <c r="Z18" t="n" s="9389">
        <v>0.0</v>
      </c>
      <c r="AA18" s="9390">
        <f>i18+j18+k18+l18+m18+n18+o18+p18+x18+y18+z18</f>
      </c>
      <c r="AB18" t="n" s="9391">
        <v>984.0</v>
      </c>
      <c r="AC18" t="n" s="9392">
        <v>138.1</v>
      </c>
      <c r="AD18" t="n" s="9393">
        <v>15.8</v>
      </c>
      <c r="AE18" t="n" s="9394">
        <v>80.0</v>
      </c>
      <c r="AF18" s="9395">
        <f>ROUND((aa18+ab18+ac18+ad18+ae18),2)</f>
      </c>
      <c r="AG18" s="9396">
        <f>af18*0.06</f>
      </c>
      <c r="AH18" s="9397">
        <f>af18+ag18</f>
      </c>
      <c r="AI18" t="s" s="9398">
        <v>0</v>
      </c>
    </row>
    <row r="19" ht="15.0" customHeight="true">
      <c r="A19" t="s" s="9399">
        <v>157</v>
      </c>
      <c r="B19" t="s" s="9400">
        <v>158</v>
      </c>
      <c r="C19" t="s" s="9401">
        <v>159</v>
      </c>
      <c r="D19" t="s" s="9402">
        <v>160</v>
      </c>
      <c r="E19" t="s" s="9403">
        <v>161</v>
      </c>
      <c r="F19" t="s" s="9404">
        <v>107</v>
      </c>
      <c r="G19" t="n" s="9405">
        <v>42005.0</v>
      </c>
      <c r="H19" t="s" s="9406">
        <v>0</v>
      </c>
      <c r="I19" t="n" s="9407">
        <v>1540.0</v>
      </c>
      <c r="J19" t="n" s="9408">
        <v>100.0</v>
      </c>
      <c r="K19" t="n" s="9409">
        <v>0.0</v>
      </c>
      <c r="L19" t="n" s="9410">
        <v>1128.0</v>
      </c>
      <c r="M19" t="n" s="9411">
        <v>0.0</v>
      </c>
      <c r="N19" t="n" s="9412">
        <v>46.7</v>
      </c>
      <c r="O19" t="n" s="9413">
        <v>60.0</v>
      </c>
      <c r="P19" t="n" s="9414">
        <v>0.0</v>
      </c>
      <c r="Q19" t="n" s="9415">
        <v>23.0</v>
      </c>
      <c r="R19" t="n" s="9416">
        <v>242.19</v>
      </c>
      <c r="S19" t="n" s="9417">
        <v>16.0</v>
      </c>
      <c r="T19" t="n" s="9418">
        <v>224.64</v>
      </c>
      <c r="U19" t="n" s="9419">
        <v>0.5</v>
      </c>
      <c r="V19" t="n" s="9420">
        <v>10.53</v>
      </c>
      <c r="W19" s="9421">
        <f>r19+t19+v19</f>
      </c>
      <c r="X19" t="n" s="9422">
        <v>0.0</v>
      </c>
      <c r="Y19" t="n" s="9423">
        <v>0.0</v>
      </c>
      <c r="Z19" t="n" s="9424">
        <v>0.0</v>
      </c>
      <c r="AA19" s="9425">
        <f>i19+j19+k19+l19+m19+n19+o19+p19+x19+y19+z19</f>
      </c>
      <c r="AB19" t="n" s="9426">
        <v>740.0</v>
      </c>
      <c r="AC19" t="n" s="9427">
        <v>117.1</v>
      </c>
      <c r="AD19" t="n" s="9428">
        <v>13.4</v>
      </c>
      <c r="AE19" t="n" s="9429">
        <v>80.0</v>
      </c>
      <c r="AF19" s="9430">
        <f>ROUND((aa19+ab19+ac19+ad19+ae19),2)</f>
      </c>
      <c r="AG19" s="9431">
        <f>af19*0.06</f>
      </c>
      <c r="AH19" s="9432">
        <f>af19+ag19</f>
      </c>
      <c r="AI19" t="s" s="9433">
        <v>0</v>
      </c>
    </row>
    <row r="20" ht="15.0" customHeight="true">
      <c r="A20" t="s" s="9434">
        <v>162</v>
      </c>
      <c r="B20" t="s" s="9435">
        <v>163</v>
      </c>
      <c r="C20" t="s" s="9436">
        <v>164</v>
      </c>
      <c r="D20" t="s" s="9437">
        <v>165</v>
      </c>
      <c r="E20" t="s" s="9438">
        <v>166</v>
      </c>
      <c r="F20" t="s" s="9439">
        <v>107</v>
      </c>
      <c r="G20" t="n" s="9440">
        <v>41944.0</v>
      </c>
      <c r="H20" t="s" s="9441">
        <v>0</v>
      </c>
      <c r="I20" t="n" s="9442">
        <v>1570.0</v>
      </c>
      <c r="J20" t="n" s="9443">
        <v>100.0</v>
      </c>
      <c r="K20" t="n" s="9444">
        <v>0.0</v>
      </c>
      <c r="L20" t="n" s="9445">
        <v>2000.0</v>
      </c>
      <c r="M20" t="n" s="9446">
        <v>0.0</v>
      </c>
      <c r="N20" t="n" s="9447">
        <v>55.0</v>
      </c>
      <c r="O20" t="n" s="9448">
        <v>60.0</v>
      </c>
      <c r="P20" t="n" s="9449">
        <v>0.0</v>
      </c>
      <c r="Q20" t="n" s="9450">
        <v>16.0</v>
      </c>
      <c r="R20" t="n" s="9451">
        <v>168.48</v>
      </c>
      <c r="S20" t="n" s="9452">
        <v>8.0</v>
      </c>
      <c r="T20" t="n" s="9453">
        <v>112.32</v>
      </c>
      <c r="U20" t="n" s="9454">
        <v>1.5</v>
      </c>
      <c r="V20" t="n" s="9455">
        <v>31.59</v>
      </c>
      <c r="W20" s="9456">
        <f>r20+t20+v20</f>
      </c>
      <c r="X20" t="n" s="9457">
        <v>0.0</v>
      </c>
      <c r="Y20" t="n" s="9458">
        <v>0.0</v>
      </c>
      <c r="Z20" t="n" s="9459">
        <v>0.0</v>
      </c>
      <c r="AA20" s="9460">
        <f>i20+j20+k20+l20+m20+n20+o20+p20+x20+y20+z20</f>
      </c>
      <c r="AB20" t="n" s="9461">
        <v>974.0</v>
      </c>
      <c r="AC20" t="n" s="9462">
        <v>141.7</v>
      </c>
      <c r="AD20" t="n" s="9463">
        <v>16.2</v>
      </c>
      <c r="AE20" t="n" s="9464">
        <v>80.0</v>
      </c>
      <c r="AF20" s="9465">
        <f>ROUND((aa20+ab20+ac20+ad20+ae20),2)</f>
      </c>
      <c r="AG20" s="9466">
        <f>af20*0.06</f>
      </c>
      <c r="AH20" s="9467">
        <f>af20+ag20</f>
      </c>
      <c r="AI20" t="s" s="9468">
        <v>0</v>
      </c>
    </row>
    <row r="21" ht="15.0" customHeight="true">
      <c r="A21" t="s" s="9469">
        <v>167</v>
      </c>
      <c r="B21" t="s" s="9470">
        <v>168</v>
      </c>
      <c r="C21" t="s" s="9471">
        <v>169</v>
      </c>
      <c r="D21" t="s" s="9472">
        <v>170</v>
      </c>
      <c r="E21" t="s" s="9473">
        <v>171</v>
      </c>
      <c r="F21" t="s" s="9474">
        <v>107</v>
      </c>
      <c r="G21" t="n" s="9475">
        <v>41944.0</v>
      </c>
      <c r="H21" t="n" s="9476">
        <v>43446.0</v>
      </c>
      <c r="I21" t="n" s="9477">
        <v>1240.0</v>
      </c>
      <c r="J21" t="n" s="9478">
        <v>100.0</v>
      </c>
      <c r="K21" t="n" s="9479">
        <v>0.0</v>
      </c>
      <c r="L21" t="n" s="9480">
        <v>1380.0</v>
      </c>
      <c r="M21" t="n" s="9481">
        <v>0.0</v>
      </c>
      <c r="N21" t="n" s="9482">
        <v>10.0</v>
      </c>
      <c r="O21" t="n" s="9483">
        <v>60.0</v>
      </c>
      <c r="P21" t="n" s="9484">
        <v>0.0</v>
      </c>
      <c r="Q21" t="n" s="9485">
        <v>15.0</v>
      </c>
      <c r="R21" t="n" s="9486">
        <v>130.95</v>
      </c>
      <c r="S21" t="n" s="9487">
        <v>8.0</v>
      </c>
      <c r="T21" t="n" s="9488">
        <v>93.04</v>
      </c>
      <c r="U21" t="n" s="9489">
        <v>0.0</v>
      </c>
      <c r="V21" t="n" s="9490">
        <v>0.0</v>
      </c>
      <c r="W21" s="9491">
        <f>r21+t21+v21</f>
      </c>
      <c r="X21" t="n" s="9492">
        <v>0.0</v>
      </c>
      <c r="Y21" t="n" s="9493">
        <v>0.0</v>
      </c>
      <c r="Z21" t="n" s="9494">
        <v>0.0</v>
      </c>
      <c r="AA21" s="9495">
        <f>i21+j21+k21+l21+m21+n21+o21+p21+x21+y21+z21</f>
      </c>
      <c r="AB21" t="n" s="9496">
        <v>766.0</v>
      </c>
      <c r="AC21" t="n" s="9497">
        <v>110.3</v>
      </c>
      <c r="AD21" t="n" s="9498">
        <v>12.6</v>
      </c>
      <c r="AE21" t="n" s="9499">
        <v>80.0</v>
      </c>
      <c r="AF21" s="9500">
        <f>ROUND((aa21+ab21+ac21+ad21+ae21),2)</f>
      </c>
      <c r="AG21" s="9501">
        <f>af21*0.06</f>
      </c>
      <c r="AH21" s="9502">
        <f>af21+ag21</f>
      </c>
      <c r="AI21" t="s" s="9503">
        <v>0</v>
      </c>
    </row>
    <row r="22" ht="15.0" customHeight="true">
      <c r="A22" t="s" s="9504">
        <v>172</v>
      </c>
      <c r="B22" t="s" s="9505">
        <v>173</v>
      </c>
      <c r="C22" t="s" s="9506">
        <v>174</v>
      </c>
      <c r="D22" t="s" s="9507">
        <v>175</v>
      </c>
      <c r="E22" t="s" s="9508">
        <v>176</v>
      </c>
      <c r="F22" t="s" s="9509">
        <v>107</v>
      </c>
      <c r="G22" t="n" s="9510">
        <v>41944.0</v>
      </c>
      <c r="H22" t="s" s="9511">
        <v>0</v>
      </c>
      <c r="I22" t="n" s="9512">
        <v>1300.0</v>
      </c>
      <c r="J22" t="n" s="9513">
        <v>100.0</v>
      </c>
      <c r="K22" t="n" s="9514">
        <v>0.0</v>
      </c>
      <c r="L22" t="n" s="9515">
        <v>2348.0</v>
      </c>
      <c r="M22" t="n" s="9516">
        <v>0.0</v>
      </c>
      <c r="N22" t="n" s="9517">
        <v>15.8</v>
      </c>
      <c r="O22" t="n" s="9518">
        <v>60.0</v>
      </c>
      <c r="P22" t="n" s="9519">
        <v>0.0</v>
      </c>
      <c r="Q22" t="n" s="9520">
        <v>0.0</v>
      </c>
      <c r="R22" t="n" s="9521">
        <v>0.0</v>
      </c>
      <c r="S22" t="n" s="9522">
        <v>8.0</v>
      </c>
      <c r="T22" t="n" s="9523">
        <v>93.04</v>
      </c>
      <c r="U22" t="n" s="9524">
        <v>0.0</v>
      </c>
      <c r="V22" t="n" s="9525">
        <v>0.0</v>
      </c>
      <c r="W22" s="9526">
        <f>r22+t22+v22</f>
      </c>
      <c r="X22" t="n" s="9527">
        <v>0.0</v>
      </c>
      <c r="Y22" t="n" s="9528">
        <v>0.0</v>
      </c>
      <c r="Z22" t="n" s="9529">
        <v>0.0</v>
      </c>
      <c r="AA22" s="9530">
        <f>i22+j22+k22+l22+m22+n22+o22+p22+x22+y22+z22</f>
      </c>
      <c r="AB22" t="n" s="9531">
        <v>994.0</v>
      </c>
      <c r="AC22" t="n" s="9532">
        <v>138.1</v>
      </c>
      <c r="AD22" t="n" s="9533">
        <v>15.8</v>
      </c>
      <c r="AE22" t="n" s="9534">
        <v>80.0</v>
      </c>
      <c r="AF22" s="9535">
        <f>ROUND((aa22+ab22+ac22+ad22+ae22),2)</f>
      </c>
      <c r="AG22" s="9536">
        <f>af22*0.06</f>
      </c>
      <c r="AH22" s="9537">
        <f>af22+ag22</f>
      </c>
      <c r="AI22" t="s" s="9538">
        <v>0</v>
      </c>
    </row>
    <row r="23" ht="15.0" customHeight="true">
      <c r="A23" t="s" s="9539">
        <v>177</v>
      </c>
      <c r="B23" t="s" s="9540">
        <v>178</v>
      </c>
      <c r="C23" t="s" s="9541">
        <v>179</v>
      </c>
      <c r="D23" t="s" s="9542">
        <v>180</v>
      </c>
      <c r="E23" t="s" s="9543">
        <v>181</v>
      </c>
      <c r="F23" t="s" s="9544">
        <v>107</v>
      </c>
      <c r="G23" t="n" s="9545">
        <v>41944.0</v>
      </c>
      <c r="H23" t="s" s="9546">
        <v>0</v>
      </c>
      <c r="I23" t="n" s="9547">
        <v>1390.0</v>
      </c>
      <c r="J23" t="n" s="9548">
        <v>100.0</v>
      </c>
      <c r="K23" t="n" s="9549">
        <v>0.0</v>
      </c>
      <c r="L23" t="n" s="9550">
        <v>1754.0</v>
      </c>
      <c r="M23" t="n" s="9551">
        <v>0.0</v>
      </c>
      <c r="N23" t="n" s="9552">
        <v>27.8</v>
      </c>
      <c r="O23" t="n" s="9553">
        <v>60.0</v>
      </c>
      <c r="P23" t="n" s="9554">
        <v>0.0</v>
      </c>
      <c r="Q23" t="n" s="9555">
        <v>1.0</v>
      </c>
      <c r="R23" t="n" s="9556">
        <v>9.59</v>
      </c>
      <c r="S23" t="n" s="9557">
        <v>8.0</v>
      </c>
      <c r="T23" t="n" s="9558">
        <v>102.32</v>
      </c>
      <c r="U23" t="n" s="9559">
        <v>0.0</v>
      </c>
      <c r="V23" t="n" s="9560">
        <v>0.0</v>
      </c>
      <c r="W23" s="9561">
        <f>r23+t23+v23</f>
      </c>
      <c r="X23" t="n" s="9562">
        <v>0.0</v>
      </c>
      <c r="Y23" t="n" s="9563">
        <v>0.0</v>
      </c>
      <c r="Z23" t="n" s="9564">
        <v>0.0</v>
      </c>
      <c r="AA23" s="9565">
        <f>i23+j23+k23+l23+m23+n23+o23+p23+x23+y23+z23</f>
      </c>
      <c r="AB23" t="n" s="9566">
        <v>864.0</v>
      </c>
      <c r="AC23" t="n" s="9567">
        <v>120.9</v>
      </c>
      <c r="AD23" t="n" s="9568">
        <v>13.8</v>
      </c>
      <c r="AE23" t="n" s="9569">
        <v>80.0</v>
      </c>
      <c r="AF23" s="9570">
        <f>ROUND((aa23+ab23+ac23+ad23+ae23),2)</f>
      </c>
      <c r="AG23" s="9571">
        <f>af23*0.06</f>
      </c>
      <c r="AH23" s="9572">
        <f>af23+ag23</f>
      </c>
      <c r="AI23" t="s" s="9573">
        <v>0</v>
      </c>
    </row>
    <row r="24" ht="15.0" customHeight="true">
      <c r="A24" t="s" s="9574">
        <v>182</v>
      </c>
      <c r="B24" t="s" s="9575">
        <v>183</v>
      </c>
      <c r="C24" t="s" s="9576">
        <v>184</v>
      </c>
      <c r="D24" t="s" s="9577">
        <v>185</v>
      </c>
      <c r="E24" t="s" s="9578">
        <v>186</v>
      </c>
      <c r="F24" t="s" s="9579">
        <v>107</v>
      </c>
      <c r="G24" t="n" s="9580">
        <v>41944.0</v>
      </c>
      <c r="H24" t="s" s="9581">
        <v>0</v>
      </c>
      <c r="I24" t="n" s="9582">
        <v>1350.0</v>
      </c>
      <c r="J24" t="n" s="9583">
        <v>100.0</v>
      </c>
      <c r="K24" t="n" s="9584">
        <v>0.0</v>
      </c>
      <c r="L24" t="n" s="9585">
        <v>2316.0</v>
      </c>
      <c r="M24" t="n" s="9586">
        <v>0.0</v>
      </c>
      <c r="N24" t="n" s="9587">
        <v>10.0</v>
      </c>
      <c r="O24" t="n" s="9588">
        <v>60.0</v>
      </c>
      <c r="P24" t="n" s="9589">
        <v>0.0</v>
      </c>
      <c r="Q24" t="n" s="9590">
        <v>0.0</v>
      </c>
      <c r="R24" t="n" s="9591">
        <v>0.0</v>
      </c>
      <c r="S24" t="n" s="9592">
        <v>8.0</v>
      </c>
      <c r="T24" t="n" s="9593">
        <v>96.96</v>
      </c>
      <c r="U24" t="n" s="9594">
        <v>0.0</v>
      </c>
      <c r="V24" t="n" s="9595">
        <v>0.0</v>
      </c>
      <c r="W24" s="9596">
        <f>r24+t24+v24</f>
      </c>
      <c r="X24" t="n" s="9597">
        <v>0.0</v>
      </c>
      <c r="Y24" t="n" s="9598">
        <v>0.0</v>
      </c>
      <c r="Z24" t="n" s="9599">
        <v>0.0</v>
      </c>
      <c r="AA24" s="9600">
        <f>i24+j24+k24+l24+m24+n24+o24+p24+x24+y24+z24</f>
      </c>
      <c r="AB24" t="n" s="9601">
        <v>1134.0</v>
      </c>
      <c r="AC24" t="n" s="9602">
        <v>141.5</v>
      </c>
      <c r="AD24" t="n" s="9603">
        <v>16.2</v>
      </c>
      <c r="AE24" t="n" s="9604">
        <v>80.0</v>
      </c>
      <c r="AF24" s="9605">
        <f>ROUND((aa24+ab24+ac24+ad24+ae24),2)</f>
      </c>
      <c r="AG24" s="9606">
        <f>af24*0.06</f>
      </c>
      <c r="AH24" s="9607">
        <f>af24+ag24</f>
      </c>
      <c r="AI24" t="s" s="9608">
        <v>0</v>
      </c>
    </row>
    <row r="25" ht="15.0" customHeight="true">
      <c r="A25" t="s" s="9609">
        <v>187</v>
      </c>
      <c r="B25" t="s" s="9610">
        <v>188</v>
      </c>
      <c r="C25" t="s" s="9611">
        <v>189</v>
      </c>
      <c r="D25" t="s" s="9612">
        <v>190</v>
      </c>
      <c r="E25" t="s" s="9613">
        <v>191</v>
      </c>
      <c r="F25" t="s" s="9614">
        <v>107</v>
      </c>
      <c r="G25" t="n" s="9615">
        <v>41944.0</v>
      </c>
      <c r="H25" t="s" s="9616">
        <v>0</v>
      </c>
      <c r="I25" t="n" s="9617">
        <v>1300.0</v>
      </c>
      <c r="J25" t="n" s="9618">
        <v>100.0</v>
      </c>
      <c r="K25" t="n" s="9619">
        <v>0.0</v>
      </c>
      <c r="L25" t="n" s="9620">
        <v>1948.0</v>
      </c>
      <c r="M25" t="n" s="9621">
        <v>0.0</v>
      </c>
      <c r="N25" t="n" s="9622">
        <v>17.2</v>
      </c>
      <c r="O25" t="n" s="9623">
        <v>60.0</v>
      </c>
      <c r="P25" t="n" s="9624">
        <v>0.0</v>
      </c>
      <c r="Q25" t="n" s="9625">
        <v>12.0</v>
      </c>
      <c r="R25" t="n" s="9626">
        <v>103.8</v>
      </c>
      <c r="S25" t="n" s="9627">
        <v>16.0</v>
      </c>
      <c r="T25" t="n" s="9628">
        <v>184.64</v>
      </c>
      <c r="U25" t="n" s="9629">
        <v>0.0</v>
      </c>
      <c r="V25" t="n" s="9630">
        <v>0.0</v>
      </c>
      <c r="W25" s="9631">
        <f>r25+t25+v25</f>
      </c>
      <c r="X25" t="n" s="9632">
        <v>0.0</v>
      </c>
      <c r="Y25" t="n" s="9633">
        <v>0.0</v>
      </c>
      <c r="Z25" t="n" s="9634">
        <v>0.0</v>
      </c>
      <c r="AA25" s="9635">
        <f>i25+j25+k25+l25+m25+n25+o25+p25+x25+y25+z25</f>
      </c>
      <c r="AB25" t="n" s="9636">
        <v>890.0</v>
      </c>
      <c r="AC25" t="n" s="9637">
        <v>131.1</v>
      </c>
      <c r="AD25" t="n" s="9638">
        <v>15.0</v>
      </c>
      <c r="AE25" t="n" s="9639">
        <v>80.0</v>
      </c>
      <c r="AF25" s="9640">
        <f>ROUND((aa25+ab25+ac25+ad25+ae25),2)</f>
      </c>
      <c r="AG25" s="9641">
        <f>af25*0.06</f>
      </c>
      <c r="AH25" s="9642">
        <f>af25+ag25</f>
      </c>
      <c r="AI25" t="s" s="9643">
        <v>0</v>
      </c>
    </row>
    <row r="26" ht="15.0" customHeight="true">
      <c r="A26" t="s" s="9644">
        <v>192</v>
      </c>
      <c r="B26" t="s" s="9645">
        <v>193</v>
      </c>
      <c r="C26" t="s" s="9646">
        <v>194</v>
      </c>
      <c r="D26" t="s" s="9647">
        <v>195</v>
      </c>
      <c r="E26" t="s" s="9648">
        <v>196</v>
      </c>
      <c r="F26" t="s" s="9649">
        <v>107</v>
      </c>
      <c r="G26" t="n" s="9650">
        <v>41944.0</v>
      </c>
      <c r="H26" t="s" s="9651">
        <v>0</v>
      </c>
      <c r="I26" t="n" s="9652">
        <v>1490.0</v>
      </c>
      <c r="J26" t="n" s="9653">
        <v>100.0</v>
      </c>
      <c r="K26" t="n" s="9654">
        <v>0.0</v>
      </c>
      <c r="L26" t="n" s="9655">
        <v>858.0</v>
      </c>
      <c r="M26" t="n" s="9656">
        <v>0.0</v>
      </c>
      <c r="N26" t="n" s="9657">
        <v>10.0</v>
      </c>
      <c r="O26" t="n" s="9658">
        <v>60.0</v>
      </c>
      <c r="P26" t="n" s="9659">
        <v>0.0</v>
      </c>
      <c r="Q26" t="n" s="9660">
        <v>0.0</v>
      </c>
      <c r="R26" t="n" s="9661">
        <v>0.0</v>
      </c>
      <c r="S26" t="n" s="9662">
        <v>8.0</v>
      </c>
      <c r="T26" t="n" s="9663">
        <v>108.48</v>
      </c>
      <c r="U26" t="n" s="9664">
        <v>1.0</v>
      </c>
      <c r="V26" t="n" s="9665">
        <v>20.34</v>
      </c>
      <c r="W26" s="9666">
        <f>r26+t26+v26</f>
      </c>
      <c r="X26" t="n" s="9667">
        <v>0.0</v>
      </c>
      <c r="Y26" t="n" s="9668">
        <v>0.0</v>
      </c>
      <c r="Z26" t="n" s="9669">
        <v>0.0</v>
      </c>
      <c r="AA26" s="9670">
        <f>i26+j26+k26+l26+m26+n26+o26+p26+x26+y26+z26</f>
      </c>
      <c r="AB26" t="n" s="9671">
        <v>656.0</v>
      </c>
      <c r="AC26" t="n" s="9672">
        <v>92.9</v>
      </c>
      <c r="AD26" t="n" s="9673">
        <v>10.6</v>
      </c>
      <c r="AE26" t="n" s="9674">
        <v>80.0</v>
      </c>
      <c r="AF26" s="9675">
        <f>ROUND((aa26+ab26+ac26+ad26+ae26),2)</f>
      </c>
      <c r="AG26" s="9676">
        <f>af26*0.06</f>
      </c>
      <c r="AH26" s="9677">
        <f>af26+ag26</f>
      </c>
      <c r="AI26" t="s" s="9678">
        <v>0</v>
      </c>
    </row>
    <row r="27" ht="15.0" customHeight="true">
      <c r="A27" t="s" s="9679">
        <v>197</v>
      </c>
      <c r="B27" t="s" s="9680">
        <v>198</v>
      </c>
      <c r="C27" t="s" s="9681">
        <v>199</v>
      </c>
      <c r="D27" t="s" s="9682">
        <v>200</v>
      </c>
      <c r="E27" t="s" s="9683">
        <v>201</v>
      </c>
      <c r="F27" t="s" s="9684">
        <v>107</v>
      </c>
      <c r="G27" t="n" s="9685">
        <v>42005.0</v>
      </c>
      <c r="H27" t="n" s="9686">
        <v>43131.0</v>
      </c>
      <c r="I27" t="n" s="9687">
        <v>1320.0</v>
      </c>
      <c r="J27" t="n" s="9688">
        <v>100.0</v>
      </c>
      <c r="K27" t="n" s="9689">
        <v>-6.46</v>
      </c>
      <c r="L27" t="n" s="9690">
        <v>1100.0</v>
      </c>
      <c r="M27" t="n" s="9691">
        <v>0.0</v>
      </c>
      <c r="N27" t="n" s="9692">
        <v>35.87</v>
      </c>
      <c r="O27" t="n" s="9693">
        <v>0.0</v>
      </c>
      <c r="P27" t="n" s="9694">
        <v>0.0</v>
      </c>
      <c r="Q27" t="n" s="9695">
        <v>3.0</v>
      </c>
      <c r="R27" t="n" s="9696">
        <v>26.82</v>
      </c>
      <c r="S27" t="n" s="9697">
        <v>8.0</v>
      </c>
      <c r="T27" t="n" s="9698">
        <v>95.36</v>
      </c>
      <c r="U27" t="n" s="9699">
        <v>0.0</v>
      </c>
      <c r="V27" t="n" s="9700">
        <v>0.0</v>
      </c>
      <c r="W27" s="9701">
        <f>r27+t27+v27</f>
      </c>
      <c r="X27" t="n" s="9702">
        <v>-80.0</v>
      </c>
      <c r="Y27" t="n" s="9703">
        <v>0.0</v>
      </c>
      <c r="Z27" t="n" s="9704">
        <v>0.0</v>
      </c>
      <c r="AA27" s="9705">
        <f>i27+j27+k27+l27+m27+n27+o27+p27+x27+y27+z27</f>
      </c>
      <c r="AB27" t="n" s="9706">
        <v>636.0</v>
      </c>
      <c r="AC27" t="n" s="9707">
        <v>89.3</v>
      </c>
      <c r="AD27" t="n" s="9708">
        <v>10.2</v>
      </c>
      <c r="AE27" t="n" s="9709">
        <v>80.0</v>
      </c>
      <c r="AF27" s="9710">
        <f>ROUND((aa27+ab27+ac27+ad27+ae27),2)</f>
      </c>
      <c r="AG27" s="9711">
        <f>af27*0.06</f>
      </c>
      <c r="AH27" s="9712">
        <f>af27+ag27</f>
      </c>
      <c r="AI27" t="s" s="9713">
        <v>0</v>
      </c>
    </row>
    <row r="28" ht="15.0" customHeight="true">
      <c r="A28" t="s" s="9714">
        <v>202</v>
      </c>
      <c r="B28" t="s" s="9715">
        <v>203</v>
      </c>
      <c r="C28" t="s" s="9716">
        <v>204</v>
      </c>
      <c r="D28" t="s" s="9717">
        <v>205</v>
      </c>
      <c r="E28" t="s" s="9718">
        <v>206</v>
      </c>
      <c r="F28" t="s" s="9719">
        <v>107</v>
      </c>
      <c r="G28" t="n" s="9720">
        <v>42005.0</v>
      </c>
      <c r="H28" t="s" s="9721">
        <v>0</v>
      </c>
      <c r="I28" t="n" s="9722">
        <v>1330.0</v>
      </c>
      <c r="J28" t="n" s="9723">
        <v>100.0</v>
      </c>
      <c r="K28" t="n" s="9724">
        <v>0.0</v>
      </c>
      <c r="L28" t="n" s="9725">
        <v>2308.0</v>
      </c>
      <c r="M28" t="n" s="9726">
        <v>0.0</v>
      </c>
      <c r="N28" t="n" s="9727">
        <v>36.65</v>
      </c>
      <c r="O28" t="n" s="9728">
        <v>60.0</v>
      </c>
      <c r="P28" t="n" s="9729">
        <v>0.0</v>
      </c>
      <c r="Q28" t="n" s="9730">
        <v>5.0</v>
      </c>
      <c r="R28" t="n" s="9731">
        <v>45.05</v>
      </c>
      <c r="S28" t="n" s="9732">
        <v>8.0</v>
      </c>
      <c r="T28" t="n" s="9733">
        <v>96.16</v>
      </c>
      <c r="U28" t="n" s="9734">
        <v>0.0</v>
      </c>
      <c r="V28" t="n" s="9735">
        <v>0.0</v>
      </c>
      <c r="W28" s="9736">
        <f>r28+t28+v28</f>
      </c>
      <c r="X28" t="n" s="9737">
        <v>0.0</v>
      </c>
      <c r="Y28" t="n" s="9738">
        <v>0.0</v>
      </c>
      <c r="Z28" t="n" s="9739">
        <v>0.0</v>
      </c>
      <c r="AA28" s="9740">
        <f>i28+j28+k28+l28+m28+n28+o28+p28+x28+y28+z28</f>
      </c>
      <c r="AB28" t="n" s="9741">
        <v>988.0</v>
      </c>
      <c r="AC28" t="n" s="9742">
        <v>134.7</v>
      </c>
      <c r="AD28" t="n" s="9743">
        <v>15.4</v>
      </c>
      <c r="AE28" t="n" s="9744">
        <v>80.0</v>
      </c>
      <c r="AF28" s="9745">
        <f>ROUND((aa28+ab28+ac28+ad28+ae28),2)</f>
      </c>
      <c r="AG28" s="9746">
        <f>af28*0.06</f>
      </c>
      <c r="AH28" s="9747">
        <f>af28+ag28</f>
      </c>
      <c r="AI28" t="s" s="9748">
        <v>0</v>
      </c>
    </row>
    <row r="29" ht="15.0" customHeight="true">
      <c r="A29" t="s" s="9749">
        <v>207</v>
      </c>
      <c r="B29" t="s" s="9750">
        <v>0</v>
      </c>
      <c r="C29" t="s" s="9751">
        <v>208</v>
      </c>
      <c r="D29" t="s" s="9752">
        <v>209</v>
      </c>
      <c r="E29" t="s" s="9753">
        <v>210</v>
      </c>
      <c r="F29" t="s" s="9754">
        <v>107</v>
      </c>
      <c r="G29" t="n" s="9755">
        <v>41944.0</v>
      </c>
      <c r="H29" t="s" s="9756">
        <v>0</v>
      </c>
      <c r="I29" t="n" s="9757">
        <v>1300.0</v>
      </c>
      <c r="J29" t="n" s="9758">
        <v>100.0</v>
      </c>
      <c r="K29" t="n" s="9759">
        <v>0.0</v>
      </c>
      <c r="L29" t="n" s="9760">
        <v>950.0</v>
      </c>
      <c r="M29" t="n" s="9761">
        <v>0.0</v>
      </c>
      <c r="N29" t="n" s="9762">
        <v>10.0</v>
      </c>
      <c r="O29" t="n" s="9763">
        <v>60.0</v>
      </c>
      <c r="P29" t="n" s="9764">
        <v>0.0</v>
      </c>
      <c r="Q29" t="n" s="9765">
        <v>0.0</v>
      </c>
      <c r="R29" t="n" s="9766">
        <v>0.0</v>
      </c>
      <c r="S29" t="n" s="9767">
        <v>0.0</v>
      </c>
      <c r="T29" t="n" s="9768">
        <v>0.0</v>
      </c>
      <c r="U29" t="n" s="9769">
        <v>0.0</v>
      </c>
      <c r="V29" t="n" s="9770">
        <v>0.0</v>
      </c>
      <c r="W29" s="9771">
        <f>r29+t29+v29</f>
      </c>
      <c r="X29" t="n" s="9772">
        <v>0.0</v>
      </c>
      <c r="Y29" t="n" s="9773">
        <v>0.0</v>
      </c>
      <c r="Z29" t="n" s="9774">
        <v>0.0</v>
      </c>
      <c r="AA29" s="9775">
        <f>i29+j29+k29+l29+m29+n29+o29+p29+x29+y29+z29</f>
      </c>
      <c r="AB29" t="n" s="9776">
        <v>315.0</v>
      </c>
      <c r="AC29" t="n" s="9777">
        <v>42.85</v>
      </c>
      <c r="AD29" t="n" s="9778">
        <v>4.9</v>
      </c>
      <c r="AE29" t="n" s="9779">
        <v>80.0</v>
      </c>
      <c r="AF29" s="9780">
        <f>ROUND((aa29+ab29+ac29+ad29+ae29),2)</f>
      </c>
      <c r="AG29" s="9781">
        <f>af29*0.06</f>
      </c>
      <c r="AH29" s="9782">
        <f>af29+ag29</f>
      </c>
      <c r="AI29" t="s" s="9783">
        <v>0</v>
      </c>
    </row>
    <row r="30" ht="15.0" customHeight="true">
      <c r="A30" t="s" s="9784">
        <v>211</v>
      </c>
      <c r="B30" t="s" s="9785">
        <v>212</v>
      </c>
      <c r="C30" t="s" s="9786">
        <v>213</v>
      </c>
      <c r="D30" t="s" s="9787">
        <v>214</v>
      </c>
      <c r="E30" t="s" s="9788">
        <v>215</v>
      </c>
      <c r="F30" t="s" s="9789">
        <v>107</v>
      </c>
      <c r="G30" t="n" s="9790">
        <v>41944.0</v>
      </c>
      <c r="H30" t="s" s="9791">
        <v>0</v>
      </c>
      <c r="I30" t="n" s="9792">
        <v>1440.0</v>
      </c>
      <c r="J30" t="n" s="9793">
        <v>100.0</v>
      </c>
      <c r="K30" t="n" s="9794">
        <v>0.0</v>
      </c>
      <c r="L30" t="n" s="9795">
        <v>1100.0</v>
      </c>
      <c r="M30" t="n" s="9796">
        <v>0.0</v>
      </c>
      <c r="N30" t="n" s="9797">
        <v>26.5</v>
      </c>
      <c r="O30" t="n" s="9798">
        <v>60.0</v>
      </c>
      <c r="P30" t="n" s="9799">
        <v>0.0</v>
      </c>
      <c r="Q30" t="n" s="9800">
        <v>2.0</v>
      </c>
      <c r="R30" t="n" s="9801">
        <v>19.76</v>
      </c>
      <c r="S30" t="n" s="9802">
        <v>0.0</v>
      </c>
      <c r="T30" t="n" s="9803">
        <v>0.0</v>
      </c>
      <c r="U30" t="n" s="9804">
        <v>0.0</v>
      </c>
      <c r="V30" t="n" s="9805">
        <v>0.0</v>
      </c>
      <c r="W30" s="9806">
        <f>r30+t30+v30</f>
      </c>
      <c r="X30" t="n" s="9807">
        <v>0.0</v>
      </c>
      <c r="Y30" t="n" s="9808">
        <v>0.0</v>
      </c>
      <c r="Z30" t="n" s="9809">
        <v>0.0</v>
      </c>
      <c r="AA30" s="9810">
        <f>i30+j30+k30+l30+m30+n30+o30+p30+x30+y30+z30</f>
      </c>
      <c r="AB30" t="n" s="9811">
        <v>702.0</v>
      </c>
      <c r="AC30" t="n" s="9812">
        <v>92.7</v>
      </c>
      <c r="AD30" t="n" s="9813">
        <v>10.6</v>
      </c>
      <c r="AE30" t="n" s="9814">
        <v>80.0</v>
      </c>
      <c r="AF30" s="9815">
        <f>ROUND((aa30+ab30+ac30+ad30+ae30),2)</f>
      </c>
      <c r="AG30" s="9816">
        <f>af30*0.06</f>
      </c>
      <c r="AH30" s="9817">
        <f>af30+ag30</f>
      </c>
      <c r="AI30" t="s" s="9818">
        <v>0</v>
      </c>
    </row>
    <row r="31" ht="15.0" customHeight="true">
      <c r="A31" t="s" s="9819">
        <v>216</v>
      </c>
      <c r="B31" t="s" s="9820">
        <v>217</v>
      </c>
      <c r="C31" t="s" s="9821">
        <v>218</v>
      </c>
      <c r="D31" t="s" s="9822">
        <v>219</v>
      </c>
      <c r="E31" t="s" s="9823">
        <v>220</v>
      </c>
      <c r="F31" t="s" s="9824">
        <v>107</v>
      </c>
      <c r="G31" t="n" s="9825">
        <v>41944.0</v>
      </c>
      <c r="H31" t="s" s="9826">
        <v>0</v>
      </c>
      <c r="I31" t="n" s="9827">
        <v>1340.0</v>
      </c>
      <c r="J31" t="n" s="9828">
        <v>100.0</v>
      </c>
      <c r="K31" t="n" s="9829">
        <v>0.0</v>
      </c>
      <c r="L31" t="n" s="9830">
        <v>1908.0</v>
      </c>
      <c r="M31" t="n" s="9831">
        <v>0.0</v>
      </c>
      <c r="N31" t="n" s="9832">
        <v>38.79</v>
      </c>
      <c r="O31" t="n" s="9833">
        <v>60.0</v>
      </c>
      <c r="P31" t="n" s="9834">
        <v>0.0</v>
      </c>
      <c r="Q31" t="n" s="9835">
        <v>3.0</v>
      </c>
      <c r="R31" t="n" s="9836">
        <v>27.27</v>
      </c>
      <c r="S31" t="n" s="9837">
        <v>16.0</v>
      </c>
      <c r="T31" t="n" s="9838">
        <v>193.92</v>
      </c>
      <c r="U31" t="n" s="9839">
        <v>0.0</v>
      </c>
      <c r="V31" t="n" s="9840">
        <v>0.0</v>
      </c>
      <c r="W31" s="9841">
        <f>r31+t31+v31</f>
      </c>
      <c r="X31" t="n" s="9842">
        <v>0.0</v>
      </c>
      <c r="Y31" t="n" s="9843">
        <v>0.0</v>
      </c>
      <c r="Z31" t="n" s="9844">
        <v>0.0</v>
      </c>
      <c r="AA31" s="9845">
        <f>i31+j31+k31+l31+m31+n31+o31+p31+x31+y31+z31</f>
      </c>
      <c r="AB31" t="n" s="9846">
        <v>922.0</v>
      </c>
      <c r="AC31" t="n" s="9847">
        <v>131.3</v>
      </c>
      <c r="AD31" t="n" s="9848">
        <v>15.0</v>
      </c>
      <c r="AE31" t="n" s="9849">
        <v>80.0</v>
      </c>
      <c r="AF31" s="9850">
        <f>ROUND((aa31+ab31+ac31+ad31+ae31),2)</f>
      </c>
      <c r="AG31" s="9851">
        <f>af31*0.06</f>
      </c>
      <c r="AH31" s="9852">
        <f>af31+ag31</f>
      </c>
      <c r="AI31" t="s" s="9853">
        <v>0</v>
      </c>
    </row>
    <row r="32" ht="15.0" customHeight="true">
      <c r="A32" t="s" s="9854">
        <v>221</v>
      </c>
      <c r="B32" t="s" s="9855">
        <v>222</v>
      </c>
      <c r="C32" t="s" s="9856">
        <v>223</v>
      </c>
      <c r="D32" t="s" s="9857">
        <v>224</v>
      </c>
      <c r="E32" t="s" s="9858">
        <v>225</v>
      </c>
      <c r="F32" t="s" s="9859">
        <v>107</v>
      </c>
      <c r="G32" t="n" s="9860">
        <v>42005.0</v>
      </c>
      <c r="H32" t="s" s="9861">
        <v>0</v>
      </c>
      <c r="I32" t="n" s="9862">
        <v>1770.0</v>
      </c>
      <c r="J32" t="n" s="9863">
        <v>100.0</v>
      </c>
      <c r="K32" t="n" s="9864">
        <v>0.0</v>
      </c>
      <c r="L32" t="n" s="9865">
        <v>1112.0</v>
      </c>
      <c r="M32" t="n" s="9866">
        <v>0.0</v>
      </c>
      <c r="N32" t="n" s="9867">
        <v>21.6</v>
      </c>
      <c r="O32" t="n" s="9868">
        <v>60.0</v>
      </c>
      <c r="P32" t="n" s="9869">
        <v>0.0</v>
      </c>
      <c r="Q32" t="n" s="9870">
        <v>12.0</v>
      </c>
      <c r="R32" t="n" s="9871">
        <v>142.8</v>
      </c>
      <c r="S32" t="n" s="9872">
        <v>16.0</v>
      </c>
      <c r="T32" t="n" s="9873">
        <v>253.92</v>
      </c>
      <c r="U32" t="n" s="9874">
        <v>0.0</v>
      </c>
      <c r="V32" t="n" s="9875">
        <v>0.0</v>
      </c>
      <c r="W32" s="9876">
        <f>r32+t32+v32</f>
      </c>
      <c r="X32" t="n" s="9877">
        <v>0.0</v>
      </c>
      <c r="Y32" t="n" s="9878">
        <v>0.0</v>
      </c>
      <c r="Z32" t="n" s="9879">
        <v>0.0</v>
      </c>
      <c r="AA32" s="9880">
        <f>i32+j32+k32+l32+m32+n32+o32+p32+x32+y32+z32</f>
      </c>
      <c r="AB32" t="n" s="9881">
        <v>796.0</v>
      </c>
      <c r="AC32" t="n" s="9882">
        <v>120.7</v>
      </c>
      <c r="AD32" t="n" s="9883">
        <v>13.8</v>
      </c>
      <c r="AE32" t="n" s="9884">
        <v>80.0</v>
      </c>
      <c r="AF32" s="9885">
        <f>ROUND((aa32+ab32+ac32+ad32+ae32),2)</f>
      </c>
      <c r="AG32" s="9886">
        <f>af32*0.06</f>
      </c>
      <c r="AH32" s="9887">
        <f>af32+ag32</f>
      </c>
      <c r="AI32" t="s" s="9888">
        <v>0</v>
      </c>
    </row>
    <row r="33" ht="15.0" customHeight="true">
      <c r="A33" t="s" s="9889">
        <v>226</v>
      </c>
      <c r="B33" t="s" s="9890">
        <v>227</v>
      </c>
      <c r="C33" t="s" s="9891">
        <v>228</v>
      </c>
      <c r="D33" t="s" s="9892">
        <v>229</v>
      </c>
      <c r="E33" t="s" s="9893">
        <v>230</v>
      </c>
      <c r="F33" t="s" s="9894">
        <v>107</v>
      </c>
      <c r="G33" t="n" s="9895">
        <v>42599.0</v>
      </c>
      <c r="H33" t="s" s="9896">
        <v>0</v>
      </c>
      <c r="I33" t="n" s="9897">
        <v>1220.0</v>
      </c>
      <c r="J33" t="n" s="9898">
        <v>100.0</v>
      </c>
      <c r="K33" t="n" s="9899">
        <v>0.0</v>
      </c>
      <c r="L33" t="n" s="9900">
        <v>1100.0</v>
      </c>
      <c r="M33" t="n" s="9901">
        <v>0.0</v>
      </c>
      <c r="N33" t="n" s="9902">
        <v>10.0</v>
      </c>
      <c r="O33" t="n" s="9903">
        <v>60.0</v>
      </c>
      <c r="P33" t="n" s="9904">
        <v>0.0</v>
      </c>
      <c r="Q33" t="n" s="9905">
        <v>10.0</v>
      </c>
      <c r="R33" t="n" s="9906">
        <v>83.7</v>
      </c>
      <c r="S33" t="n" s="9907">
        <v>8.0</v>
      </c>
      <c r="T33" t="n" s="9908">
        <v>89.2</v>
      </c>
      <c r="U33" t="n" s="9909">
        <v>0.0</v>
      </c>
      <c r="V33" t="n" s="9910">
        <v>0.0</v>
      </c>
      <c r="W33" s="9911">
        <f>r33+t33+v33</f>
      </c>
      <c r="X33" t="n" s="9912">
        <v>0.0</v>
      </c>
      <c r="Y33" t="n" s="9913">
        <v>0.0</v>
      </c>
      <c r="Z33" t="n" s="9914">
        <v>0.0</v>
      </c>
      <c r="AA33" s="9915">
        <f>i33+j33+k33+l33+m33+n33+o33+p33+x33+y33+z33</f>
      </c>
      <c r="AB33" t="n" s="9916">
        <v>646.0</v>
      </c>
      <c r="AC33" t="n" s="9917">
        <v>89.3</v>
      </c>
      <c r="AD33" t="n" s="9918">
        <v>10.2</v>
      </c>
      <c r="AE33" t="n" s="9919">
        <v>80.0</v>
      </c>
      <c r="AF33" s="9920">
        <f>ROUND((aa33+ab33+ac33+ad33+ae33),2)</f>
      </c>
      <c r="AG33" s="9921">
        <f>af33*0.06</f>
      </c>
      <c r="AH33" s="9922">
        <f>af33+ag33</f>
      </c>
      <c r="AI33" t="s" s="9923">
        <v>0</v>
      </c>
    </row>
    <row r="34" ht="15.0" customHeight="true">
      <c r="A34" t="s" s="9924">
        <v>231</v>
      </c>
      <c r="B34" t="s" s="9925">
        <v>232</v>
      </c>
      <c r="C34" t="s" s="9926">
        <v>233</v>
      </c>
      <c r="D34" t="s" s="9927">
        <v>234</v>
      </c>
      <c r="E34" t="s" s="9928">
        <v>235</v>
      </c>
      <c r="F34" t="s" s="9929">
        <v>107</v>
      </c>
      <c r="G34" t="n" s="9930">
        <v>42601.0</v>
      </c>
      <c r="H34" t="s" s="9931">
        <v>0</v>
      </c>
      <c r="I34" t="n" s="9932">
        <v>1320.0</v>
      </c>
      <c r="J34" t="n" s="9933">
        <v>100.0</v>
      </c>
      <c r="K34" t="n" s="9934">
        <v>0.0</v>
      </c>
      <c r="L34" t="n" s="9935">
        <v>2300.0</v>
      </c>
      <c r="M34" t="n" s="9936">
        <v>0.0</v>
      </c>
      <c r="N34" t="n" s="9937">
        <v>10.0</v>
      </c>
      <c r="O34" t="n" s="9938">
        <v>60.0</v>
      </c>
      <c r="P34" t="n" s="9939">
        <v>0.0</v>
      </c>
      <c r="Q34" t="n" s="9940">
        <v>12.0</v>
      </c>
      <c r="R34" t="n" s="9941">
        <v>108.12</v>
      </c>
      <c r="S34" t="n" s="9942">
        <v>8.0</v>
      </c>
      <c r="T34" t="n" s="9943">
        <v>96.16</v>
      </c>
      <c r="U34" t="n" s="9944">
        <v>0.0</v>
      </c>
      <c r="V34" t="n" s="9945">
        <v>0.0</v>
      </c>
      <c r="W34" s="9946">
        <f>r34+t34+v34</f>
      </c>
      <c r="X34" t="n" s="9947">
        <v>0.0</v>
      </c>
      <c r="Y34" t="n" s="9948">
        <v>0.0</v>
      </c>
      <c r="Z34" t="n" s="9949">
        <v>0.0</v>
      </c>
      <c r="AA34" s="9950">
        <f>i34+j34+k34+l34+m34+n34+o34+p34+x34+y34+z34</f>
      </c>
      <c r="AB34" t="n" s="9951">
        <v>984.0</v>
      </c>
      <c r="AC34" t="n" s="9952">
        <v>138.1</v>
      </c>
      <c r="AD34" t="n" s="9953">
        <v>15.8</v>
      </c>
      <c r="AE34" t="n" s="9954">
        <v>80.0</v>
      </c>
      <c r="AF34" s="9955">
        <f>ROUND((aa34+ab34+ac34+ad34+ae34),2)</f>
      </c>
      <c r="AG34" s="9956">
        <f>af34*0.06</f>
      </c>
      <c r="AH34" s="9957">
        <f>af34+ag34</f>
      </c>
      <c r="AI34" t="s" s="9958">
        <v>0</v>
      </c>
    </row>
    <row r="35" ht="15.0" customHeight="true">
      <c r="A35" t="s" s="9959">
        <v>236</v>
      </c>
      <c r="B35" t="s" s="9960">
        <v>237</v>
      </c>
      <c r="C35" t="s" s="9961">
        <v>238</v>
      </c>
      <c r="D35" t="s" s="9962">
        <v>239</v>
      </c>
      <c r="E35" t="s" s="9963">
        <v>240</v>
      </c>
      <c r="F35" t="s" s="9964">
        <v>107</v>
      </c>
      <c r="G35" t="n" s="9965">
        <v>42646.0</v>
      </c>
      <c r="H35" t="n" s="9966">
        <v>43397.0</v>
      </c>
      <c r="I35" t="n" s="9967">
        <v>1240.0</v>
      </c>
      <c r="J35" t="n" s="9968">
        <v>100.0</v>
      </c>
      <c r="K35" t="n" s="9969">
        <v>0.0</v>
      </c>
      <c r="L35" t="n" s="9970">
        <v>1350.0</v>
      </c>
      <c r="M35" t="n" s="9971">
        <v>0.0</v>
      </c>
      <c r="N35" t="n" s="9972">
        <v>24.14</v>
      </c>
      <c r="O35" t="n" s="9973">
        <v>60.0</v>
      </c>
      <c r="P35" t="n" s="9974">
        <v>0.0</v>
      </c>
      <c r="Q35" t="n" s="9975">
        <v>14.0</v>
      </c>
      <c r="R35" t="n" s="9976">
        <v>121.1</v>
      </c>
      <c r="S35" t="n" s="9977">
        <v>16.0</v>
      </c>
      <c r="T35" t="n" s="9978">
        <v>184.64</v>
      </c>
      <c r="U35" t="n" s="9979">
        <v>0.0</v>
      </c>
      <c r="V35" t="n" s="9980">
        <v>0.0</v>
      </c>
      <c r="W35" s="9981">
        <f>r35+t35+v35</f>
      </c>
      <c r="X35" t="n" s="9982">
        <v>0.0</v>
      </c>
      <c r="Y35" t="n" s="9983">
        <v>0.0</v>
      </c>
      <c r="Z35" t="n" s="9984">
        <v>0.0</v>
      </c>
      <c r="AA35" s="9985">
        <f>i35+j35+k35+l35+m35+n35+o35+p35+x35+y35+z35</f>
      </c>
      <c r="AB35" t="n" s="9986">
        <v>718.0</v>
      </c>
      <c r="AC35" t="n" s="9987">
        <v>106.9</v>
      </c>
      <c r="AD35" t="n" s="9988">
        <v>12.2</v>
      </c>
      <c r="AE35" t="n" s="9989">
        <v>80.0</v>
      </c>
      <c r="AF35" s="9990">
        <f>ROUND((aa35+ab35+ac35+ad35+ae35),2)</f>
      </c>
      <c r="AG35" s="9991">
        <f>af35*0.06</f>
      </c>
      <c r="AH35" s="9992">
        <f>af35+ag35</f>
      </c>
      <c r="AI35" t="s" s="9993">
        <v>0</v>
      </c>
    </row>
    <row r="36" ht="15.0" customHeight="true">
      <c r="A36" t="s" s="9994">
        <v>241</v>
      </c>
      <c r="B36" t="s" s="9995">
        <v>242</v>
      </c>
      <c r="C36" t="s" s="9996">
        <v>243</v>
      </c>
      <c r="D36" t="s" s="9997">
        <v>244</v>
      </c>
      <c r="E36" t="s" s="9998">
        <v>245</v>
      </c>
      <c r="F36" t="s" s="9999">
        <v>107</v>
      </c>
      <c r="G36" t="n" s="10000">
        <v>42656.0</v>
      </c>
      <c r="H36" t="s" s="10001">
        <v>0</v>
      </c>
      <c r="I36" t="n" s="10002">
        <v>1260.0</v>
      </c>
      <c r="J36" t="n" s="10003">
        <v>100.0</v>
      </c>
      <c r="K36" t="n" s="10004">
        <v>0.0</v>
      </c>
      <c r="L36" t="n" s="10005">
        <v>2300.0</v>
      </c>
      <c r="M36" t="n" s="10006">
        <v>0.0</v>
      </c>
      <c r="N36" t="n" s="10007">
        <v>10.0</v>
      </c>
      <c r="O36" t="n" s="10008">
        <v>60.0</v>
      </c>
      <c r="P36" t="n" s="10009">
        <v>0.0</v>
      </c>
      <c r="Q36" t="n" s="10010">
        <v>0.0</v>
      </c>
      <c r="R36" t="n" s="10011">
        <v>0.0</v>
      </c>
      <c r="S36" t="n" s="10012">
        <v>8.0</v>
      </c>
      <c r="T36" t="n" s="10013">
        <v>92.32</v>
      </c>
      <c r="U36" t="n" s="10014">
        <v>0.0</v>
      </c>
      <c r="V36" t="n" s="10015">
        <v>0.0</v>
      </c>
      <c r="W36" s="10016">
        <f>r36+t36+v36</f>
      </c>
      <c r="X36" t="n" s="10017">
        <v>0.0</v>
      </c>
      <c r="Y36" t="n" s="10018">
        <v>0.0</v>
      </c>
      <c r="Z36" t="n" s="10019">
        <v>0.0</v>
      </c>
      <c r="AA36" s="10020">
        <f>i36+j36+k36+l36+m36+n36+o36+p36+x36+y36+z36</f>
      </c>
      <c r="AB36" t="n" s="10021">
        <v>1108.0</v>
      </c>
      <c r="AC36" t="n" s="10022">
        <v>138.1</v>
      </c>
      <c r="AD36" t="n" s="10023">
        <v>15.8</v>
      </c>
      <c r="AE36" t="n" s="10024">
        <v>80.0</v>
      </c>
      <c r="AF36" s="10025">
        <f>ROUND((aa36+ab36+ac36+ad36+ae36),2)</f>
      </c>
      <c r="AG36" s="10026">
        <f>af36*0.06</f>
      </c>
      <c r="AH36" s="10027">
        <f>af36+ag36</f>
      </c>
      <c r="AI36" t="s" s="10028">
        <v>0</v>
      </c>
    </row>
    <row r="37" ht="15.0" customHeight="true">
      <c r="A37" t="s" s="10029">
        <v>246</v>
      </c>
      <c r="B37" t="s" s="10030">
        <v>247</v>
      </c>
      <c r="C37" t="s" s="10031">
        <v>248</v>
      </c>
      <c r="D37" t="s" s="10032">
        <v>249</v>
      </c>
      <c r="E37" t="s" s="10033">
        <v>250</v>
      </c>
      <c r="F37" t="s" s="10034">
        <v>107</v>
      </c>
      <c r="G37" t="n" s="10035">
        <v>42678.0</v>
      </c>
      <c r="H37" t="s" s="10036">
        <v>0</v>
      </c>
      <c r="I37" t="n" s="10037">
        <v>1340.0</v>
      </c>
      <c r="J37" t="n" s="10038">
        <v>100.0</v>
      </c>
      <c r="K37" t="n" s="10039">
        <v>0.0</v>
      </c>
      <c r="L37" t="n" s="10040">
        <v>1940.0</v>
      </c>
      <c r="M37" t="n" s="10041">
        <v>0.0</v>
      </c>
      <c r="N37" t="n" s="10042">
        <v>21.0</v>
      </c>
      <c r="O37" t="n" s="10043">
        <v>60.0</v>
      </c>
      <c r="P37" t="n" s="10044">
        <v>0.0</v>
      </c>
      <c r="Q37" t="n" s="10045">
        <v>11.0</v>
      </c>
      <c r="R37" t="n" s="10046">
        <v>103.18</v>
      </c>
      <c r="S37" t="n" s="10047">
        <v>8.0</v>
      </c>
      <c r="T37" t="n" s="10048">
        <v>100.0</v>
      </c>
      <c r="U37" t="n" s="10049">
        <v>0.0</v>
      </c>
      <c r="V37" t="n" s="10050">
        <v>0.0</v>
      </c>
      <c r="W37" s="10051">
        <f>r37+t37+v37</f>
      </c>
      <c r="X37" t="n" s="10052">
        <v>0.0</v>
      </c>
      <c r="Y37" t="n" s="10053">
        <v>0.0</v>
      </c>
      <c r="Z37" t="n" s="10054">
        <v>0.0</v>
      </c>
      <c r="AA37" s="10055">
        <f>i37+j37+k37+l37+m37+n37+o37+p37+x37+y37+z37</f>
      </c>
      <c r="AB37" t="n" s="10056">
        <v>896.0</v>
      </c>
      <c r="AC37" t="n" s="10057">
        <v>127.7</v>
      </c>
      <c r="AD37" t="n" s="10058">
        <v>14.6</v>
      </c>
      <c r="AE37" t="n" s="10059">
        <v>80.0</v>
      </c>
      <c r="AF37" s="10060">
        <f>ROUND((aa37+ab37+ac37+ad37+ae37),2)</f>
      </c>
      <c r="AG37" s="10061">
        <f>af37*0.06</f>
      </c>
      <c r="AH37" s="10062">
        <f>af37+ag37</f>
      </c>
      <c r="AI37" t="s" s="10063">
        <v>0</v>
      </c>
    </row>
    <row r="38" ht="15.0" customHeight="true">
      <c r="A38" t="s" s="10064">
        <v>0</v>
      </c>
      <c r="B38" t="s" s="10065">
        <v>0</v>
      </c>
      <c r="C38" t="s" s="10066">
        <v>0</v>
      </c>
      <c r="D38" t="s" s="10067">
        <v>0</v>
      </c>
      <c r="E38" t="s" s="10068">
        <v>0</v>
      </c>
      <c r="F38" t="s" s="10069">
        <v>0</v>
      </c>
      <c r="G38" t="s" s="10070">
        <v>0</v>
      </c>
      <c r="H38" t="s" s="10071">
        <v>0</v>
      </c>
      <c r="I38" s="10072">
        <f>SUM(i8:i37)</f>
      </c>
      <c r="J38" s="10073">
        <f>SUM(j8:j37)</f>
      </c>
      <c r="K38" s="10074">
        <f>SUM(k8:k37)</f>
      </c>
      <c r="L38" s="10075">
        <f>SUM(l8:l37)</f>
      </c>
      <c r="M38" s="10076">
        <f>SUM(m8:m37)</f>
      </c>
      <c r="N38" s="10077">
        <f>SUM(n8:n37)</f>
      </c>
      <c r="O38" s="10078">
        <f>SUM(o8:o37)</f>
      </c>
      <c r="P38" s="10079">
        <f>SUM(p8:p37)</f>
      </c>
      <c r="Q38" s="10080">
        <f>SUM(q8:q37)</f>
      </c>
      <c r="R38" s="10081">
        <f>SUM(r8:r37)</f>
      </c>
      <c r="S38" s="10082">
        <f>SUM(s8:s37)</f>
      </c>
      <c r="T38" s="10083">
        <f>SUM(t8:t37)</f>
      </c>
      <c r="U38" s="10084">
        <f>SUM(u8:u37)</f>
      </c>
      <c r="V38" s="10085">
        <f>SUM(v8:v37)</f>
      </c>
      <c r="W38" s="10086">
        <f>SUM(w8:w37)</f>
      </c>
      <c r="X38" s="10087">
        <f>SUM(x8:x37)</f>
      </c>
      <c r="Y38" s="10088">
        <f>SUM(y8:y37)</f>
      </c>
      <c r="Z38" s="10089">
        <f>SUM(z8:z37)</f>
      </c>
      <c r="AA38" s="10090">
        <f>SUM(aa8:aa37)</f>
      </c>
      <c r="AB38" s="10091">
        <f>SUM(ab8:ab37)</f>
      </c>
      <c r="AC38" s="10092">
        <f>SUM(ac8:ac37)</f>
      </c>
      <c r="AD38" s="10093">
        <f>SUM(ad8:ad37)</f>
      </c>
      <c r="AE38" s="10094">
        <f>SUM(ae8:ae37)</f>
      </c>
      <c r="AF38" s="10095">
        <f>SUM(af8:af37)</f>
      </c>
      <c r="AG38" s="10096">
        <f>SUM(ag8:ag37)</f>
      </c>
      <c r="AH38" s="10097">
        <f>SUM(ah8:ah37)</f>
      </c>
      <c r="AI38" t="s" s="10098">
        <v>0</v>
      </c>
    </row>
    <row r="39" ht="15.0" customHeight="true"/>
    <row r="40" ht="15.0" customHeight="true">
      <c r="A40" t="s" s="10099">
        <v>0</v>
      </c>
      <c r="B40" t="s" s="10100">
        <v>0</v>
      </c>
      <c r="C40" t="s" s="10101">
        <v>0</v>
      </c>
      <c r="D40" t="s" s="10102">
        <v>703</v>
      </c>
    </row>
    <row r="41" ht="15.0" customHeight="true">
      <c r="D41" s="10103">
        <f>COUNTA(A8:A37)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0104">
        <v>0</v>
      </c>
      <c r="B1" t="s" s="10105">
        <v>0</v>
      </c>
      <c r="C1" t="s" s="10106">
        <v>0</v>
      </c>
      <c r="D1" t="s" s="10107">
        <v>1</v>
      </c>
    </row>
    <row r="2" ht="15.0" customHeight="true">
      <c r="A2" t="s" s="10108">
        <v>0</v>
      </c>
      <c r="B2" t="s" s="10109">
        <v>0</v>
      </c>
      <c r="C2" t="s" s="10110">
        <v>0</v>
      </c>
      <c r="D2" t="s" s="10111">
        <v>2</v>
      </c>
    </row>
    <row r="3" ht="15.0" customHeight="true">
      <c r="A3" t="s" s="10112">
        <v>0</v>
      </c>
      <c r="B3" t="s" s="10113">
        <v>0</v>
      </c>
      <c r="C3" t="s" s="10114">
        <v>0</v>
      </c>
      <c r="D3" t="s" s="10115">
        <v>3</v>
      </c>
    </row>
    <row r="4" ht="15.0" customHeight="true">
      <c r="A4" t="s" s="10116">
        <v>0</v>
      </c>
      <c r="B4" t="s" s="10117">
        <v>0</v>
      </c>
      <c r="C4" t="s" s="10118">
        <v>0</v>
      </c>
      <c r="D4" t="s" s="10119">
        <v>4</v>
      </c>
      <c r="E4" t="s" s="10120">
        <v>0</v>
      </c>
      <c r="F4" t="s" s="10121">
        <v>0</v>
      </c>
      <c r="G4" t="s" s="10122">
        <v>0</v>
      </c>
      <c r="H4" t="s" s="10123">
        <v>0</v>
      </c>
      <c r="I4" t="s" s="10124">
        <v>0</v>
      </c>
      <c r="J4" t="s" s="10125">
        <v>0</v>
      </c>
      <c r="K4" t="s" s="10126">
        <v>0</v>
      </c>
      <c r="L4" t="s" s="10127">
        <v>0</v>
      </c>
      <c r="M4" t="s" s="10128">
        <v>0</v>
      </c>
      <c r="N4" t="s" s="10129">
        <v>0</v>
      </c>
      <c r="O4" t="s" s="10130">
        <v>0</v>
      </c>
      <c r="P4" t="s" s="10131">
        <v>0</v>
      </c>
      <c r="Q4" t="s" s="10132">
        <v>0</v>
      </c>
      <c r="R4" t="s" s="10133">
        <v>0</v>
      </c>
      <c r="S4" t="s" s="10134">
        <v>0</v>
      </c>
      <c r="T4" t="s" s="10135">
        <v>0</v>
      </c>
      <c r="U4" t="s" s="10136">
        <v>0</v>
      </c>
      <c r="V4" t="s" s="10137">
        <v>0</v>
      </c>
      <c r="W4" t="s" s="10138">
        <v>0</v>
      </c>
      <c r="X4" t="s" s="10139">
        <v>0</v>
      </c>
      <c r="Y4" t="s" s="10140">
        <v>0</v>
      </c>
      <c r="Z4" t="s" s="10141">
        <v>0</v>
      </c>
      <c r="AA4" t="s" s="10142">
        <v>0</v>
      </c>
      <c r="AB4" t="s" s="10143">
        <v>0</v>
      </c>
      <c r="AC4" t="s" s="10144">
        <v>5</v>
      </c>
      <c r="AD4" t="n" s="10145">
        <v>2018.0</v>
      </c>
    </row>
    <row r="5" ht="15.0" customHeight="true">
      <c r="A5" t="s" s="10146">
        <v>0</v>
      </c>
      <c r="B5" t="s" s="10147">
        <v>0</v>
      </c>
      <c r="C5" t="s" s="10148">
        <v>0</v>
      </c>
      <c r="D5" t="s" s="10149">
        <v>0</v>
      </c>
      <c r="E5" t="s" s="10150">
        <v>0</v>
      </c>
      <c r="F5" t="s" s="10151">
        <v>0</v>
      </c>
      <c r="G5" t="s" s="10152">
        <v>0</v>
      </c>
      <c r="H5" t="s" s="10153">
        <v>0</v>
      </c>
      <c r="I5" t="s" s="10154">
        <v>0</v>
      </c>
      <c r="J5" t="s" s="10155">
        <v>0</v>
      </c>
      <c r="K5" t="s" s="10156">
        <v>0</v>
      </c>
      <c r="L5" t="s" s="10157">
        <v>0</v>
      </c>
      <c r="M5" t="s" s="10158">
        <v>0</v>
      </c>
      <c r="N5" t="s" s="10159">
        <v>0</v>
      </c>
      <c r="O5" t="s" s="10160">
        <v>0</v>
      </c>
      <c r="P5" t="s" s="10161">
        <v>0</v>
      </c>
      <c r="Q5" t="s" s="10162">
        <v>0</v>
      </c>
      <c r="R5" t="s" s="10163">
        <v>0</v>
      </c>
      <c r="S5" t="s" s="10164">
        <v>0</v>
      </c>
      <c r="T5" t="s" s="10165">
        <v>0</v>
      </c>
      <c r="U5" t="s" s="10166">
        <v>0</v>
      </c>
      <c r="V5" t="s" s="10167">
        <v>0</v>
      </c>
      <c r="W5" t="s" s="10168">
        <v>0</v>
      </c>
      <c r="X5" t="s" s="10169">
        <v>0</v>
      </c>
      <c r="Y5" t="s" s="10170">
        <v>0</v>
      </c>
      <c r="Z5" t="s" s="10171">
        <v>0</v>
      </c>
      <c r="AA5" t="s" s="10172">
        <v>0</v>
      </c>
      <c r="AB5" t="s" s="10173">
        <v>0</v>
      </c>
      <c r="AC5" t="s" s="10174">
        <v>6</v>
      </c>
      <c r="AD5" t="n" s="10175">
        <v>2017.0</v>
      </c>
    </row>
    <row r="6" ht="15.0" customHeight="true"/>
    <row r="7" ht="35.0" customHeight="true">
      <c r="A7" t="s" s="10176">
        <v>7</v>
      </c>
      <c r="B7" t="s" s="10177">
        <v>8</v>
      </c>
      <c r="C7" t="s" s="10178">
        <v>9</v>
      </c>
      <c r="D7" t="s" s="10179">
        <v>10</v>
      </c>
      <c r="E7" t="s" s="10180">
        <v>11</v>
      </c>
      <c r="F7" t="s" s="10181">
        <v>12</v>
      </c>
      <c r="G7" t="s" s="10182">
        <v>13</v>
      </c>
      <c r="H7" t="s" s="10183">
        <v>14</v>
      </c>
      <c r="I7" t="s" s="10184">
        <v>15</v>
      </c>
      <c r="J7" t="s" s="10185">
        <v>16</v>
      </c>
      <c r="K7" t="s" s="10186">
        <v>17</v>
      </c>
      <c r="L7" t="s" s="10187">
        <v>18</v>
      </c>
      <c r="M7" t="s" s="10188">
        <v>19</v>
      </c>
      <c r="N7" t="s" s="10189">
        <v>20</v>
      </c>
      <c r="O7" t="s" s="10190">
        <v>21</v>
      </c>
      <c r="P7" t="s" s="10191">
        <v>22</v>
      </c>
      <c r="Q7" t="s" s="10192">
        <v>23</v>
      </c>
      <c r="R7" t="s" s="10193">
        <v>24</v>
      </c>
      <c r="S7" t="s" s="10194">
        <v>25</v>
      </c>
      <c r="T7" t="s" s="10195">
        <v>26</v>
      </c>
      <c r="U7" t="s" s="10196">
        <v>27</v>
      </c>
      <c r="V7" t="s" s="10197">
        <v>28</v>
      </c>
      <c r="W7" t="s" s="10198">
        <v>29</v>
      </c>
      <c r="X7" t="s" s="10199">
        <v>30</v>
      </c>
      <c r="Y7" t="s" s="10200">
        <v>31</v>
      </c>
      <c r="Z7" t="s" s="10201">
        <v>32</v>
      </c>
      <c r="AA7" t="s" s="10202">
        <v>33</v>
      </c>
      <c r="AB7" t="s" s="10203">
        <v>34</v>
      </c>
      <c r="AC7" t="s" s="10204">
        <v>35</v>
      </c>
      <c r="AD7" t="s" s="10205">
        <v>36</v>
      </c>
      <c r="AE7" t="s" s="10206">
        <v>37</v>
      </c>
      <c r="AF7" t="s" s="10207">
        <v>38</v>
      </c>
      <c r="AG7" t="s" s="10208">
        <v>39</v>
      </c>
      <c r="AH7" t="s" s="10209">
        <v>40</v>
      </c>
      <c r="AI7" t="s" s="10210">
        <v>41</v>
      </c>
    </row>
    <row r="8" ht="15.0" customHeight="true">
      <c r="A8" t="s" s="10211">
        <v>251</v>
      </c>
      <c r="B8" t="s" s="10212">
        <v>252</v>
      </c>
      <c r="C8" t="s" s="10213">
        <v>253</v>
      </c>
      <c r="D8" t="s" s="10214">
        <v>254</v>
      </c>
      <c r="E8" t="s" s="10215">
        <v>255</v>
      </c>
      <c r="F8" t="s" s="10216">
        <v>256</v>
      </c>
      <c r="G8" t="n" s="10217">
        <v>41944.0</v>
      </c>
      <c r="H8" t="s" s="10218">
        <v>0</v>
      </c>
      <c r="I8" t="n" s="10219">
        <v>1300.0</v>
      </c>
      <c r="J8" t="n" s="10220">
        <v>100.0</v>
      </c>
      <c r="K8" t="n" s="10221">
        <v>0.0</v>
      </c>
      <c r="L8" t="n" s="10222">
        <v>20.0</v>
      </c>
      <c r="M8" t="n" s="10223">
        <v>0.0</v>
      </c>
      <c r="N8" t="n" s="10224">
        <v>10.0</v>
      </c>
      <c r="O8" t="n" s="10225">
        <v>60.0</v>
      </c>
      <c r="P8" t="n" s="10226">
        <v>0.0</v>
      </c>
      <c r="Q8" t="n" s="10227">
        <v>0.0</v>
      </c>
      <c r="R8" t="n" s="10228">
        <v>0.0</v>
      </c>
      <c r="S8" t="n" s="10229">
        <v>8.0</v>
      </c>
      <c r="T8" t="n" s="10230">
        <v>93.04</v>
      </c>
      <c r="U8" t="n" s="10231">
        <v>0.0</v>
      </c>
      <c r="V8" t="n" s="10232">
        <v>0.0</v>
      </c>
      <c r="W8" s="10233">
        <f>r8+t8+v8</f>
      </c>
      <c r="X8" t="n" s="10234">
        <v>0.0</v>
      </c>
      <c r="Y8" t="n" s="10235">
        <v>0.0</v>
      </c>
      <c r="Z8" t="n" s="10236">
        <v>0.0</v>
      </c>
      <c r="AA8" s="10237">
        <f>i8+j8+k8+l8+m8+n8+o8+p8+x8+y8+z8</f>
      </c>
      <c r="AB8" t="n" s="10238">
        <v>386.0</v>
      </c>
      <c r="AC8" t="n" s="10239">
        <v>54.3</v>
      </c>
      <c r="AD8" t="n" s="10240">
        <v>6.2</v>
      </c>
      <c r="AE8" t="n" s="10241">
        <v>80.0</v>
      </c>
      <c r="AF8" s="10242">
        <f>ROUND((aa8+ab8+ac8+ad8+ae8),2)</f>
      </c>
      <c r="AG8" s="10243">
        <f>af8*0.06</f>
      </c>
      <c r="AH8" s="10244">
        <f>af8+ag8</f>
      </c>
      <c r="AI8" t="s" s="10245">
        <v>0</v>
      </c>
    </row>
    <row r="9" ht="15.0" customHeight="true">
      <c r="A9" t="s" s="10246">
        <v>257</v>
      </c>
      <c r="B9" t="s" s="10247">
        <v>258</v>
      </c>
      <c r="C9" t="s" s="10248">
        <v>259</v>
      </c>
      <c r="D9" t="s" s="10249">
        <v>260</v>
      </c>
      <c r="E9" t="s" s="10250">
        <v>261</v>
      </c>
      <c r="F9" t="s" s="10251">
        <v>256</v>
      </c>
      <c r="G9" t="n" s="10252">
        <v>41944.0</v>
      </c>
      <c r="H9" t="s" s="10253">
        <v>0</v>
      </c>
      <c r="I9" t="n" s="10254">
        <v>1990.0</v>
      </c>
      <c r="J9" t="n" s="10255">
        <v>100.0</v>
      </c>
      <c r="K9" t="n" s="10256">
        <v>0.0</v>
      </c>
      <c r="L9" t="n" s="10257">
        <v>1120.0</v>
      </c>
      <c r="M9" t="n" s="10258">
        <v>0.0</v>
      </c>
      <c r="N9" t="n" s="10259">
        <v>14.5</v>
      </c>
      <c r="O9" t="n" s="10260">
        <v>60.0</v>
      </c>
      <c r="P9" t="n" s="10261">
        <v>0.0</v>
      </c>
      <c r="Q9" t="n" s="10262">
        <v>8.0</v>
      </c>
      <c r="R9" t="n" s="10263">
        <v>107.92</v>
      </c>
      <c r="S9" t="n" s="10264">
        <v>8.0</v>
      </c>
      <c r="T9" t="n" s="10265">
        <v>143.84</v>
      </c>
      <c r="U9" t="n" s="10266">
        <v>3.0</v>
      </c>
      <c r="V9" t="n" s="10267">
        <v>80.91</v>
      </c>
      <c r="W9" s="10268">
        <f>r9+t9+v9</f>
      </c>
      <c r="X9" t="n" s="10269">
        <v>0.0</v>
      </c>
      <c r="Y9" t="n" s="10270">
        <v>0.0</v>
      </c>
      <c r="Z9" t="n" s="10271">
        <v>0.0</v>
      </c>
      <c r="AA9" s="10272">
        <f>i9+j9+k9+l9+m9+n9+o9+p9+x9+y9+z9</f>
      </c>
      <c r="AB9" t="n" s="10273">
        <v>430.0</v>
      </c>
      <c r="AC9" t="n" s="10274">
        <v>88.8</v>
      </c>
      <c r="AD9" t="n" s="10275">
        <v>0.0</v>
      </c>
      <c r="AE9" t="n" s="10276">
        <v>80.0</v>
      </c>
      <c r="AF9" s="10277">
        <f>ROUND((aa9+ab9+ac9+ad9+ae9),2)</f>
      </c>
      <c r="AG9" s="10278">
        <f>af9*0.06</f>
      </c>
      <c r="AH9" s="10279">
        <f>af9+ag9</f>
      </c>
      <c r="AI9" t="s" s="10280">
        <v>0</v>
      </c>
    </row>
    <row r="10" ht="15.0" customHeight="true">
      <c r="A10" t="s" s="10281">
        <v>262</v>
      </c>
      <c r="B10" t="s" s="10282">
        <v>263</v>
      </c>
      <c r="C10" t="s" s="10283">
        <v>264</v>
      </c>
      <c r="D10" t="s" s="10284">
        <v>265</v>
      </c>
      <c r="E10" t="s" s="10285">
        <v>266</v>
      </c>
      <c r="F10" t="s" s="10286">
        <v>256</v>
      </c>
      <c r="G10" t="n" s="10287">
        <v>41944.0</v>
      </c>
      <c r="H10" t="n" s="10288">
        <v>43220.0</v>
      </c>
      <c r="I10" t="n" s="10289">
        <v>1320.0</v>
      </c>
      <c r="J10" t="n" s="10290">
        <v>100.0</v>
      </c>
      <c r="K10" t="n" s="10291">
        <v>0.0</v>
      </c>
      <c r="L10" t="n" s="10292">
        <v>1312.0</v>
      </c>
      <c r="M10" t="n" s="10293">
        <v>0.0</v>
      </c>
      <c r="N10" t="n" s="10294">
        <v>22.18</v>
      </c>
      <c r="O10" t="n" s="10295">
        <v>60.0</v>
      </c>
      <c r="P10" t="n" s="10296">
        <v>0.0</v>
      </c>
      <c r="Q10" t="n" s="10297">
        <v>9.0</v>
      </c>
      <c r="R10" t="n" s="10298">
        <v>80.46</v>
      </c>
      <c r="S10" t="n" s="10299">
        <v>8.0</v>
      </c>
      <c r="T10" t="n" s="10300">
        <v>95.36</v>
      </c>
      <c r="U10" t="n" s="10301">
        <v>0.0</v>
      </c>
      <c r="V10" t="n" s="10302">
        <v>0.0</v>
      </c>
      <c r="W10" s="10303">
        <f>r10+t10+v10</f>
      </c>
      <c r="X10" t="n" s="10304">
        <v>0.0</v>
      </c>
      <c r="Y10" t="n" s="10305">
        <v>0.0</v>
      </c>
      <c r="Z10" t="n" s="10306">
        <v>0.0</v>
      </c>
      <c r="AA10" s="10307">
        <f>i10+j10+k10+l10+m10+n10+o10+p10+x10+y10+z10</f>
      </c>
      <c r="AB10" t="n" s="10308">
        <v>728.0</v>
      </c>
      <c r="AC10" t="n" s="10309">
        <v>103.3</v>
      </c>
      <c r="AD10" t="n" s="10310">
        <v>11.8</v>
      </c>
      <c r="AE10" t="n" s="10311">
        <v>80.0</v>
      </c>
      <c r="AF10" s="10312">
        <f>ROUND((aa10+ab10+ac10+ad10+ae10),2)</f>
      </c>
      <c r="AG10" s="10313">
        <f>af10*0.06</f>
      </c>
      <c r="AH10" s="10314">
        <f>af10+ag10</f>
      </c>
      <c r="AI10" t="s" s="10315">
        <v>0</v>
      </c>
    </row>
    <row r="11" ht="15.0" customHeight="true">
      <c r="A11" t="s" s="10316">
        <v>267</v>
      </c>
      <c r="B11" t="s" s="10317">
        <v>268</v>
      </c>
      <c r="C11" t="s" s="10318">
        <v>269</v>
      </c>
      <c r="D11" t="s" s="10319">
        <v>270</v>
      </c>
      <c r="E11" t="s" s="10320">
        <v>271</v>
      </c>
      <c r="F11" t="s" s="10321">
        <v>256</v>
      </c>
      <c r="G11" t="n" s="10322">
        <v>41944.0</v>
      </c>
      <c r="H11" t="s" s="10323">
        <v>0</v>
      </c>
      <c r="I11" t="n" s="10324">
        <v>1280.0</v>
      </c>
      <c r="J11" t="n" s="10325">
        <v>100.0</v>
      </c>
      <c r="K11" t="n" s="10326">
        <v>0.0</v>
      </c>
      <c r="L11" t="n" s="10327">
        <v>536.0</v>
      </c>
      <c r="M11" t="n" s="10328">
        <v>0.0</v>
      </c>
      <c r="N11" t="n" s="10329">
        <v>10.0</v>
      </c>
      <c r="O11" t="n" s="10330">
        <v>60.0</v>
      </c>
      <c r="P11" t="n" s="10331">
        <v>0.0</v>
      </c>
      <c r="Q11" t="n" s="10332">
        <v>0.0</v>
      </c>
      <c r="R11" t="n" s="10333">
        <v>0.0</v>
      </c>
      <c r="S11" t="n" s="10334">
        <v>8.0</v>
      </c>
      <c r="T11" t="n" s="10335">
        <v>92.32</v>
      </c>
      <c r="U11" t="n" s="10336">
        <v>0.0</v>
      </c>
      <c r="V11" t="n" s="10337">
        <v>0.0</v>
      </c>
      <c r="W11" s="10338">
        <f>r11+t11+v11</f>
      </c>
      <c r="X11" t="n" s="10339">
        <v>0.0</v>
      </c>
      <c r="Y11" t="n" s="10340">
        <v>0.0</v>
      </c>
      <c r="Z11" t="n" s="10341">
        <v>0.0</v>
      </c>
      <c r="AA11" s="10342">
        <f>i11+j11+k11+l11+m11+n11+o11+p11+x11+y11+z11</f>
      </c>
      <c r="AB11" t="n" s="10343">
        <v>516.0</v>
      </c>
      <c r="AC11" t="n" s="10344">
        <v>71.7</v>
      </c>
      <c r="AD11" t="n" s="10345">
        <v>8.2</v>
      </c>
      <c r="AE11" t="n" s="10346">
        <v>80.0</v>
      </c>
      <c r="AF11" s="10347">
        <f>ROUND((aa11+ab11+ac11+ad11+ae11),2)</f>
      </c>
      <c r="AG11" s="10348">
        <f>af11*0.06</f>
      </c>
      <c r="AH11" s="10349">
        <f>af11+ag11</f>
      </c>
      <c r="AI11" t="s" s="10350">
        <v>0</v>
      </c>
    </row>
    <row r="12" ht="15.0" customHeight="true">
      <c r="A12" t="s" s="10351">
        <v>272</v>
      </c>
      <c r="B12" t="s" s="10352">
        <v>273</v>
      </c>
      <c r="C12" t="s" s="10353">
        <v>274</v>
      </c>
      <c r="D12" t="s" s="10354">
        <v>275</v>
      </c>
      <c r="E12" t="s" s="10355">
        <v>276</v>
      </c>
      <c r="F12" t="s" s="10356">
        <v>256</v>
      </c>
      <c r="G12" t="n" s="10357">
        <v>41944.0</v>
      </c>
      <c r="H12" t="s" s="10358">
        <v>0</v>
      </c>
      <c r="I12" t="n" s="10359">
        <v>1280.0</v>
      </c>
      <c r="J12" t="n" s="10360">
        <v>100.0</v>
      </c>
      <c r="K12" t="n" s="10361">
        <v>0.0</v>
      </c>
      <c r="L12" t="n" s="10362">
        <v>1850.0</v>
      </c>
      <c r="M12" t="n" s="10363">
        <v>0.0</v>
      </c>
      <c r="N12" t="n" s="10364">
        <v>18.0</v>
      </c>
      <c r="O12" t="n" s="10365">
        <v>60.0</v>
      </c>
      <c r="P12" t="n" s="10366">
        <v>0.0</v>
      </c>
      <c r="Q12" t="n" s="10367">
        <v>0.0</v>
      </c>
      <c r="R12" t="n" s="10368">
        <v>0.0</v>
      </c>
      <c r="S12" t="n" s="10369">
        <v>8.0</v>
      </c>
      <c r="T12" t="n" s="10370">
        <v>92.32</v>
      </c>
      <c r="U12" t="n" s="10371">
        <v>0.0</v>
      </c>
      <c r="V12" t="n" s="10372">
        <v>0.0</v>
      </c>
      <c r="W12" s="10373">
        <f>r12+t12+v12</f>
      </c>
      <c r="X12" t="n" s="10374">
        <v>0.0</v>
      </c>
      <c r="Y12" t="n" s="10375">
        <v>0.0</v>
      </c>
      <c r="Z12" t="n" s="10376">
        <v>0.0</v>
      </c>
      <c r="AA12" s="10377">
        <f>i12+j12+k12+l12+m12+n12+o12+p12+x12+y12+z12</f>
      </c>
      <c r="AB12" t="n" s="10378">
        <v>858.0</v>
      </c>
      <c r="AC12" t="n" s="10379">
        <v>117.3</v>
      </c>
      <c r="AD12" t="n" s="10380">
        <v>13.4</v>
      </c>
      <c r="AE12" t="n" s="10381">
        <v>80.0</v>
      </c>
      <c r="AF12" s="10382">
        <f>ROUND((aa12+ab12+ac12+ad12+ae12),2)</f>
      </c>
      <c r="AG12" s="10383">
        <f>af12*0.06</f>
      </c>
      <c r="AH12" s="10384">
        <f>af12+ag12</f>
      </c>
      <c r="AI12" t="s" s="10385">
        <v>0</v>
      </c>
    </row>
    <row r="13" ht="15.0" customHeight="true">
      <c r="A13" t="s" s="10386">
        <v>277</v>
      </c>
      <c r="B13" t="s" s="10387">
        <v>278</v>
      </c>
      <c r="C13" t="s" s="10388">
        <v>279</v>
      </c>
      <c r="D13" t="s" s="10389">
        <v>280</v>
      </c>
      <c r="E13" t="s" s="10390">
        <v>281</v>
      </c>
      <c r="F13" t="s" s="10391">
        <v>256</v>
      </c>
      <c r="G13" t="n" s="10392">
        <v>41944.0</v>
      </c>
      <c r="H13" t="s" s="10393">
        <v>0</v>
      </c>
      <c r="I13" t="n" s="10394">
        <v>1280.0</v>
      </c>
      <c r="J13" t="n" s="10395">
        <v>100.0</v>
      </c>
      <c r="K13" t="n" s="10396">
        <v>0.0</v>
      </c>
      <c r="L13" t="n" s="10397">
        <v>1920.0</v>
      </c>
      <c r="M13" t="n" s="10398">
        <v>0.0</v>
      </c>
      <c r="N13" t="n" s="10399">
        <v>10.0</v>
      </c>
      <c r="O13" t="n" s="10400">
        <v>60.0</v>
      </c>
      <c r="P13" t="n" s="10401">
        <v>0.0</v>
      </c>
      <c r="Q13" t="n" s="10402">
        <v>1.0</v>
      </c>
      <c r="R13" t="n" s="10403">
        <v>8.65</v>
      </c>
      <c r="S13" t="n" s="10404">
        <v>8.0</v>
      </c>
      <c r="T13" t="n" s="10405">
        <v>92.32</v>
      </c>
      <c r="U13" t="n" s="10406">
        <v>3.0</v>
      </c>
      <c r="V13" t="n" s="10407">
        <v>51.93</v>
      </c>
      <c r="W13" s="10408">
        <f>r13+t13+v13</f>
      </c>
      <c r="X13" t="n" s="10409">
        <v>0.0</v>
      </c>
      <c r="Y13" t="n" s="10410">
        <v>0.0</v>
      </c>
      <c r="Z13" t="n" s="10411">
        <v>0.0</v>
      </c>
      <c r="AA13" s="10412">
        <f>i13+j13+k13+l13+m13+n13+o13+p13+x13+y13+z13</f>
      </c>
      <c r="AB13" t="n" s="10413">
        <v>874.0</v>
      </c>
      <c r="AC13" t="n" s="10414">
        <v>124.3</v>
      </c>
      <c r="AD13" t="n" s="10415">
        <v>14.2</v>
      </c>
      <c r="AE13" t="n" s="10416">
        <v>80.0</v>
      </c>
      <c r="AF13" s="10417">
        <f>ROUND((aa13+ab13+ac13+ad13+ae13),2)</f>
      </c>
      <c r="AG13" s="10418">
        <f>af13*0.06</f>
      </c>
      <c r="AH13" s="10419">
        <f>af13+ag13</f>
      </c>
      <c r="AI13" t="s" s="10420">
        <v>0</v>
      </c>
    </row>
    <row r="14" ht="15.0" customHeight="true">
      <c r="A14" t="s" s="10421">
        <v>282</v>
      </c>
      <c r="B14" t="s" s="10422">
        <v>283</v>
      </c>
      <c r="C14" t="s" s="10423">
        <v>284</v>
      </c>
      <c r="D14" t="s" s="10424">
        <v>285</v>
      </c>
      <c r="E14" t="s" s="10425">
        <v>286</v>
      </c>
      <c r="F14" t="s" s="10426">
        <v>256</v>
      </c>
      <c r="G14" t="n" s="10427">
        <v>41944.0</v>
      </c>
      <c r="H14" t="s" s="10428">
        <v>0</v>
      </c>
      <c r="I14" t="n" s="10429">
        <v>1320.0</v>
      </c>
      <c r="J14" t="n" s="10430">
        <v>100.0</v>
      </c>
      <c r="K14" t="n" s="10431">
        <v>0.0</v>
      </c>
      <c r="L14" t="n" s="10432">
        <v>1766.0</v>
      </c>
      <c r="M14" t="n" s="10433">
        <v>0.0</v>
      </c>
      <c r="N14" t="n" s="10434">
        <v>10.0</v>
      </c>
      <c r="O14" t="n" s="10435">
        <v>60.0</v>
      </c>
      <c r="P14" t="n" s="10436">
        <v>0.0</v>
      </c>
      <c r="Q14" t="n" s="10437">
        <v>0.0</v>
      </c>
      <c r="R14" t="n" s="10438">
        <v>0.0</v>
      </c>
      <c r="S14" t="n" s="10439">
        <v>8.0</v>
      </c>
      <c r="T14" t="n" s="10440">
        <v>96.96</v>
      </c>
      <c r="U14" t="n" s="10441">
        <v>0.0</v>
      </c>
      <c r="V14" t="n" s="10442">
        <v>0.0</v>
      </c>
      <c r="W14" s="10443">
        <f>r14+t14+v14</f>
      </c>
      <c r="X14" t="n" s="10444">
        <v>0.0</v>
      </c>
      <c r="Y14" t="n" s="10445">
        <v>0.0</v>
      </c>
      <c r="Z14" t="n" s="10446">
        <v>0.0</v>
      </c>
      <c r="AA14" s="10447">
        <f>i14+j14+k14+l14+m14+n14+o14+p14+x14+y14+z14</f>
      </c>
      <c r="AB14" t="n" s="10448">
        <v>848.0</v>
      </c>
      <c r="AC14" t="n" s="10449">
        <v>117.1</v>
      </c>
      <c r="AD14" t="n" s="10450">
        <v>13.4</v>
      </c>
      <c r="AE14" t="n" s="10451">
        <v>80.0</v>
      </c>
      <c r="AF14" s="10452">
        <f>ROUND((aa14+ab14+ac14+ad14+ae14),2)</f>
      </c>
      <c r="AG14" s="10453">
        <f>af14*0.06</f>
      </c>
      <c r="AH14" s="10454">
        <f>af14+ag14</f>
      </c>
      <c r="AI14" t="s" s="10455">
        <v>0</v>
      </c>
    </row>
    <row r="15" ht="15.0" customHeight="true">
      <c r="A15" t="s" s="10456">
        <v>287</v>
      </c>
      <c r="B15" t="s" s="10457">
        <v>288</v>
      </c>
      <c r="C15" t="s" s="10458">
        <v>289</v>
      </c>
      <c r="D15" t="s" s="10459">
        <v>290</v>
      </c>
      <c r="E15" t="s" s="10460">
        <v>291</v>
      </c>
      <c r="F15" t="s" s="10461">
        <v>256</v>
      </c>
      <c r="G15" t="n" s="10462">
        <v>41944.0</v>
      </c>
      <c r="H15" t="s" s="10463">
        <v>0</v>
      </c>
      <c r="I15" t="n" s="10464">
        <v>1460.0</v>
      </c>
      <c r="J15" t="n" s="10465">
        <v>100.0</v>
      </c>
      <c r="K15" t="n" s="10466">
        <v>0.0</v>
      </c>
      <c r="L15" t="n" s="10467">
        <v>652.0</v>
      </c>
      <c r="M15" t="n" s="10468">
        <v>0.0</v>
      </c>
      <c r="N15" t="n" s="10469">
        <v>10.0</v>
      </c>
      <c r="O15" t="n" s="10470">
        <v>60.0</v>
      </c>
      <c r="P15" t="n" s="10471">
        <v>0.0</v>
      </c>
      <c r="Q15" t="n" s="10472">
        <v>0.0</v>
      </c>
      <c r="R15" t="n" s="10473">
        <v>0.0</v>
      </c>
      <c r="S15" t="n" s="10474">
        <v>8.0</v>
      </c>
      <c r="T15" t="n" s="10475">
        <v>105.36</v>
      </c>
      <c r="U15" t="n" s="10476">
        <v>0.0</v>
      </c>
      <c r="V15" t="n" s="10477">
        <v>0.0</v>
      </c>
      <c r="W15" s="10478">
        <f>r15+t15+v15</f>
      </c>
      <c r="X15" t="n" s="10479">
        <v>0.0</v>
      </c>
      <c r="Y15" t="n" s="10480">
        <v>0.0</v>
      </c>
      <c r="Z15" t="n" s="10481">
        <v>0.0</v>
      </c>
      <c r="AA15" s="10482">
        <f>i15+j15+k15+l15+m15+n15+o15+p15+x15+y15+z15</f>
      </c>
      <c r="AB15" t="n" s="10483">
        <v>594.0</v>
      </c>
      <c r="AC15" t="n" s="10484">
        <v>82.3</v>
      </c>
      <c r="AD15" t="n" s="10485">
        <v>9.4</v>
      </c>
      <c r="AE15" t="n" s="10486">
        <v>80.0</v>
      </c>
      <c r="AF15" s="10487">
        <f>ROUND((aa15+ab15+ac15+ad15+ae15),2)</f>
      </c>
      <c r="AG15" s="10488">
        <f>af15*0.06</f>
      </c>
      <c r="AH15" s="10489">
        <f>af15+ag15</f>
      </c>
      <c r="AI15" t="s" s="10490">
        <v>0</v>
      </c>
    </row>
    <row r="16" ht="15.0" customHeight="true">
      <c r="A16" t="s" s="10491">
        <v>292</v>
      </c>
      <c r="B16" t="s" s="10492">
        <v>293</v>
      </c>
      <c r="C16" t="s" s="10493">
        <v>294</v>
      </c>
      <c r="D16" t="s" s="10494">
        <v>295</v>
      </c>
      <c r="E16" t="s" s="10495">
        <v>296</v>
      </c>
      <c r="F16" t="s" s="10496">
        <v>256</v>
      </c>
      <c r="G16" t="n" s="10497">
        <v>41944.0</v>
      </c>
      <c r="H16" t="s" s="10498">
        <v>0</v>
      </c>
      <c r="I16" t="n" s="10499">
        <v>1370.0</v>
      </c>
      <c r="J16" t="n" s="10500">
        <v>100.0</v>
      </c>
      <c r="K16" t="n" s="10501">
        <v>0.0</v>
      </c>
      <c r="L16" t="n" s="10502">
        <v>154.0</v>
      </c>
      <c r="M16" t="n" s="10503">
        <v>0.0</v>
      </c>
      <c r="N16" t="n" s="10504">
        <v>10.0</v>
      </c>
      <c r="O16" t="n" s="10505">
        <v>60.0</v>
      </c>
      <c r="P16" t="n" s="10506">
        <v>0.0</v>
      </c>
      <c r="Q16" t="n" s="10507">
        <v>2.0</v>
      </c>
      <c r="R16" t="n" s="10508">
        <v>18.6</v>
      </c>
      <c r="S16" t="n" s="10509">
        <v>8.0</v>
      </c>
      <c r="T16" t="n" s="10510">
        <v>99.2</v>
      </c>
      <c r="U16" t="n" s="10511">
        <v>0.0</v>
      </c>
      <c r="V16" t="n" s="10512">
        <v>0.0</v>
      </c>
      <c r="W16" s="10513">
        <f>r16+t16+v16</f>
      </c>
      <c r="X16" t="n" s="10514">
        <v>0.0</v>
      </c>
      <c r="Y16" t="n" s="10515">
        <v>0.0</v>
      </c>
      <c r="Z16" t="n" s="10516">
        <v>0.0</v>
      </c>
      <c r="AA16" s="10517">
        <f>i16+j16+k16+l16+m16+n16+o16+p16+x16+y16+z16</f>
      </c>
      <c r="AB16" t="n" s="10518">
        <v>442.0</v>
      </c>
      <c r="AC16" t="n" s="10519">
        <v>64.7</v>
      </c>
      <c r="AD16" t="n" s="10520">
        <v>7.4</v>
      </c>
      <c r="AE16" t="n" s="10521">
        <v>80.0</v>
      </c>
      <c r="AF16" s="10522">
        <f>ROUND((aa16+ab16+ac16+ad16+ae16),2)</f>
      </c>
      <c r="AG16" s="10523">
        <f>af16*0.06</f>
      </c>
      <c r="AH16" s="10524">
        <f>af16+ag16</f>
      </c>
      <c r="AI16" t="s" s="10525">
        <v>0</v>
      </c>
    </row>
    <row r="17" ht="15.0" customHeight="true">
      <c r="A17" t="s" s="10526">
        <v>297</v>
      </c>
      <c r="B17" t="s" s="10527">
        <v>298</v>
      </c>
      <c r="C17" t="s" s="10528">
        <v>299</v>
      </c>
      <c r="D17" t="s" s="10529">
        <v>300</v>
      </c>
      <c r="E17" t="s" s="10530">
        <v>301</v>
      </c>
      <c r="F17" t="s" s="10531">
        <v>256</v>
      </c>
      <c r="G17" t="n" s="10532">
        <v>42684.0</v>
      </c>
      <c r="H17" t="s" s="10533">
        <v>0</v>
      </c>
      <c r="I17" t="n" s="10534">
        <v>1280.0</v>
      </c>
      <c r="J17" t="n" s="10535">
        <v>100.0</v>
      </c>
      <c r="K17" t="n" s="10536">
        <v>0.0</v>
      </c>
      <c r="L17" t="n" s="10537">
        <v>0.0</v>
      </c>
      <c r="M17" t="n" s="10538">
        <v>0.0</v>
      </c>
      <c r="N17" t="n" s="10539">
        <v>10.0</v>
      </c>
      <c r="O17" t="n" s="10540">
        <v>60.0</v>
      </c>
      <c r="P17" t="n" s="10541">
        <v>0.0</v>
      </c>
      <c r="Q17" t="n" s="10542">
        <v>0.0</v>
      </c>
      <c r="R17" t="n" s="10543">
        <v>0.0</v>
      </c>
      <c r="S17" t="n" s="10544">
        <v>8.0</v>
      </c>
      <c r="T17" t="n" s="10545">
        <v>92.32</v>
      </c>
      <c r="U17" t="n" s="10546">
        <v>0.0</v>
      </c>
      <c r="V17" t="n" s="10547">
        <v>0.0</v>
      </c>
      <c r="W17" s="10548">
        <f>r17+t17+v17</f>
      </c>
      <c r="X17" t="n" s="10549">
        <v>0.0</v>
      </c>
      <c r="Y17" t="n" s="10550">
        <v>0.0</v>
      </c>
      <c r="Z17" t="n" s="10551">
        <v>0.0</v>
      </c>
      <c r="AA17" s="10552">
        <f>i17+j17+k17+l17+m17+n17+o17+p17+x17+y17+z17</f>
      </c>
      <c r="AB17" t="n" s="10553">
        <v>376.0</v>
      </c>
      <c r="AC17" t="n" s="10554">
        <v>54.1</v>
      </c>
      <c r="AD17" t="n" s="10555">
        <v>6.2</v>
      </c>
      <c r="AE17" t="n" s="10556">
        <v>80.0</v>
      </c>
      <c r="AF17" s="10557">
        <f>ROUND((aa17+ab17+ac17+ad17+ae17),2)</f>
      </c>
      <c r="AG17" s="10558">
        <f>af17*0.06</f>
      </c>
      <c r="AH17" s="10559">
        <f>af17+ag17</f>
      </c>
      <c r="AI17" t="s" s="10560">
        <v>0</v>
      </c>
    </row>
    <row r="18" ht="15.0" customHeight="true">
      <c r="A18" t="s" s="10561">
        <v>302</v>
      </c>
      <c r="B18" t="s" s="10562">
        <v>303</v>
      </c>
      <c r="C18" t="s" s="10563">
        <v>304</v>
      </c>
      <c r="D18" t="s" s="10564">
        <v>305</v>
      </c>
      <c r="E18" t="s" s="10565">
        <v>306</v>
      </c>
      <c r="F18" t="s" s="10566">
        <v>256</v>
      </c>
      <c r="G18" t="n" s="10567">
        <v>42733.0</v>
      </c>
      <c r="H18" t="s" s="10568">
        <v>0</v>
      </c>
      <c r="I18" t="n" s="10569">
        <v>1290.0</v>
      </c>
      <c r="J18" t="n" s="10570">
        <v>100.0</v>
      </c>
      <c r="K18" t="n" s="10571">
        <v>0.0</v>
      </c>
      <c r="L18" t="n" s="10572">
        <v>2112.0</v>
      </c>
      <c r="M18" t="n" s="10573">
        <v>0.0</v>
      </c>
      <c r="N18" t="n" s="10574">
        <v>10.0</v>
      </c>
      <c r="O18" t="n" s="10575">
        <v>60.0</v>
      </c>
      <c r="P18" t="n" s="10576">
        <v>0.0</v>
      </c>
      <c r="Q18" t="n" s="10577">
        <v>0.0</v>
      </c>
      <c r="R18" t="n" s="10578">
        <v>0.0</v>
      </c>
      <c r="S18" t="n" s="10579">
        <v>8.0</v>
      </c>
      <c r="T18" t="n" s="10580">
        <v>92.32</v>
      </c>
      <c r="U18" t="n" s="10581">
        <v>0.0</v>
      </c>
      <c r="V18" t="n" s="10582">
        <v>0.0</v>
      </c>
      <c r="W18" s="10583">
        <f>r18+t18+v18</f>
      </c>
      <c r="X18" t="n" s="10584">
        <v>0.0</v>
      </c>
      <c r="Y18" t="n" s="10585">
        <v>0.0</v>
      </c>
      <c r="Z18" t="n" s="10586">
        <v>0.0</v>
      </c>
      <c r="AA18" s="10587">
        <f>i18+j18+k18+l18+m18+n18+o18+p18+x18+y18+z18</f>
      </c>
      <c r="AB18" t="n" s="10588">
        <v>932.0</v>
      </c>
      <c r="AC18" t="n" s="10589">
        <v>124.3</v>
      </c>
      <c r="AD18" t="n" s="10590">
        <v>14.2</v>
      </c>
      <c r="AE18" t="n" s="10591">
        <v>80.0</v>
      </c>
      <c r="AF18" s="10592">
        <f>ROUND((aa18+ab18+ac18+ad18+ae18),2)</f>
      </c>
      <c r="AG18" s="10593">
        <f>af18*0.06</f>
      </c>
      <c r="AH18" s="10594">
        <f>af18+ag18</f>
      </c>
      <c r="AI18" t="s" s="10595">
        <v>0</v>
      </c>
    </row>
    <row r="19" ht="15.0" customHeight="true">
      <c r="A19" t="s" s="10596">
        <v>307</v>
      </c>
      <c r="B19" t="s" s="10597">
        <v>308</v>
      </c>
      <c r="C19" t="s" s="10598">
        <v>309</v>
      </c>
      <c r="D19" t="s" s="10599">
        <v>310</v>
      </c>
      <c r="E19" t="s" s="10600">
        <v>311</v>
      </c>
      <c r="F19" t="s" s="10601">
        <v>256</v>
      </c>
      <c r="G19" t="n" s="10602">
        <v>42767.0</v>
      </c>
      <c r="H19" t="s" s="10603">
        <v>0</v>
      </c>
      <c r="I19" t="n" s="10604">
        <v>1280.0</v>
      </c>
      <c r="J19" t="n" s="10605">
        <v>100.0</v>
      </c>
      <c r="K19" t="n" s="10606">
        <v>0.0</v>
      </c>
      <c r="L19" t="n" s="10607">
        <v>812.0</v>
      </c>
      <c r="M19" t="n" s="10608">
        <v>0.0</v>
      </c>
      <c r="N19" t="n" s="10609">
        <v>14.5</v>
      </c>
      <c r="O19" t="n" s="10610">
        <v>60.0</v>
      </c>
      <c r="P19" t="n" s="10611">
        <v>0.0</v>
      </c>
      <c r="Q19" t="n" s="10612">
        <v>0.0</v>
      </c>
      <c r="R19" t="n" s="10613">
        <v>0.0</v>
      </c>
      <c r="S19" t="n" s="10614">
        <v>8.0</v>
      </c>
      <c r="T19" t="n" s="10615">
        <v>92.32</v>
      </c>
      <c r="U19" t="n" s="10616">
        <v>0.0</v>
      </c>
      <c r="V19" t="n" s="10617">
        <v>0.0</v>
      </c>
      <c r="W19" s="10618">
        <f>r19+t19+v19</f>
      </c>
      <c r="X19" t="n" s="10619">
        <v>0.0</v>
      </c>
      <c r="Y19" t="n" s="10620">
        <v>0.0</v>
      </c>
      <c r="Z19" t="n" s="10621">
        <v>0.0</v>
      </c>
      <c r="AA19" s="10622">
        <f>i19+j19+k19+l19+m19+n19+o19+p19+x19+y19+z19</f>
      </c>
      <c r="AB19" t="n" s="10623">
        <v>588.0</v>
      </c>
      <c r="AC19" t="n" s="10624">
        <v>82.1</v>
      </c>
      <c r="AD19" t="n" s="10625">
        <v>9.4</v>
      </c>
      <c r="AE19" t="n" s="10626">
        <v>80.0</v>
      </c>
      <c r="AF19" s="10627">
        <f>ROUND((aa19+ab19+ac19+ad19+ae19),2)</f>
      </c>
      <c r="AG19" s="10628">
        <f>af19*0.06</f>
      </c>
      <c r="AH19" s="10629">
        <f>af19+ag19</f>
      </c>
      <c r="AI19" t="s" s="10630">
        <v>0</v>
      </c>
    </row>
    <row r="20" ht="15.0" customHeight="true">
      <c r="A20" t="s" s="10631">
        <v>312</v>
      </c>
      <c r="B20" t="s" s="10632">
        <v>0</v>
      </c>
      <c r="C20" t="s" s="10633">
        <v>313</v>
      </c>
      <c r="D20" t="s" s="10634">
        <v>314</v>
      </c>
      <c r="E20" t="s" s="10635">
        <v>315</v>
      </c>
      <c r="F20" t="s" s="10636">
        <v>256</v>
      </c>
      <c r="G20" t="n" s="10637">
        <v>42990.0</v>
      </c>
      <c r="H20" t="s" s="10638">
        <v>0</v>
      </c>
      <c r="I20" t="n" s="10639">
        <v>1200.0</v>
      </c>
      <c r="J20" t="n" s="10640">
        <v>100.0</v>
      </c>
      <c r="K20" t="n" s="10641">
        <v>0.0</v>
      </c>
      <c r="L20" t="n" s="10642">
        <v>150.0</v>
      </c>
      <c r="M20" t="n" s="10643">
        <v>0.0</v>
      </c>
      <c r="N20" t="n" s="10644">
        <v>10.0</v>
      </c>
      <c r="O20" t="n" s="10645">
        <v>60.0</v>
      </c>
      <c r="P20" t="n" s="10646">
        <v>0.0</v>
      </c>
      <c r="Q20" t="n" s="10647">
        <v>0.0</v>
      </c>
      <c r="R20" t="n" s="10648">
        <v>0.0</v>
      </c>
      <c r="S20" t="n" s="10649">
        <v>8.0</v>
      </c>
      <c r="T20" t="n" s="10650">
        <v>92.32</v>
      </c>
      <c r="U20" t="n" s="10651">
        <v>0.0</v>
      </c>
      <c r="V20" t="n" s="10652">
        <v>0.0</v>
      </c>
      <c r="W20" s="10653">
        <f>r20+t20+v20</f>
      </c>
      <c r="X20" t="n" s="10654">
        <v>0.0</v>
      </c>
      <c r="Y20" t="n" s="10655">
        <v>0.0</v>
      </c>
      <c r="Z20" t="n" s="10656">
        <v>0.0</v>
      </c>
      <c r="AA20" s="10657">
        <f>i20+j20+k20+l20+m20+n20+o20+p20+x20+y20+z20</f>
      </c>
      <c r="AB20" t="n" s="10658">
        <v>198.0</v>
      </c>
      <c r="AC20" t="n" s="10659">
        <v>28.85</v>
      </c>
      <c r="AD20" t="n" s="10660">
        <v>3.3</v>
      </c>
      <c r="AE20" t="n" s="10661">
        <v>80.0</v>
      </c>
      <c r="AF20" s="10662">
        <f>ROUND((aa20+ab20+ac20+ad20+ae20),2)</f>
      </c>
      <c r="AG20" s="10663">
        <f>af20*0.06</f>
      </c>
      <c r="AH20" s="10664">
        <f>af20+ag20</f>
      </c>
      <c r="AI20" t="s" s="10665">
        <v>0</v>
      </c>
    </row>
    <row r="21" ht="15.0" customHeight="true">
      <c r="A21" t="s" s="10666">
        <v>0</v>
      </c>
      <c r="B21" t="s" s="10667">
        <v>0</v>
      </c>
      <c r="C21" t="s" s="10668">
        <v>0</v>
      </c>
      <c r="D21" t="s" s="10669">
        <v>0</v>
      </c>
      <c r="E21" t="s" s="10670">
        <v>0</v>
      </c>
      <c r="F21" t="s" s="10671">
        <v>0</v>
      </c>
      <c r="G21" t="s" s="10672">
        <v>0</v>
      </c>
      <c r="H21" t="s" s="10673">
        <v>0</v>
      </c>
      <c r="I21" s="10674">
        <f>SUM(i8:i20)</f>
      </c>
      <c r="J21" s="10675">
        <f>SUM(j8:j20)</f>
      </c>
      <c r="K21" s="10676">
        <f>SUM(k8:k20)</f>
      </c>
      <c r="L21" s="10677">
        <f>SUM(l8:l20)</f>
      </c>
      <c r="M21" s="10678">
        <f>SUM(m8:m20)</f>
      </c>
      <c r="N21" s="10679">
        <f>SUM(n8:n20)</f>
      </c>
      <c r="O21" s="10680">
        <f>SUM(o8:o20)</f>
      </c>
      <c r="P21" s="10681">
        <f>SUM(p8:p20)</f>
      </c>
      <c r="Q21" s="10682">
        <f>SUM(q8:q20)</f>
      </c>
      <c r="R21" s="10683">
        <f>SUM(r8:r20)</f>
      </c>
      <c r="S21" s="10684">
        <f>SUM(s8:s20)</f>
      </c>
      <c r="T21" s="10685">
        <f>SUM(t8:t20)</f>
      </c>
      <c r="U21" s="10686">
        <f>SUM(u8:u20)</f>
      </c>
      <c r="V21" s="10687">
        <f>SUM(v8:v20)</f>
      </c>
      <c r="W21" s="10688">
        <f>SUM(w8:w20)</f>
      </c>
      <c r="X21" s="10689">
        <f>SUM(x8:x20)</f>
      </c>
      <c r="Y21" s="10690">
        <f>SUM(y8:y20)</f>
      </c>
      <c r="Z21" s="10691">
        <f>SUM(z8:z20)</f>
      </c>
      <c r="AA21" s="10692">
        <f>SUM(aa8:aa20)</f>
      </c>
      <c r="AB21" s="10693">
        <f>SUM(ab8:ab20)</f>
      </c>
      <c r="AC21" s="10694">
        <f>SUM(ac8:ac20)</f>
      </c>
      <c r="AD21" s="10695">
        <f>SUM(ad8:ad20)</f>
      </c>
      <c r="AE21" s="10696">
        <f>SUM(ae8:ae20)</f>
      </c>
      <c r="AF21" s="10697">
        <f>SUM(af8:af20)</f>
      </c>
      <c r="AG21" s="10698">
        <f>SUM(ag8:ag20)</f>
      </c>
      <c r="AH21" s="10699">
        <f>SUM(ah8:ah20)</f>
      </c>
      <c r="AI21" t="s" s="10700">
        <v>0</v>
      </c>
    </row>
    <row r="22" ht="15.0" customHeight="true"/>
    <row r="23" ht="15.0" customHeight="true">
      <c r="A23" t="s" s="10701">
        <v>0</v>
      </c>
      <c r="B23" t="s" s="10702">
        <v>0</v>
      </c>
      <c r="C23" t="s" s="10703">
        <v>0</v>
      </c>
      <c r="D23" t="s" s="10704">
        <v>703</v>
      </c>
    </row>
    <row r="24" ht="15.0" customHeight="true">
      <c r="D24" s="10705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0706">
        <v>0</v>
      </c>
      <c r="B1" t="s" s="10707">
        <v>0</v>
      </c>
      <c r="C1" t="s" s="10708">
        <v>0</v>
      </c>
      <c r="D1" t="s" s="10709">
        <v>1</v>
      </c>
    </row>
    <row r="2" ht="15.0" customHeight="true">
      <c r="A2" t="s" s="10710">
        <v>0</v>
      </c>
      <c r="B2" t="s" s="10711">
        <v>0</v>
      </c>
      <c r="C2" t="s" s="10712">
        <v>0</v>
      </c>
      <c r="D2" t="s" s="10713">
        <v>2</v>
      </c>
    </row>
    <row r="3" ht="15.0" customHeight="true">
      <c r="A3" t="s" s="10714">
        <v>0</v>
      </c>
      <c r="B3" t="s" s="10715">
        <v>0</v>
      </c>
      <c r="C3" t="s" s="10716">
        <v>0</v>
      </c>
      <c r="D3" t="s" s="10717">
        <v>3</v>
      </c>
    </row>
    <row r="4" ht="15.0" customHeight="true">
      <c r="A4" t="s" s="10718">
        <v>0</v>
      </c>
      <c r="B4" t="s" s="10719">
        <v>0</v>
      </c>
      <c r="C4" t="s" s="10720">
        <v>0</v>
      </c>
      <c r="D4" t="s" s="10721">
        <v>4</v>
      </c>
      <c r="E4" t="s" s="10722">
        <v>0</v>
      </c>
      <c r="F4" t="s" s="10723">
        <v>0</v>
      </c>
      <c r="G4" t="s" s="10724">
        <v>0</v>
      </c>
      <c r="H4" t="s" s="10725">
        <v>0</v>
      </c>
      <c r="I4" t="s" s="10726">
        <v>0</v>
      </c>
      <c r="J4" t="s" s="10727">
        <v>0</v>
      </c>
      <c r="K4" t="s" s="10728">
        <v>0</v>
      </c>
      <c r="L4" t="s" s="10729">
        <v>0</v>
      </c>
      <c r="M4" t="s" s="10730">
        <v>0</v>
      </c>
      <c r="N4" t="s" s="10731">
        <v>0</v>
      </c>
      <c r="O4" t="s" s="10732">
        <v>0</v>
      </c>
      <c r="P4" t="s" s="10733">
        <v>0</v>
      </c>
      <c r="Q4" t="s" s="10734">
        <v>0</v>
      </c>
      <c r="R4" t="s" s="10735">
        <v>0</v>
      </c>
      <c r="S4" t="s" s="10736">
        <v>0</v>
      </c>
      <c r="T4" t="s" s="10737">
        <v>0</v>
      </c>
      <c r="U4" t="s" s="10738">
        <v>0</v>
      </c>
      <c r="V4" t="s" s="10739">
        <v>0</v>
      </c>
      <c r="W4" t="s" s="10740">
        <v>0</v>
      </c>
      <c r="X4" t="s" s="10741">
        <v>0</v>
      </c>
      <c r="Y4" t="s" s="10742">
        <v>0</v>
      </c>
      <c r="Z4" t="s" s="10743">
        <v>0</v>
      </c>
      <c r="AA4" t="s" s="10744">
        <v>0</v>
      </c>
      <c r="AB4" t="s" s="10745">
        <v>0</v>
      </c>
      <c r="AC4" t="s" s="10746">
        <v>5</v>
      </c>
      <c r="AD4" t="n" s="10747">
        <v>2018.0</v>
      </c>
    </row>
    <row r="5" ht="15.0" customHeight="true">
      <c r="A5" t="s" s="10748">
        <v>0</v>
      </c>
      <c r="B5" t="s" s="10749">
        <v>0</v>
      </c>
      <c r="C5" t="s" s="10750">
        <v>0</v>
      </c>
      <c r="D5" t="s" s="10751">
        <v>0</v>
      </c>
      <c r="E5" t="s" s="10752">
        <v>0</v>
      </c>
      <c r="F5" t="s" s="10753">
        <v>0</v>
      </c>
      <c r="G5" t="s" s="10754">
        <v>0</v>
      </c>
      <c r="H5" t="s" s="10755">
        <v>0</v>
      </c>
      <c r="I5" t="s" s="10756">
        <v>0</v>
      </c>
      <c r="J5" t="s" s="10757">
        <v>0</v>
      </c>
      <c r="K5" t="s" s="10758">
        <v>0</v>
      </c>
      <c r="L5" t="s" s="10759">
        <v>0</v>
      </c>
      <c r="M5" t="s" s="10760">
        <v>0</v>
      </c>
      <c r="N5" t="s" s="10761">
        <v>0</v>
      </c>
      <c r="O5" t="s" s="10762">
        <v>0</v>
      </c>
      <c r="P5" t="s" s="10763">
        <v>0</v>
      </c>
      <c r="Q5" t="s" s="10764">
        <v>0</v>
      </c>
      <c r="R5" t="s" s="10765">
        <v>0</v>
      </c>
      <c r="S5" t="s" s="10766">
        <v>0</v>
      </c>
      <c r="T5" t="s" s="10767">
        <v>0</v>
      </c>
      <c r="U5" t="s" s="10768">
        <v>0</v>
      </c>
      <c r="V5" t="s" s="10769">
        <v>0</v>
      </c>
      <c r="W5" t="s" s="10770">
        <v>0</v>
      </c>
      <c r="X5" t="s" s="10771">
        <v>0</v>
      </c>
      <c r="Y5" t="s" s="10772">
        <v>0</v>
      </c>
      <c r="Z5" t="s" s="10773">
        <v>0</v>
      </c>
      <c r="AA5" t="s" s="10774">
        <v>0</v>
      </c>
      <c r="AB5" t="s" s="10775">
        <v>0</v>
      </c>
      <c r="AC5" t="s" s="10776">
        <v>6</v>
      </c>
      <c r="AD5" t="n" s="10777">
        <v>2017.0</v>
      </c>
    </row>
    <row r="6" ht="15.0" customHeight="true"/>
    <row r="7" ht="35.0" customHeight="true">
      <c r="A7" t="s" s="10778">
        <v>7</v>
      </c>
      <c r="B7" t="s" s="10779">
        <v>8</v>
      </c>
      <c r="C7" t="s" s="10780">
        <v>9</v>
      </c>
      <c r="D7" t="s" s="10781">
        <v>10</v>
      </c>
      <c r="E7" t="s" s="10782">
        <v>11</v>
      </c>
      <c r="F7" t="s" s="10783">
        <v>12</v>
      </c>
      <c r="G7" t="s" s="10784">
        <v>13</v>
      </c>
      <c r="H7" t="s" s="10785">
        <v>14</v>
      </c>
      <c r="I7" t="s" s="10786">
        <v>15</v>
      </c>
      <c r="J7" t="s" s="10787">
        <v>16</v>
      </c>
      <c r="K7" t="s" s="10788">
        <v>17</v>
      </c>
      <c r="L7" t="s" s="10789">
        <v>18</v>
      </c>
      <c r="M7" t="s" s="10790">
        <v>19</v>
      </c>
      <c r="N7" t="s" s="10791">
        <v>20</v>
      </c>
      <c r="O7" t="s" s="10792">
        <v>21</v>
      </c>
      <c r="P7" t="s" s="10793">
        <v>22</v>
      </c>
      <c r="Q7" t="s" s="10794">
        <v>23</v>
      </c>
      <c r="R7" t="s" s="10795">
        <v>24</v>
      </c>
      <c r="S7" t="s" s="10796">
        <v>25</v>
      </c>
      <c r="T7" t="s" s="10797">
        <v>26</v>
      </c>
      <c r="U7" t="s" s="10798">
        <v>27</v>
      </c>
      <c r="V7" t="s" s="10799">
        <v>28</v>
      </c>
      <c r="W7" t="s" s="10800">
        <v>29</v>
      </c>
      <c r="X7" t="s" s="10801">
        <v>30</v>
      </c>
      <c r="Y7" t="s" s="10802">
        <v>31</v>
      </c>
      <c r="Z7" t="s" s="10803">
        <v>32</v>
      </c>
      <c r="AA7" t="s" s="10804">
        <v>33</v>
      </c>
      <c r="AB7" t="s" s="10805">
        <v>34</v>
      </c>
      <c r="AC7" t="s" s="10806">
        <v>35</v>
      </c>
      <c r="AD7" t="s" s="10807">
        <v>36</v>
      </c>
      <c r="AE7" t="s" s="10808">
        <v>37</v>
      </c>
      <c r="AF7" t="s" s="10809">
        <v>38</v>
      </c>
      <c r="AG7" t="s" s="10810">
        <v>39</v>
      </c>
      <c r="AH7" t="s" s="10811">
        <v>40</v>
      </c>
      <c r="AI7" t="s" s="10812">
        <v>41</v>
      </c>
    </row>
    <row r="8" ht="15.0" customHeight="true">
      <c r="A8" t="s" s="10813">
        <v>316</v>
      </c>
      <c r="B8" t="s" s="10814">
        <v>317</v>
      </c>
      <c r="C8" t="s" s="10815">
        <v>318</v>
      </c>
      <c r="D8" t="s" s="10816">
        <v>319</v>
      </c>
      <c r="E8" t="s" s="10817">
        <v>320</v>
      </c>
      <c r="F8" t="s" s="10818">
        <v>321</v>
      </c>
      <c r="G8" t="n" s="10819">
        <v>41944.0</v>
      </c>
      <c r="H8" t="s" s="10820">
        <v>0</v>
      </c>
      <c r="I8" t="n" s="10821">
        <v>1320.0</v>
      </c>
      <c r="J8" t="n" s="10822">
        <v>100.0</v>
      </c>
      <c r="K8" t="n" s="10823">
        <v>0.0</v>
      </c>
      <c r="L8" t="n" s="10824">
        <v>1900.0</v>
      </c>
      <c r="M8" t="n" s="10825">
        <v>0.0</v>
      </c>
      <c r="N8" t="n" s="10826">
        <v>10.0</v>
      </c>
      <c r="O8" t="n" s="10827">
        <v>60.0</v>
      </c>
      <c r="P8" t="n" s="10828">
        <v>0.0</v>
      </c>
      <c r="Q8" t="n" s="10829">
        <v>9.0</v>
      </c>
      <c r="R8" t="n" s="10830">
        <v>80.46</v>
      </c>
      <c r="S8" t="n" s="10831">
        <v>8.0</v>
      </c>
      <c r="T8" t="n" s="10832">
        <v>95.36</v>
      </c>
      <c r="U8" t="n" s="10833">
        <v>0.0</v>
      </c>
      <c r="V8" t="n" s="10834">
        <v>0.0</v>
      </c>
      <c r="W8" s="10835">
        <f>r8+t8+v8</f>
      </c>
      <c r="X8" t="n" s="10836">
        <v>0.0</v>
      </c>
      <c r="Y8" t="n" s="10837">
        <v>0.0</v>
      </c>
      <c r="Z8" t="n" s="10838">
        <v>0.0</v>
      </c>
      <c r="AA8" s="10839">
        <f>i8+j8+k8+l8+m8+n8+o8+p8+x8+y8+z8</f>
      </c>
      <c r="AB8" t="n" s="10840">
        <v>880.0</v>
      </c>
      <c r="AC8" t="n" s="10841">
        <v>120.7</v>
      </c>
      <c r="AD8" t="n" s="10842">
        <v>13.8</v>
      </c>
      <c r="AE8" t="n" s="10843">
        <v>80.0</v>
      </c>
      <c r="AF8" s="10844">
        <f>ROUND((aa8+ab8+ac8+ad8+ae8),2)</f>
      </c>
      <c r="AG8" s="10845">
        <f>af8*0.06</f>
      </c>
      <c r="AH8" s="10846">
        <f>af8+ag8</f>
      </c>
      <c r="AI8" t="s" s="10847">
        <v>0</v>
      </c>
    </row>
    <row r="9" ht="15.0" customHeight="true">
      <c r="A9" t="s" s="10848">
        <v>322</v>
      </c>
      <c r="B9" t="s" s="10849">
        <v>323</v>
      </c>
      <c r="C9" t="s" s="10850">
        <v>324</v>
      </c>
      <c r="D9" t="s" s="10851">
        <v>325</v>
      </c>
      <c r="E9" t="s" s="10852">
        <v>326</v>
      </c>
      <c r="F9" t="s" s="10853">
        <v>321</v>
      </c>
      <c r="G9" t="n" s="10854">
        <v>41944.0</v>
      </c>
      <c r="H9" t="n" s="10855">
        <v>43251.0</v>
      </c>
      <c r="I9" t="n" s="10856">
        <v>1610.0</v>
      </c>
      <c r="J9" t="n" s="10857">
        <v>100.0</v>
      </c>
      <c r="K9" t="n" s="10858">
        <v>0.0</v>
      </c>
      <c r="L9" t="n" s="10859">
        <v>1358.0</v>
      </c>
      <c r="M9" t="n" s="10860">
        <v>0.0</v>
      </c>
      <c r="N9" t="n" s="10861">
        <v>10.0</v>
      </c>
      <c r="O9" t="n" s="10862">
        <v>60.0</v>
      </c>
      <c r="P9" t="n" s="10863">
        <v>0.0</v>
      </c>
      <c r="Q9" t="n" s="10864">
        <v>11.0</v>
      </c>
      <c r="R9" t="n" s="10865">
        <v>118.25</v>
      </c>
      <c r="S9" t="n" s="10866">
        <v>8.0</v>
      </c>
      <c r="T9" t="n" s="10867">
        <v>114.64</v>
      </c>
      <c r="U9" t="n" s="10868">
        <v>1.0</v>
      </c>
      <c r="V9" t="n" s="10869">
        <v>21.49</v>
      </c>
      <c r="W9" s="10870">
        <f>r9+t9+v9</f>
      </c>
      <c r="X9" t="n" s="10871">
        <v>0.0</v>
      </c>
      <c r="Y9" t="n" s="10872">
        <v>0.0</v>
      </c>
      <c r="Z9" t="n" s="10873">
        <v>0.0</v>
      </c>
      <c r="AA9" s="10874">
        <f>i9+j9+k9+l9+m9+n9+o9+p9+x9+y9+z9</f>
      </c>
      <c r="AB9" t="n" s="10875">
        <v>818.0</v>
      </c>
      <c r="AC9" t="n" s="10876">
        <v>120.9</v>
      </c>
      <c r="AD9" t="n" s="10877">
        <v>13.8</v>
      </c>
      <c r="AE9" t="n" s="10878">
        <v>80.0</v>
      </c>
      <c r="AF9" s="10879">
        <f>ROUND((aa9+ab9+ac9+ad9+ae9),2)</f>
      </c>
      <c r="AG9" s="10880">
        <f>af9*0.06</f>
      </c>
      <c r="AH9" s="10881">
        <f>af9+ag9</f>
      </c>
      <c r="AI9" t="s" s="10882">
        <v>0</v>
      </c>
    </row>
    <row r="10" ht="15.0" customHeight="true">
      <c r="A10" t="s" s="10883">
        <v>327</v>
      </c>
      <c r="B10" t="s" s="10884">
        <v>0</v>
      </c>
      <c r="C10" t="s" s="10885">
        <v>328</v>
      </c>
      <c r="D10" t="s" s="10886">
        <v>329</v>
      </c>
      <c r="E10" t="s" s="10887">
        <v>330</v>
      </c>
      <c r="F10" t="s" s="10888">
        <v>321</v>
      </c>
      <c r="G10" t="n" s="10889">
        <v>42005.0</v>
      </c>
      <c r="H10" t="n" s="10890">
        <v>43220.0</v>
      </c>
      <c r="I10" t="n" s="10891">
        <v>1360.0</v>
      </c>
      <c r="J10" t="n" s="10892">
        <v>100.0</v>
      </c>
      <c r="K10" t="n" s="10893">
        <v>0.0</v>
      </c>
      <c r="L10" t="n" s="10894">
        <v>106.45</v>
      </c>
      <c r="M10" t="n" s="10895">
        <v>0.0</v>
      </c>
      <c r="N10" t="n" s="10896">
        <v>10.0</v>
      </c>
      <c r="O10" t="n" s="10897">
        <v>60.0</v>
      </c>
      <c r="P10" t="n" s="10898">
        <v>0.0</v>
      </c>
      <c r="Q10" t="n" s="10899">
        <v>0.0</v>
      </c>
      <c r="R10" t="n" s="10900">
        <v>0.0</v>
      </c>
      <c r="S10" t="n" s="10901">
        <v>0.0</v>
      </c>
      <c r="T10" t="n" s="10902">
        <v>0.0</v>
      </c>
      <c r="U10" t="n" s="10903">
        <v>0.0</v>
      </c>
      <c r="V10" t="n" s="10904">
        <v>0.0</v>
      </c>
      <c r="W10" s="10905">
        <f>r10+t10+v10</f>
      </c>
      <c r="X10" t="n" s="10906">
        <v>0.0</v>
      </c>
      <c r="Y10" t="n" s="10907">
        <v>0.0</v>
      </c>
      <c r="Z10" t="n" s="10908">
        <v>0.0</v>
      </c>
      <c r="AA10" s="10909">
        <f>i10+j10+k10+l10+m10+n10+o10+p10+x10+y10+z10</f>
      </c>
      <c r="AB10" t="n" s="10910">
        <v>214.0</v>
      </c>
      <c r="AC10" t="n" s="10911">
        <v>28.85</v>
      </c>
      <c r="AD10" t="n" s="10912">
        <v>3.3</v>
      </c>
      <c r="AE10" t="n" s="10913">
        <v>80.0</v>
      </c>
      <c r="AF10" s="10914">
        <f>ROUND((aa10+ab10+ac10+ad10+ae10),2)</f>
      </c>
      <c r="AG10" s="10915">
        <f>af10*0.06</f>
      </c>
      <c r="AH10" s="10916">
        <f>af10+ag10</f>
      </c>
      <c r="AI10" t="s" s="10917">
        <v>0</v>
      </c>
    </row>
    <row r="11" ht="15.0" customHeight="true">
      <c r="A11" t="s" s="10918">
        <v>331</v>
      </c>
      <c r="B11" t="s" s="10919">
        <v>332</v>
      </c>
      <c r="C11" t="s" s="10920">
        <v>333</v>
      </c>
      <c r="D11" t="s" s="10921">
        <v>334</v>
      </c>
      <c r="E11" t="s" s="10922">
        <v>335</v>
      </c>
      <c r="F11" t="s" s="10923">
        <v>321</v>
      </c>
      <c r="G11" t="n" s="10924">
        <v>41944.0</v>
      </c>
      <c r="H11" t="s" s="10925">
        <v>0</v>
      </c>
      <c r="I11" t="n" s="10926">
        <v>1260.0</v>
      </c>
      <c r="J11" t="n" s="10927">
        <v>100.0</v>
      </c>
      <c r="K11" t="n" s="10928">
        <v>0.0</v>
      </c>
      <c r="L11" t="n" s="10929">
        <v>3300.0</v>
      </c>
      <c r="M11" t="n" s="10930">
        <v>0.0</v>
      </c>
      <c r="N11" t="n" s="10931">
        <v>10.0</v>
      </c>
      <c r="O11" t="n" s="10932">
        <v>60.0</v>
      </c>
      <c r="P11" t="n" s="10933">
        <v>0.0</v>
      </c>
      <c r="Q11" t="n" s="10934">
        <v>10.0</v>
      </c>
      <c r="R11" t="n" s="10935">
        <v>85.1</v>
      </c>
      <c r="S11" t="n" s="10936">
        <v>8.0</v>
      </c>
      <c r="T11" t="n" s="10937">
        <v>90.8</v>
      </c>
      <c r="U11" t="n" s="10938">
        <v>0.0</v>
      </c>
      <c r="V11" t="n" s="10939">
        <v>0.0</v>
      </c>
      <c r="W11" s="10940">
        <f>r11+t11+v11</f>
      </c>
      <c r="X11" t="n" s="10941">
        <v>0.0</v>
      </c>
      <c r="Y11" t="n" s="10942">
        <v>0.0</v>
      </c>
      <c r="Z11" t="n" s="10943">
        <v>0.0</v>
      </c>
      <c r="AA11" s="10944">
        <f>i11+j11+k11+l11+m11+n11+o11+p11+x11+y11+z11</f>
      </c>
      <c r="AB11" t="n" s="10945">
        <v>1228.0</v>
      </c>
      <c r="AC11" t="n" s="10946">
        <v>138.1</v>
      </c>
      <c r="AD11" t="n" s="10947">
        <v>15.8</v>
      </c>
      <c r="AE11" t="n" s="10948">
        <v>80.0</v>
      </c>
      <c r="AF11" s="10949">
        <f>ROUND((aa11+ab11+ac11+ad11+ae11),2)</f>
      </c>
      <c r="AG11" s="10950">
        <f>af11*0.06</f>
      </c>
      <c r="AH11" s="10951">
        <f>af11+ag11</f>
      </c>
      <c r="AI11" t="s" s="10952">
        <v>0</v>
      </c>
    </row>
    <row r="12" ht="15.0" customHeight="true">
      <c r="A12" t="s" s="10953">
        <v>336</v>
      </c>
      <c r="B12" t="s" s="10954">
        <v>337</v>
      </c>
      <c r="C12" t="s" s="10955">
        <v>338</v>
      </c>
      <c r="D12" t="s" s="10956">
        <v>339</v>
      </c>
      <c r="E12" t="s" s="10957">
        <v>340</v>
      </c>
      <c r="F12" t="s" s="10958">
        <v>321</v>
      </c>
      <c r="G12" t="n" s="10959">
        <v>42005.0</v>
      </c>
      <c r="H12" t="n" s="10960">
        <v>43159.0</v>
      </c>
      <c r="I12" t="n" s="10961">
        <v>1620.0</v>
      </c>
      <c r="J12" t="n" s="10962">
        <v>100.0</v>
      </c>
      <c r="K12" t="n" s="10963">
        <v>0.0</v>
      </c>
      <c r="L12" t="n" s="10964">
        <v>592.0</v>
      </c>
      <c r="M12" t="n" s="10965">
        <v>0.0</v>
      </c>
      <c r="N12" t="n" s="10966">
        <v>10.0</v>
      </c>
      <c r="O12" t="n" s="10967">
        <v>60.0</v>
      </c>
      <c r="P12" t="n" s="10968">
        <v>0.0</v>
      </c>
      <c r="Q12" t="n" s="10969">
        <v>12.0</v>
      </c>
      <c r="R12" t="n" s="10970">
        <v>131.52</v>
      </c>
      <c r="S12" t="n" s="10971">
        <v>8.0</v>
      </c>
      <c r="T12" t="n" s="10972">
        <v>116.96</v>
      </c>
      <c r="U12" t="n" s="10973">
        <v>0.0</v>
      </c>
      <c r="V12" t="n" s="10974">
        <v>0.0</v>
      </c>
      <c r="W12" s="10975">
        <f>r12+t12+v12</f>
      </c>
      <c r="X12" t="n" s="10976">
        <v>0.0</v>
      </c>
      <c r="Y12" t="n" s="10977">
        <v>0.0</v>
      </c>
      <c r="Z12" t="n" s="10978">
        <v>0.0</v>
      </c>
      <c r="AA12" s="10979">
        <f>i12+j12+k12+l12+m12+n12+o12+p12+x12+y12+z12</f>
      </c>
      <c r="AB12" t="n" s="10980">
        <v>620.0</v>
      </c>
      <c r="AC12" t="n" s="10981">
        <v>89.3</v>
      </c>
      <c r="AD12" t="n" s="10982">
        <v>10.2</v>
      </c>
      <c r="AE12" t="n" s="10983">
        <v>80.0</v>
      </c>
      <c r="AF12" s="10984">
        <f>ROUND((aa12+ab12+ac12+ad12+ae12),2)</f>
      </c>
      <c r="AG12" s="10985">
        <f>af12*0.06</f>
      </c>
      <c r="AH12" s="10986">
        <f>af12+ag12</f>
      </c>
      <c r="AI12" t="s" s="10987">
        <v>0</v>
      </c>
    </row>
    <row r="13" ht="15.0" customHeight="true">
      <c r="A13" t="s" s="10988">
        <v>341</v>
      </c>
      <c r="B13" t="s" s="10989">
        <v>342</v>
      </c>
      <c r="C13" t="s" s="10990">
        <v>343</v>
      </c>
      <c r="D13" t="s" s="10991">
        <v>344</v>
      </c>
      <c r="E13" t="s" s="10992">
        <v>345</v>
      </c>
      <c r="F13" t="s" s="10993">
        <v>321</v>
      </c>
      <c r="G13" t="n" s="10994">
        <v>41944.0</v>
      </c>
      <c r="H13" t="s" s="10995">
        <v>0</v>
      </c>
      <c r="I13" t="n" s="10996">
        <v>1280.0</v>
      </c>
      <c r="J13" t="n" s="10997">
        <v>100.0</v>
      </c>
      <c r="K13" t="n" s="10998">
        <v>0.0</v>
      </c>
      <c r="L13" t="n" s="10999">
        <v>1936.0</v>
      </c>
      <c r="M13" t="n" s="11000">
        <v>0.0</v>
      </c>
      <c r="N13" t="n" s="11001">
        <v>10.0</v>
      </c>
      <c r="O13" t="n" s="11002">
        <v>60.0</v>
      </c>
      <c r="P13" t="n" s="11003">
        <v>0.0</v>
      </c>
      <c r="Q13" t="n" s="11004">
        <v>9.0</v>
      </c>
      <c r="R13" t="n" s="11005">
        <v>77.85</v>
      </c>
      <c r="S13" t="n" s="11006">
        <v>0.0</v>
      </c>
      <c r="T13" t="n" s="11007">
        <v>0.0</v>
      </c>
      <c r="U13" t="n" s="11008">
        <v>0.0</v>
      </c>
      <c r="V13" t="n" s="11009">
        <v>0.0</v>
      </c>
      <c r="W13" s="11010">
        <f>r13+t13+v13</f>
      </c>
      <c r="X13" t="n" s="11011">
        <v>0.0</v>
      </c>
      <c r="Y13" t="n" s="11012">
        <v>0.0</v>
      </c>
      <c r="Z13" t="n" s="11013">
        <v>0.0</v>
      </c>
      <c r="AA13" s="11014">
        <f>i13+j13+k13+l13+m13+n13+o13+p13+x13+y13+z13</f>
      </c>
      <c r="AB13" t="n" s="11015">
        <v>880.0</v>
      </c>
      <c r="AC13" t="n" s="11016">
        <v>117.3</v>
      </c>
      <c r="AD13" t="n" s="11017">
        <v>13.4</v>
      </c>
      <c r="AE13" t="n" s="11018">
        <v>80.0</v>
      </c>
      <c r="AF13" s="11019">
        <f>ROUND((aa13+ab13+ac13+ad13+ae13),2)</f>
      </c>
      <c r="AG13" s="11020">
        <f>af13*0.06</f>
      </c>
      <c r="AH13" s="11021">
        <f>af13+ag13</f>
      </c>
      <c r="AI13" t="s" s="11022">
        <v>0</v>
      </c>
    </row>
    <row r="14" ht="15.0" customHeight="true">
      <c r="A14" t="s" s="11023">
        <v>346</v>
      </c>
      <c r="B14" t="s" s="11024">
        <v>347</v>
      </c>
      <c r="C14" t="s" s="11025">
        <v>348</v>
      </c>
      <c r="D14" t="s" s="11026">
        <v>349</v>
      </c>
      <c r="E14" t="s" s="11027">
        <v>350</v>
      </c>
      <c r="F14" t="s" s="11028">
        <v>321</v>
      </c>
      <c r="G14" t="n" s="11029">
        <v>41944.0</v>
      </c>
      <c r="H14" t="s" s="11030">
        <v>0</v>
      </c>
      <c r="I14" t="n" s="11031">
        <v>1320.0</v>
      </c>
      <c r="J14" t="n" s="11032">
        <v>100.0</v>
      </c>
      <c r="K14" t="n" s="11033">
        <v>0.0</v>
      </c>
      <c r="L14" t="n" s="11034">
        <v>1108.0</v>
      </c>
      <c r="M14" t="n" s="11035">
        <v>0.0</v>
      </c>
      <c r="N14" t="n" s="11036">
        <v>10.0</v>
      </c>
      <c r="O14" t="n" s="11037">
        <v>60.0</v>
      </c>
      <c r="P14" t="n" s="11038">
        <v>0.0</v>
      </c>
      <c r="Q14" t="n" s="11039">
        <v>4.0</v>
      </c>
      <c r="R14" t="n" s="11040">
        <v>35.2</v>
      </c>
      <c r="S14" t="n" s="11041">
        <v>8.0</v>
      </c>
      <c r="T14" t="n" s="11042">
        <v>93.84</v>
      </c>
      <c r="U14" t="n" s="11043">
        <v>0.0</v>
      </c>
      <c r="V14" t="n" s="11044">
        <v>0.0</v>
      </c>
      <c r="W14" s="11045">
        <f>r14+t14+v14</f>
      </c>
      <c r="X14" t="n" s="11046">
        <v>0.0</v>
      </c>
      <c r="Y14" t="n" s="11047">
        <v>0.0</v>
      </c>
      <c r="Z14" t="n" s="11048">
        <v>0.0</v>
      </c>
      <c r="AA14" s="11049">
        <f>i14+j14+k14+l14+m14+n14+o14+p14+x14+y14+z14</f>
      </c>
      <c r="AB14" t="n" s="11050">
        <v>676.0</v>
      </c>
      <c r="AC14" t="n" s="11051">
        <v>92.7</v>
      </c>
      <c r="AD14" t="n" s="11052">
        <v>10.6</v>
      </c>
      <c r="AE14" t="n" s="11053">
        <v>80.0</v>
      </c>
      <c r="AF14" s="11054">
        <f>ROUND((aa14+ab14+ac14+ad14+ae14),2)</f>
      </c>
      <c r="AG14" s="11055">
        <f>af14*0.06</f>
      </c>
      <c r="AH14" s="11056">
        <f>af14+ag14</f>
      </c>
      <c r="AI14" t="s" s="11057">
        <v>0</v>
      </c>
    </row>
    <row r="15" ht="15.0" customHeight="true">
      <c r="A15" t="s" s="11058">
        <v>351</v>
      </c>
      <c r="B15" t="s" s="11059">
        <v>352</v>
      </c>
      <c r="C15" t="s" s="11060">
        <v>353</v>
      </c>
      <c r="D15" t="s" s="11061">
        <v>354</v>
      </c>
      <c r="E15" t="s" s="11062">
        <v>355</v>
      </c>
      <c r="F15" t="s" s="11063">
        <v>321</v>
      </c>
      <c r="G15" t="n" s="11064">
        <v>42179.0</v>
      </c>
      <c r="H15" t="s" s="11065">
        <v>0</v>
      </c>
      <c r="I15" t="n" s="11066">
        <v>1280.0</v>
      </c>
      <c r="J15" t="n" s="11067">
        <v>100.0</v>
      </c>
      <c r="K15" t="n" s="11068">
        <v>0.0</v>
      </c>
      <c r="L15" t="n" s="11069">
        <v>2528.0</v>
      </c>
      <c r="M15" t="n" s="11070">
        <v>0.0</v>
      </c>
      <c r="N15" t="n" s="11071">
        <v>10.0</v>
      </c>
      <c r="O15" t="n" s="11072">
        <v>60.0</v>
      </c>
      <c r="P15" t="n" s="11073">
        <v>0.0</v>
      </c>
      <c r="Q15" t="n" s="11074">
        <v>3.0</v>
      </c>
      <c r="R15" t="n" s="11075">
        <v>25.95</v>
      </c>
      <c r="S15" t="n" s="11076">
        <v>8.0</v>
      </c>
      <c r="T15" t="n" s="11077">
        <v>92.32</v>
      </c>
      <c r="U15" t="n" s="11078">
        <v>0.0</v>
      </c>
      <c r="V15" t="n" s="11079">
        <v>0.0</v>
      </c>
      <c r="W15" s="11080">
        <f>r15+t15+v15</f>
      </c>
      <c r="X15" t="n" s="11081">
        <v>0.0</v>
      </c>
      <c r="Y15" t="n" s="11082">
        <v>0.0</v>
      </c>
      <c r="Z15" t="n" s="11083">
        <v>0.0</v>
      </c>
      <c r="AA15" s="11084">
        <f>i15+j15+k15+l15+m15+n15+o15+p15+x15+y15+z15</f>
      </c>
      <c r="AB15" t="n" s="11085">
        <v>1036.0</v>
      </c>
      <c r="AC15" t="n" s="11086">
        <v>138.1</v>
      </c>
      <c r="AD15" t="n" s="11087">
        <v>15.8</v>
      </c>
      <c r="AE15" t="n" s="11088">
        <v>80.0</v>
      </c>
      <c r="AF15" s="11089">
        <f>ROUND((aa15+ab15+ac15+ad15+ae15),2)</f>
      </c>
      <c r="AG15" s="11090">
        <f>af15*0.06</f>
      </c>
      <c r="AH15" s="11091">
        <f>af15+ag15</f>
      </c>
      <c r="AI15" t="s" s="11092">
        <v>0</v>
      </c>
    </row>
    <row r="16" ht="15.0" customHeight="true">
      <c r="A16" t="s" s="11093">
        <v>356</v>
      </c>
      <c r="B16" t="s" s="11094">
        <v>357</v>
      </c>
      <c r="C16" t="s" s="11095">
        <v>358</v>
      </c>
      <c r="D16" t="s" s="11096">
        <v>359</v>
      </c>
      <c r="E16" t="s" s="11097">
        <v>360</v>
      </c>
      <c r="F16" t="s" s="11098">
        <v>321</v>
      </c>
      <c r="G16" t="n" s="11099">
        <v>42488.0</v>
      </c>
      <c r="H16" t="s" s="11100">
        <v>0</v>
      </c>
      <c r="I16" t="n" s="11101">
        <v>1390.0</v>
      </c>
      <c r="J16" t="n" s="11102">
        <v>100.0</v>
      </c>
      <c r="K16" t="n" s="11103">
        <v>0.0</v>
      </c>
      <c r="L16" t="n" s="11104">
        <v>1524.0</v>
      </c>
      <c r="M16" t="n" s="11105">
        <v>0.0</v>
      </c>
      <c r="N16" t="n" s="11106">
        <v>10.0</v>
      </c>
      <c r="O16" t="n" s="11107">
        <v>60.0</v>
      </c>
      <c r="P16" t="n" s="11108">
        <v>0.0</v>
      </c>
      <c r="Q16" t="n" s="11109">
        <v>12.0</v>
      </c>
      <c r="R16" t="n" s="11110">
        <v>110.76</v>
      </c>
      <c r="S16" t="n" s="11111">
        <v>0.0</v>
      </c>
      <c r="T16" t="n" s="11112">
        <v>0.0</v>
      </c>
      <c r="U16" t="n" s="11113">
        <v>0.0</v>
      </c>
      <c r="V16" t="n" s="11114">
        <v>0.0</v>
      </c>
      <c r="W16" s="11115">
        <f>r16+t16+v16</f>
      </c>
      <c r="X16" t="n" s="11116">
        <v>0.0</v>
      </c>
      <c r="Y16" t="n" s="11117">
        <v>0.0</v>
      </c>
      <c r="Z16" t="n" s="11118">
        <v>0.0</v>
      </c>
      <c r="AA16" s="11119">
        <f>i16+j16+k16+l16+m16+n16+o16+p16+x16+y16+z16</f>
      </c>
      <c r="AB16" t="n" s="11120">
        <v>942.0</v>
      </c>
      <c r="AC16" t="n" s="11121">
        <v>131.1</v>
      </c>
      <c r="AD16" t="n" s="11122">
        <v>15.0</v>
      </c>
      <c r="AE16" t="n" s="11123">
        <v>80.0</v>
      </c>
      <c r="AF16" s="11124">
        <f>ROUND((aa16+ab16+ac16+ad16+ae16),2)</f>
      </c>
      <c r="AG16" s="11125">
        <f>af16*0.06</f>
      </c>
      <c r="AH16" s="11126">
        <f>af16+ag16</f>
      </c>
      <c r="AI16" t="s" s="11127">
        <v>0</v>
      </c>
    </row>
    <row r="17" ht="15.0" customHeight="true">
      <c r="A17" t="s" s="11128">
        <v>361</v>
      </c>
      <c r="B17" t="s" s="11129">
        <v>0</v>
      </c>
      <c r="C17" t="s" s="11130">
        <v>362</v>
      </c>
      <c r="D17" t="s" s="11131">
        <v>363</v>
      </c>
      <c r="E17" t="s" s="11132">
        <v>364</v>
      </c>
      <c r="F17" t="s" s="11133">
        <v>321</v>
      </c>
      <c r="G17" t="n" s="11134">
        <v>42583.0</v>
      </c>
      <c r="H17" t="n" s="11135">
        <v>43100.0</v>
      </c>
      <c r="I17" t="n" s="11136">
        <v>0.0</v>
      </c>
      <c r="J17" t="n" s="11137">
        <v>0.0</v>
      </c>
      <c r="K17" t="n" s="11138">
        <v>0.0</v>
      </c>
      <c r="L17" t="n" s="11139">
        <v>1104.0</v>
      </c>
      <c r="M17" t="n" s="11140">
        <v>0.0</v>
      </c>
      <c r="N17" t="n" s="11141">
        <v>18.9</v>
      </c>
      <c r="O17" t="n" s="11142">
        <v>0.0</v>
      </c>
      <c r="P17" t="n" s="11143">
        <v>0.0</v>
      </c>
      <c r="Q17" t="n" s="11144">
        <v>0.0</v>
      </c>
      <c r="R17" t="n" s="11145">
        <v>0.0</v>
      </c>
      <c r="S17" t="n" s="11146">
        <v>8.0</v>
      </c>
      <c r="T17" t="n" s="11147">
        <v>92.32</v>
      </c>
      <c r="U17" t="n" s="11148">
        <v>0.0</v>
      </c>
      <c r="V17" t="n" s="11149">
        <v>0.0</v>
      </c>
      <c r="W17" s="11150">
        <f>r17+t17+v17</f>
      </c>
      <c r="X17" t="n" s="11151">
        <v>0.0</v>
      </c>
      <c r="Y17" t="n" s="11152">
        <v>0.0</v>
      </c>
      <c r="Z17" t="n" s="11153">
        <v>0.0</v>
      </c>
      <c r="AA17" s="11154">
        <f>i17+j17+k17+l17+m17+n17+o17+p17+x17+y17+z17</f>
      </c>
      <c r="AB17" t="n" s="11155">
        <v>146.0</v>
      </c>
      <c r="AC17" t="n" s="11156">
        <v>20.15</v>
      </c>
      <c r="AD17" t="n" s="11157">
        <v>2.3</v>
      </c>
      <c r="AE17" t="n" s="11158">
        <v>80.0</v>
      </c>
      <c r="AF17" s="11159">
        <f>ROUND((aa17+ab17+ac17+ad17+ae17),2)</f>
      </c>
      <c r="AG17" s="11160">
        <f>af17*0.06</f>
      </c>
      <c r="AH17" s="11161">
        <f>af17+ag17</f>
      </c>
      <c r="AI17" t="s" s="11162">
        <v>0</v>
      </c>
    </row>
    <row r="18" ht="15.0" customHeight="true">
      <c r="A18" t="s" s="11163">
        <v>365</v>
      </c>
      <c r="B18" t="s" s="11164">
        <v>366</v>
      </c>
      <c r="C18" t="s" s="11165">
        <v>367</v>
      </c>
      <c r="D18" t="s" s="11166">
        <v>368</v>
      </c>
      <c r="E18" t="s" s="11167">
        <v>369</v>
      </c>
      <c r="F18" t="s" s="11168">
        <v>321</v>
      </c>
      <c r="G18" t="n" s="11169">
        <v>42583.0</v>
      </c>
      <c r="H18" t="s" s="11170">
        <v>0</v>
      </c>
      <c r="I18" t="n" s="11171">
        <v>1280.0</v>
      </c>
      <c r="J18" t="n" s="11172">
        <v>100.0</v>
      </c>
      <c r="K18" t="n" s="11173">
        <v>0.0</v>
      </c>
      <c r="L18" t="n" s="11174">
        <v>2552.0</v>
      </c>
      <c r="M18" t="n" s="11175">
        <v>0.0</v>
      </c>
      <c r="N18" t="n" s="11176">
        <v>18.9</v>
      </c>
      <c r="O18" t="n" s="11177">
        <v>60.0</v>
      </c>
      <c r="P18" t="n" s="11178">
        <v>0.0</v>
      </c>
      <c r="Q18" t="n" s="11179">
        <v>8.0</v>
      </c>
      <c r="R18" t="n" s="11180">
        <v>69.2</v>
      </c>
      <c r="S18" t="n" s="11181">
        <v>8.0</v>
      </c>
      <c r="T18" t="n" s="11182">
        <v>92.32</v>
      </c>
      <c r="U18" t="n" s="11183">
        <v>1.0</v>
      </c>
      <c r="V18" t="n" s="11184">
        <v>17.31</v>
      </c>
      <c r="W18" s="11185">
        <f>r18+t18+v18</f>
      </c>
      <c r="X18" t="n" s="11186">
        <v>0.0</v>
      </c>
      <c r="Y18" t="n" s="11187">
        <v>0.0</v>
      </c>
      <c r="Z18" t="n" s="11188">
        <v>0.0</v>
      </c>
      <c r="AA18" s="11189">
        <f>i18+j18+k18+l18+m18+n18+o18+p18+x18+y18+z18</f>
      </c>
      <c r="AB18" t="n" s="11190">
        <v>1144.0</v>
      </c>
      <c r="AC18" t="n" s="11191">
        <v>138.1</v>
      </c>
      <c r="AD18" t="n" s="11192">
        <v>15.8</v>
      </c>
      <c r="AE18" t="n" s="11193">
        <v>80.0</v>
      </c>
      <c r="AF18" s="11194">
        <f>ROUND((aa18+ab18+ac18+ad18+ae18),2)</f>
      </c>
      <c r="AG18" s="11195">
        <f>af18*0.06</f>
      </c>
      <c r="AH18" s="11196">
        <f>af18+ag18</f>
      </c>
      <c r="AI18" t="s" s="11197">
        <v>0</v>
      </c>
    </row>
    <row r="19" ht="15.0" customHeight="true">
      <c r="A19" t="s" s="11198">
        <v>370</v>
      </c>
      <c r="B19" t="s" s="11199">
        <v>0</v>
      </c>
      <c r="C19" t="s" s="11200">
        <v>371</v>
      </c>
      <c r="D19" t="s" s="11201">
        <v>372</v>
      </c>
      <c r="E19" t="s" s="11202">
        <v>373</v>
      </c>
      <c r="F19" t="s" s="11203">
        <v>321</v>
      </c>
      <c r="G19" t="n" s="11204">
        <v>42684.0</v>
      </c>
      <c r="H19" t="n" s="11205">
        <v>43100.0</v>
      </c>
      <c r="I19" t="n" s="11206">
        <v>0.0</v>
      </c>
      <c r="J19" t="n" s="11207">
        <v>0.0</v>
      </c>
      <c r="K19" t="n" s="11208">
        <v>0.0</v>
      </c>
      <c r="L19" t="n" s="11209">
        <v>600.0</v>
      </c>
      <c r="M19" t="n" s="11210">
        <v>0.0</v>
      </c>
      <c r="N19" t="n" s="11211">
        <v>24.0</v>
      </c>
      <c r="O19" t="n" s="11212">
        <v>0.0</v>
      </c>
      <c r="P19" t="n" s="11213">
        <v>0.0</v>
      </c>
      <c r="Q19" t="n" s="11214">
        <v>9.0</v>
      </c>
      <c r="R19" t="n" s="11215">
        <v>77.85</v>
      </c>
      <c r="S19" t="n" s="11216">
        <v>0.0</v>
      </c>
      <c r="T19" t="n" s="11217">
        <v>0.0</v>
      </c>
      <c r="U19" t="n" s="11218">
        <v>0.0</v>
      </c>
      <c r="V19" t="n" s="11219">
        <v>0.0</v>
      </c>
      <c r="W19" s="11220">
        <f>r19+t19+v19</f>
      </c>
      <c r="X19" t="n" s="11221">
        <v>0.0</v>
      </c>
      <c r="Y19" t="n" s="11222">
        <v>0.0</v>
      </c>
      <c r="Z19" t="n" s="11223">
        <v>0.0</v>
      </c>
      <c r="AA19" s="11224">
        <f>i19+j19+k19+l19+m19+n19+o19+p19+x19+y19+z19</f>
      </c>
      <c r="AB19" t="n" s="11225">
        <v>78.0</v>
      </c>
      <c r="AC19" t="n" s="11226">
        <v>11.35</v>
      </c>
      <c r="AD19" t="n" s="11227">
        <v>1.3</v>
      </c>
      <c r="AE19" t="n" s="11228">
        <v>80.0</v>
      </c>
      <c r="AF19" s="11229">
        <f>ROUND((aa19+ab19+ac19+ad19+ae19),2)</f>
      </c>
      <c r="AG19" s="11230">
        <f>af19*0.06</f>
      </c>
      <c r="AH19" s="11231">
        <f>af19+ag19</f>
      </c>
      <c r="AI19" t="s" s="11232">
        <v>0</v>
      </c>
    </row>
    <row r="20" ht="15.0" customHeight="true">
      <c r="A20" t="s" s="11233">
        <v>374</v>
      </c>
      <c r="B20" t="s" s="11234">
        <v>375</v>
      </c>
      <c r="C20" t="s" s="11235">
        <v>376</v>
      </c>
      <c r="D20" t="s" s="11236">
        <v>377</v>
      </c>
      <c r="E20" t="s" s="11237">
        <v>378</v>
      </c>
      <c r="F20" t="s" s="11238">
        <v>321</v>
      </c>
      <c r="G20" t="n" s="11239">
        <v>42761.0</v>
      </c>
      <c r="H20" t="s" s="11240">
        <v>0</v>
      </c>
      <c r="I20" t="n" s="11241">
        <v>1250.0</v>
      </c>
      <c r="J20" t="n" s="11242">
        <v>100.0</v>
      </c>
      <c r="K20" t="n" s="11243">
        <v>0.0</v>
      </c>
      <c r="L20" t="n" s="11244">
        <v>167.74</v>
      </c>
      <c r="M20" t="n" s="11245">
        <v>0.0</v>
      </c>
      <c r="N20" t="n" s="11246">
        <v>10.0</v>
      </c>
      <c r="O20" t="n" s="11247">
        <v>60.0</v>
      </c>
      <c r="P20" t="n" s="11248">
        <v>0.0</v>
      </c>
      <c r="Q20" t="n" s="11249">
        <v>1.0</v>
      </c>
      <c r="R20" t="n" s="11250">
        <v>8.65</v>
      </c>
      <c r="S20" t="n" s="11251">
        <v>0.0</v>
      </c>
      <c r="T20" t="n" s="11252">
        <v>0.0</v>
      </c>
      <c r="U20" t="n" s="11253">
        <v>0.0</v>
      </c>
      <c r="V20" t="n" s="11254">
        <v>0.0</v>
      </c>
      <c r="W20" s="11255">
        <f>r20+t20+v20</f>
      </c>
      <c r="X20" t="n" s="11256">
        <v>0.0</v>
      </c>
      <c r="Y20" t="n" s="11257">
        <v>0.0</v>
      </c>
      <c r="Z20" t="n" s="11258">
        <v>0.0</v>
      </c>
      <c r="AA20" s="11259">
        <f>i20+j20+k20+l20+m20+n20+o20+p20+x20+y20+z20</f>
      </c>
      <c r="AB20" t="n" s="11260">
        <v>412.0</v>
      </c>
      <c r="AC20" t="n" s="11261">
        <v>54.3</v>
      </c>
      <c r="AD20" t="n" s="11262">
        <v>6.2</v>
      </c>
      <c r="AE20" t="n" s="11263">
        <v>80.0</v>
      </c>
      <c r="AF20" s="11264">
        <f>ROUND((aa20+ab20+ac20+ad20+ae20),2)</f>
      </c>
      <c r="AG20" s="11265">
        <f>af20*0.06</f>
      </c>
      <c r="AH20" s="11266">
        <f>af20+ag20</f>
      </c>
      <c r="AI20" t="s" s="11267">
        <v>0</v>
      </c>
    </row>
    <row r="21" ht="15.0" customHeight="true">
      <c r="A21" t="s" s="11268">
        <v>379</v>
      </c>
      <c r="B21" t="s" s="11269">
        <v>380</v>
      </c>
      <c r="C21" t="s" s="11270">
        <v>381</v>
      </c>
      <c r="D21" t="s" s="11271">
        <v>382</v>
      </c>
      <c r="E21" t="s" s="11272">
        <v>383</v>
      </c>
      <c r="F21" t="s" s="11273">
        <v>321</v>
      </c>
      <c r="G21" t="n" s="11274">
        <v>42781.0</v>
      </c>
      <c r="H21" t="s" s="11275">
        <v>0</v>
      </c>
      <c r="I21" t="n" s="11276">
        <v>1250.0</v>
      </c>
      <c r="J21" t="n" s="11277">
        <v>100.0</v>
      </c>
      <c r="K21" t="n" s="11278">
        <v>0.0</v>
      </c>
      <c r="L21" t="n" s="11279">
        <v>1900.0</v>
      </c>
      <c r="M21" t="n" s="11280">
        <v>0.0</v>
      </c>
      <c r="N21" t="n" s="11281">
        <v>10.0</v>
      </c>
      <c r="O21" t="n" s="11282">
        <v>60.0</v>
      </c>
      <c r="P21" t="n" s="11283">
        <v>0.0</v>
      </c>
      <c r="Q21" t="n" s="11284">
        <v>3.0</v>
      </c>
      <c r="R21" t="n" s="11285">
        <v>25.95</v>
      </c>
      <c r="S21" t="n" s="11286">
        <v>8.0</v>
      </c>
      <c r="T21" t="n" s="11287">
        <v>92.32</v>
      </c>
      <c r="U21" t="n" s="11288">
        <v>0.0</v>
      </c>
      <c r="V21" t="n" s="11289">
        <v>0.0</v>
      </c>
      <c r="W21" s="11290">
        <f>r21+t21+v21</f>
      </c>
      <c r="X21" t="n" s="11291">
        <v>0.0</v>
      </c>
      <c r="Y21" t="n" s="11292">
        <v>0.0</v>
      </c>
      <c r="Z21" t="n" s="11293">
        <v>0.0</v>
      </c>
      <c r="AA21" s="11294">
        <f>i21+j21+k21+l21+m21+n21+o21+p21+x21+y21+z21</f>
      </c>
      <c r="AB21" t="n" s="11295">
        <v>864.0</v>
      </c>
      <c r="AC21" t="n" s="11296">
        <v>120.9</v>
      </c>
      <c r="AD21" t="n" s="11297">
        <v>13.8</v>
      </c>
      <c r="AE21" t="n" s="11298">
        <v>80.0</v>
      </c>
      <c r="AF21" s="11299">
        <f>ROUND((aa21+ab21+ac21+ad21+ae21),2)</f>
      </c>
      <c r="AG21" s="11300">
        <f>af21*0.06</f>
      </c>
      <c r="AH21" s="11301">
        <f>af21+ag21</f>
      </c>
      <c r="AI21" t="s" s="11302">
        <v>0</v>
      </c>
    </row>
    <row r="22" ht="15.0" customHeight="true">
      <c r="A22" t="s" s="11303">
        <v>384</v>
      </c>
      <c r="B22" t="s" s="11304">
        <v>385</v>
      </c>
      <c r="C22" t="s" s="11305">
        <v>386</v>
      </c>
      <c r="D22" t="s" s="11306">
        <v>387</v>
      </c>
      <c r="E22" t="s" s="11307">
        <v>388</v>
      </c>
      <c r="F22" t="s" s="11308">
        <v>321</v>
      </c>
      <c r="G22" t="n" s="11309">
        <v>42736.0</v>
      </c>
      <c r="H22" t="n" s="11310">
        <v>43252.0</v>
      </c>
      <c r="I22" t="n" s="11311">
        <v>1250.0</v>
      </c>
      <c r="J22" t="n" s="11312">
        <v>100.0</v>
      </c>
      <c r="K22" t="n" s="11313">
        <v>0.0</v>
      </c>
      <c r="L22" t="n" s="11314">
        <v>498.0</v>
      </c>
      <c r="M22" t="n" s="11315">
        <v>0.0</v>
      </c>
      <c r="N22" t="n" s="11316">
        <v>10.0</v>
      </c>
      <c r="O22" t="n" s="11317">
        <v>60.0</v>
      </c>
      <c r="P22" t="n" s="11318">
        <v>0.0</v>
      </c>
      <c r="Q22" t="n" s="11319">
        <v>11.0</v>
      </c>
      <c r="R22" t="n" s="11320">
        <v>95.15</v>
      </c>
      <c r="S22" t="n" s="11321">
        <v>8.0</v>
      </c>
      <c r="T22" t="n" s="11322">
        <v>92.32</v>
      </c>
      <c r="U22" t="n" s="11323">
        <v>1.0</v>
      </c>
      <c r="V22" t="n" s="11324">
        <v>17.31</v>
      </c>
      <c r="W22" s="11325">
        <f>r22+t22+v22</f>
      </c>
      <c r="X22" t="n" s="11326">
        <v>0.0</v>
      </c>
      <c r="Y22" t="n" s="11327">
        <v>0.0</v>
      </c>
      <c r="Z22" t="n" s="11328">
        <v>0.0</v>
      </c>
      <c r="AA22" s="11329">
        <f>i22+j22+k22+l22+m22+n22+o22+p22+x22+y22+z22</f>
      </c>
      <c r="AB22" t="n" s="11330">
        <v>500.0</v>
      </c>
      <c r="AC22" t="n" s="11331">
        <v>75.3</v>
      </c>
      <c r="AD22" t="n" s="11332">
        <v>8.6</v>
      </c>
      <c r="AE22" t="n" s="11333">
        <v>80.0</v>
      </c>
      <c r="AF22" s="11334">
        <f>ROUND((aa22+ab22+ac22+ad22+ae22),2)</f>
      </c>
      <c r="AG22" s="11335">
        <f>af22*0.06</f>
      </c>
      <c r="AH22" s="11336">
        <f>af22+ag22</f>
      </c>
      <c r="AI22" t="s" s="11337">
        <v>0</v>
      </c>
    </row>
    <row r="23" ht="15.0" customHeight="true">
      <c r="A23" t="s" s="11338">
        <v>389</v>
      </c>
      <c r="B23" t="s" s="11339">
        <v>0</v>
      </c>
      <c r="C23" t="s" s="11340">
        <v>390</v>
      </c>
      <c r="D23" t="s" s="11341">
        <v>391</v>
      </c>
      <c r="E23" t="s" s="11342">
        <v>392</v>
      </c>
      <c r="F23" t="s" s="11343">
        <v>321</v>
      </c>
      <c r="G23" t="n" s="11344">
        <v>43101.0</v>
      </c>
      <c r="H23" t="s" s="11345">
        <v>0</v>
      </c>
      <c r="I23" t="n" s="11346">
        <v>1250.0</v>
      </c>
      <c r="J23" t="n" s="11347">
        <v>100.0</v>
      </c>
      <c r="K23" t="n" s="11348">
        <v>0.0</v>
      </c>
      <c r="L23" t="n" s="11349">
        <v>0.0</v>
      </c>
      <c r="M23" t="n" s="11350">
        <v>0.0</v>
      </c>
      <c r="N23" t="n" s="11351">
        <v>0.0</v>
      </c>
      <c r="O23" t="n" s="11352">
        <v>60.0</v>
      </c>
      <c r="P23" t="n" s="11353">
        <v>0.0</v>
      </c>
      <c r="Q23" t="n" s="11354">
        <v>0.0</v>
      </c>
      <c r="R23" t="n" s="11355">
        <v>0.0</v>
      </c>
      <c r="S23" t="n" s="11356">
        <v>0.0</v>
      </c>
      <c r="T23" t="n" s="11357">
        <v>0.0</v>
      </c>
      <c r="U23" t="n" s="11358">
        <v>0.0</v>
      </c>
      <c r="V23" t="n" s="11359">
        <v>0.0</v>
      </c>
      <c r="W23" s="11360">
        <f>r23+t23+v23</f>
      </c>
      <c r="X23" t="n" s="11361">
        <v>0.0</v>
      </c>
      <c r="Y23" t="n" s="11362">
        <v>0.0</v>
      </c>
      <c r="Z23" t="n" s="11363">
        <v>0.0</v>
      </c>
      <c r="AA23" s="11364">
        <f>i23+j23+k23+l23+m23+n23+o23+p23+x23+y23+z23</f>
      </c>
      <c r="AB23" t="n" s="11365">
        <v>185.0</v>
      </c>
      <c r="AC23" t="n" s="11366">
        <v>25.35</v>
      </c>
      <c r="AD23" t="n" s="11367">
        <v>2.9</v>
      </c>
      <c r="AE23" t="n" s="11368">
        <v>80.0</v>
      </c>
      <c r="AF23" s="11369">
        <f>ROUND((aa23+ab23+ac23+ad23+ae23),2)</f>
      </c>
      <c r="AG23" s="11370">
        <f>af23*0.06</f>
      </c>
      <c r="AH23" s="11371">
        <f>af23+ag23</f>
      </c>
      <c r="AI23" t="s" s="11372">
        <v>0</v>
      </c>
    </row>
    <row r="24" ht="15.0" customHeight="true">
      <c r="A24" t="s" s="11373">
        <v>0</v>
      </c>
      <c r="B24" t="s" s="11374">
        <v>0</v>
      </c>
      <c r="C24" t="s" s="11375">
        <v>0</v>
      </c>
      <c r="D24" t="s" s="11376">
        <v>0</v>
      </c>
      <c r="E24" t="s" s="11377">
        <v>0</v>
      </c>
      <c r="F24" t="s" s="11378">
        <v>0</v>
      </c>
      <c r="G24" t="s" s="11379">
        <v>0</v>
      </c>
      <c r="H24" t="s" s="11380">
        <v>0</v>
      </c>
      <c r="I24" s="11381">
        <f>SUM(i8:i23)</f>
      </c>
      <c r="J24" s="11382">
        <f>SUM(j8:j23)</f>
      </c>
      <c r="K24" s="11383">
        <f>SUM(k8:k23)</f>
      </c>
      <c r="L24" s="11384">
        <f>SUM(l8:l23)</f>
      </c>
      <c r="M24" s="11385">
        <f>SUM(m8:m23)</f>
      </c>
      <c r="N24" s="11386">
        <f>SUM(n8:n23)</f>
      </c>
      <c r="O24" s="11387">
        <f>SUM(o8:o23)</f>
      </c>
      <c r="P24" s="11388">
        <f>SUM(p8:p23)</f>
      </c>
      <c r="Q24" s="11389">
        <f>SUM(q8:q23)</f>
      </c>
      <c r="R24" s="11390">
        <f>SUM(r8:r23)</f>
      </c>
      <c r="S24" s="11391">
        <f>SUM(s8:s23)</f>
      </c>
      <c r="T24" s="11392">
        <f>SUM(t8:t23)</f>
      </c>
      <c r="U24" s="11393">
        <f>SUM(u8:u23)</f>
      </c>
      <c r="V24" s="11394">
        <f>SUM(v8:v23)</f>
      </c>
      <c r="W24" s="11395">
        <f>SUM(w8:w23)</f>
      </c>
      <c r="X24" s="11396">
        <f>SUM(x8:x23)</f>
      </c>
      <c r="Y24" s="11397">
        <f>SUM(y8:y23)</f>
      </c>
      <c r="Z24" s="11398">
        <f>SUM(z8:z23)</f>
      </c>
      <c r="AA24" s="11399">
        <f>SUM(aa8:aa23)</f>
      </c>
      <c r="AB24" s="11400">
        <f>SUM(ab8:ab23)</f>
      </c>
      <c r="AC24" s="11401">
        <f>SUM(ac8:ac23)</f>
      </c>
      <c r="AD24" s="11402">
        <f>SUM(ad8:ad23)</f>
      </c>
      <c r="AE24" s="11403">
        <f>SUM(ae8:ae23)</f>
      </c>
      <c r="AF24" s="11404">
        <f>SUM(af8:af23)</f>
      </c>
      <c r="AG24" s="11405">
        <f>SUM(ag8:ag23)</f>
      </c>
      <c r="AH24" s="11406">
        <f>SUM(ah8:ah23)</f>
      </c>
      <c r="AI24" t="s" s="11407">
        <v>0</v>
      </c>
    </row>
    <row r="25" ht="15.0" customHeight="true"/>
    <row r="26" ht="15.0" customHeight="true">
      <c r="A26" t="s" s="11408">
        <v>0</v>
      </c>
      <c r="B26" t="s" s="11409">
        <v>0</v>
      </c>
      <c r="C26" t="s" s="11410">
        <v>0</v>
      </c>
      <c r="D26" t="s" s="11411">
        <v>703</v>
      </c>
    </row>
    <row r="27" ht="15.0" customHeight="true">
      <c r="D27" s="11412">
        <f>COUNTA(A8:A23)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1413">
        <v>0</v>
      </c>
      <c r="B1" t="s" s="11414">
        <v>0</v>
      </c>
      <c r="C1" t="s" s="11415">
        <v>0</v>
      </c>
      <c r="D1" t="s" s="11416">
        <v>1</v>
      </c>
    </row>
    <row r="2" ht="15.0" customHeight="true">
      <c r="A2" t="s" s="11417">
        <v>0</v>
      </c>
      <c r="B2" t="s" s="11418">
        <v>0</v>
      </c>
      <c r="C2" t="s" s="11419">
        <v>0</v>
      </c>
      <c r="D2" t="s" s="11420">
        <v>2</v>
      </c>
    </row>
    <row r="3" ht="15.0" customHeight="true">
      <c r="A3" t="s" s="11421">
        <v>0</v>
      </c>
      <c r="B3" t="s" s="11422">
        <v>0</v>
      </c>
      <c r="C3" t="s" s="11423">
        <v>0</v>
      </c>
      <c r="D3" t="s" s="11424">
        <v>3</v>
      </c>
    </row>
    <row r="4" ht="15.0" customHeight="true">
      <c r="A4" t="s" s="11425">
        <v>0</v>
      </c>
      <c r="B4" t="s" s="11426">
        <v>0</v>
      </c>
      <c r="C4" t="s" s="11427">
        <v>0</v>
      </c>
      <c r="D4" t="s" s="11428">
        <v>4</v>
      </c>
      <c r="E4" t="s" s="11429">
        <v>0</v>
      </c>
      <c r="F4" t="s" s="11430">
        <v>0</v>
      </c>
      <c r="G4" t="s" s="11431">
        <v>0</v>
      </c>
      <c r="H4" t="s" s="11432">
        <v>0</v>
      </c>
      <c r="I4" t="s" s="11433">
        <v>0</v>
      </c>
      <c r="J4" t="s" s="11434">
        <v>0</v>
      </c>
      <c r="K4" t="s" s="11435">
        <v>0</v>
      </c>
      <c r="L4" t="s" s="11436">
        <v>0</v>
      </c>
      <c r="M4" t="s" s="11437">
        <v>0</v>
      </c>
      <c r="N4" t="s" s="11438">
        <v>0</v>
      </c>
      <c r="O4" t="s" s="11439">
        <v>0</v>
      </c>
      <c r="P4" t="s" s="11440">
        <v>0</v>
      </c>
      <c r="Q4" t="s" s="11441">
        <v>0</v>
      </c>
      <c r="R4" t="s" s="11442">
        <v>0</v>
      </c>
      <c r="S4" t="s" s="11443">
        <v>0</v>
      </c>
      <c r="T4" t="s" s="11444">
        <v>0</v>
      </c>
      <c r="U4" t="s" s="11445">
        <v>0</v>
      </c>
      <c r="V4" t="s" s="11446">
        <v>0</v>
      </c>
      <c r="W4" t="s" s="11447">
        <v>0</v>
      </c>
      <c r="X4" t="s" s="11448">
        <v>0</v>
      </c>
      <c r="Y4" t="s" s="11449">
        <v>0</v>
      </c>
      <c r="Z4" t="s" s="11450">
        <v>0</v>
      </c>
      <c r="AA4" t="s" s="11451">
        <v>0</v>
      </c>
      <c r="AB4" t="s" s="11452">
        <v>0</v>
      </c>
      <c r="AC4" t="s" s="11453">
        <v>5</v>
      </c>
      <c r="AD4" t="n" s="11454">
        <v>2018.0</v>
      </c>
    </row>
    <row r="5" ht="15.0" customHeight="true">
      <c r="A5" t="s" s="11455">
        <v>0</v>
      </c>
      <c r="B5" t="s" s="11456">
        <v>0</v>
      </c>
      <c r="C5" t="s" s="11457">
        <v>0</v>
      </c>
      <c r="D5" t="s" s="11458">
        <v>0</v>
      </c>
      <c r="E5" t="s" s="11459">
        <v>0</v>
      </c>
      <c r="F5" t="s" s="11460">
        <v>0</v>
      </c>
      <c r="G5" t="s" s="11461">
        <v>0</v>
      </c>
      <c r="H5" t="s" s="11462">
        <v>0</v>
      </c>
      <c r="I5" t="s" s="11463">
        <v>0</v>
      </c>
      <c r="J5" t="s" s="11464">
        <v>0</v>
      </c>
      <c r="K5" t="s" s="11465">
        <v>0</v>
      </c>
      <c r="L5" t="s" s="11466">
        <v>0</v>
      </c>
      <c r="M5" t="s" s="11467">
        <v>0</v>
      </c>
      <c r="N5" t="s" s="11468">
        <v>0</v>
      </c>
      <c r="O5" t="s" s="11469">
        <v>0</v>
      </c>
      <c r="P5" t="s" s="11470">
        <v>0</v>
      </c>
      <c r="Q5" t="s" s="11471">
        <v>0</v>
      </c>
      <c r="R5" t="s" s="11472">
        <v>0</v>
      </c>
      <c r="S5" t="s" s="11473">
        <v>0</v>
      </c>
      <c r="T5" t="s" s="11474">
        <v>0</v>
      </c>
      <c r="U5" t="s" s="11475">
        <v>0</v>
      </c>
      <c r="V5" t="s" s="11476">
        <v>0</v>
      </c>
      <c r="W5" t="s" s="11477">
        <v>0</v>
      </c>
      <c r="X5" t="s" s="11478">
        <v>0</v>
      </c>
      <c r="Y5" t="s" s="11479">
        <v>0</v>
      </c>
      <c r="Z5" t="s" s="11480">
        <v>0</v>
      </c>
      <c r="AA5" t="s" s="11481">
        <v>0</v>
      </c>
      <c r="AB5" t="s" s="11482">
        <v>0</v>
      </c>
      <c r="AC5" t="s" s="11483">
        <v>6</v>
      </c>
      <c r="AD5" t="n" s="11484">
        <v>2017.0</v>
      </c>
    </row>
    <row r="6" ht="15.0" customHeight="true"/>
    <row r="7" ht="35.0" customHeight="true">
      <c r="A7" t="s" s="11485">
        <v>7</v>
      </c>
      <c r="B7" t="s" s="11486">
        <v>8</v>
      </c>
      <c r="C7" t="s" s="11487">
        <v>9</v>
      </c>
      <c r="D7" t="s" s="11488">
        <v>10</v>
      </c>
      <c r="E7" t="s" s="11489">
        <v>11</v>
      </c>
      <c r="F7" t="s" s="11490">
        <v>12</v>
      </c>
      <c r="G7" t="s" s="11491">
        <v>13</v>
      </c>
      <c r="H7" t="s" s="11492">
        <v>14</v>
      </c>
      <c r="I7" t="s" s="11493">
        <v>15</v>
      </c>
      <c r="J7" t="s" s="11494">
        <v>16</v>
      </c>
      <c r="K7" t="s" s="11495">
        <v>17</v>
      </c>
      <c r="L7" t="s" s="11496">
        <v>18</v>
      </c>
      <c r="M7" t="s" s="11497">
        <v>19</v>
      </c>
      <c r="N7" t="s" s="11498">
        <v>20</v>
      </c>
      <c r="O7" t="s" s="11499">
        <v>21</v>
      </c>
      <c r="P7" t="s" s="11500">
        <v>22</v>
      </c>
      <c r="Q7" t="s" s="11501">
        <v>23</v>
      </c>
      <c r="R7" t="s" s="11502">
        <v>24</v>
      </c>
      <c r="S7" t="s" s="11503">
        <v>25</v>
      </c>
      <c r="T7" t="s" s="11504">
        <v>26</v>
      </c>
      <c r="U7" t="s" s="11505">
        <v>27</v>
      </c>
      <c r="V7" t="s" s="11506">
        <v>28</v>
      </c>
      <c r="W7" t="s" s="11507">
        <v>29</v>
      </c>
      <c r="X7" t="s" s="11508">
        <v>30</v>
      </c>
      <c r="Y7" t="s" s="11509">
        <v>31</v>
      </c>
      <c r="Z7" t="s" s="11510">
        <v>32</v>
      </c>
      <c r="AA7" t="s" s="11511">
        <v>33</v>
      </c>
      <c r="AB7" t="s" s="11512">
        <v>34</v>
      </c>
      <c r="AC7" t="s" s="11513">
        <v>35</v>
      </c>
      <c r="AD7" t="s" s="11514">
        <v>36</v>
      </c>
      <c r="AE7" t="s" s="11515">
        <v>37</v>
      </c>
      <c r="AF7" t="s" s="11516">
        <v>38</v>
      </c>
      <c r="AG7" t="s" s="11517">
        <v>39</v>
      </c>
      <c r="AH7" t="s" s="11518">
        <v>40</v>
      </c>
      <c r="AI7" t="s" s="11519">
        <v>41</v>
      </c>
    </row>
    <row r="8" ht="15.0" customHeight="true">
      <c r="A8" t="s" s="11520">
        <v>393</v>
      </c>
      <c r="B8" t="s" s="11521">
        <v>394</v>
      </c>
      <c r="C8" t="s" s="11522">
        <v>395</v>
      </c>
      <c r="D8" t="s" s="11523">
        <v>396</v>
      </c>
      <c r="E8" t="s" s="11524">
        <v>397</v>
      </c>
      <c r="F8" t="s" s="11525">
        <v>398</v>
      </c>
      <c r="G8" t="n" s="11526">
        <v>41944.0</v>
      </c>
      <c r="H8" t="s" s="11527">
        <v>0</v>
      </c>
      <c r="I8" t="n" s="11528">
        <v>1350.0</v>
      </c>
      <c r="J8" t="n" s="11529">
        <v>100.0</v>
      </c>
      <c r="K8" t="n" s="11530">
        <v>0.0</v>
      </c>
      <c r="L8" t="n" s="11531">
        <v>1450.0</v>
      </c>
      <c r="M8" t="n" s="11532">
        <v>0.0</v>
      </c>
      <c r="N8" t="n" s="11533">
        <v>44.2</v>
      </c>
      <c r="O8" t="n" s="11534">
        <v>60.0</v>
      </c>
      <c r="P8" t="n" s="11535">
        <v>0.0</v>
      </c>
      <c r="Q8" t="n" s="11536">
        <v>12.0</v>
      </c>
      <c r="R8" t="n" s="11537">
        <v>109.08</v>
      </c>
      <c r="S8" t="n" s="11538">
        <v>8.0</v>
      </c>
      <c r="T8" t="n" s="11539">
        <v>96.96</v>
      </c>
      <c r="U8" t="n" s="11540">
        <v>2.0</v>
      </c>
      <c r="V8" t="n" s="11541">
        <v>36.34</v>
      </c>
      <c r="W8" s="11542">
        <f>r8+t8+v8</f>
      </c>
      <c r="X8" t="n" s="11543">
        <v>0.0</v>
      </c>
      <c r="Y8" t="n" s="11544">
        <v>0.0</v>
      </c>
      <c r="Z8" t="n" s="11545">
        <v>0.0</v>
      </c>
      <c r="AA8" s="11546">
        <f>i8+j8+k8+l8+m8+n8+o8+p8+x8+y8+z8</f>
      </c>
      <c r="AB8" t="n" s="11547">
        <v>770.0</v>
      </c>
      <c r="AC8" t="n" s="11548">
        <v>113.7</v>
      </c>
      <c r="AD8" t="n" s="11549">
        <v>13.0</v>
      </c>
      <c r="AE8" t="n" s="11550">
        <v>80.0</v>
      </c>
      <c r="AF8" s="11551">
        <f>ROUND((aa8+ab8+ac8+ad8+ae8),2)</f>
      </c>
      <c r="AG8" s="11552">
        <f>af8*0.06</f>
      </c>
      <c r="AH8" s="11553">
        <f>af8+ag8</f>
      </c>
      <c r="AI8" t="s" s="11554">
        <v>0</v>
      </c>
    </row>
    <row r="9" ht="15.0" customHeight="true">
      <c r="A9" t="s" s="11555">
        <v>399</v>
      </c>
      <c r="B9" t="s" s="11556">
        <v>400</v>
      </c>
      <c r="C9" t="s" s="11557">
        <v>401</v>
      </c>
      <c r="D9" t="s" s="11558">
        <v>402</v>
      </c>
      <c r="E9" t="s" s="11559">
        <v>403</v>
      </c>
      <c r="F9" t="s" s="11560">
        <v>398</v>
      </c>
      <c r="G9" t="n" s="11561">
        <v>41944.0</v>
      </c>
      <c r="H9" t="s" s="11562">
        <v>0</v>
      </c>
      <c r="I9" t="n" s="11563">
        <v>1370.0</v>
      </c>
      <c r="J9" t="n" s="11564">
        <v>100.0</v>
      </c>
      <c r="K9" t="n" s="11565">
        <v>0.0</v>
      </c>
      <c r="L9" t="n" s="11566">
        <v>1450.0</v>
      </c>
      <c r="M9" t="n" s="11567">
        <v>0.0</v>
      </c>
      <c r="N9" t="n" s="11568">
        <v>10.0</v>
      </c>
      <c r="O9" t="n" s="11569">
        <v>60.0</v>
      </c>
      <c r="P9" t="n" s="11570">
        <v>0.0</v>
      </c>
      <c r="Q9" t="n" s="11571">
        <v>0.0</v>
      </c>
      <c r="R9" t="n" s="11572">
        <v>0.0</v>
      </c>
      <c r="S9" t="n" s="11573">
        <v>8.0</v>
      </c>
      <c r="T9" t="n" s="11574">
        <v>100.0</v>
      </c>
      <c r="U9" t="n" s="11575">
        <v>0.0</v>
      </c>
      <c r="V9" t="n" s="11576">
        <v>0.0</v>
      </c>
      <c r="W9" s="11577">
        <f>r9+t9+v9</f>
      </c>
      <c r="X9" t="n" s="11578">
        <v>0.0</v>
      </c>
      <c r="Y9" t="n" s="11579">
        <v>0.0</v>
      </c>
      <c r="Z9" t="n" s="11580">
        <v>0.0</v>
      </c>
      <c r="AA9" s="11581">
        <f>i9+j9+k9+l9+m9+n9+o9+p9+x9+y9+z9</f>
      </c>
      <c r="AB9" t="n" s="11582">
        <v>776.0</v>
      </c>
      <c r="AC9" t="n" s="11583">
        <v>106.7</v>
      </c>
      <c r="AD9" t="n" s="11584">
        <v>12.2</v>
      </c>
      <c r="AE9" t="n" s="11585">
        <v>80.0</v>
      </c>
      <c r="AF9" s="11586">
        <f>ROUND((aa9+ab9+ac9+ad9+ae9),2)</f>
      </c>
      <c r="AG9" s="11587">
        <f>af9*0.06</f>
      </c>
      <c r="AH9" s="11588">
        <f>af9+ag9</f>
      </c>
      <c r="AI9" t="s" s="11589">
        <v>0</v>
      </c>
    </row>
    <row r="10" ht="15.0" customHeight="true">
      <c r="A10" t="s" s="11590">
        <v>404</v>
      </c>
      <c r="B10" t="s" s="11591">
        <v>405</v>
      </c>
      <c r="C10" t="s" s="11592">
        <v>406</v>
      </c>
      <c r="D10" t="s" s="11593">
        <v>407</v>
      </c>
      <c r="E10" t="s" s="11594">
        <v>408</v>
      </c>
      <c r="F10" t="s" s="11595">
        <v>398</v>
      </c>
      <c r="G10" t="n" s="11596">
        <v>41944.0</v>
      </c>
      <c r="H10" t="s" s="11597">
        <v>0</v>
      </c>
      <c r="I10" t="n" s="11598">
        <v>1160.0</v>
      </c>
      <c r="J10" t="n" s="11599">
        <v>100.0</v>
      </c>
      <c r="K10" t="n" s="11600">
        <v>0.0</v>
      </c>
      <c r="L10" t="n" s="11601">
        <v>1850.0</v>
      </c>
      <c r="M10" t="n" s="11602">
        <v>0.0</v>
      </c>
      <c r="N10" t="n" s="11603">
        <v>10.0</v>
      </c>
      <c r="O10" t="n" s="11604">
        <v>60.0</v>
      </c>
      <c r="P10" t="n" s="11605">
        <v>0.0</v>
      </c>
      <c r="Q10" t="n" s="11606">
        <v>13.0</v>
      </c>
      <c r="R10" t="n" s="11607">
        <v>102.18</v>
      </c>
      <c r="S10" t="n" s="11608">
        <v>8.0</v>
      </c>
      <c r="T10" t="n" s="11609">
        <v>83.84</v>
      </c>
      <c r="U10" t="n" s="11610">
        <v>0.0</v>
      </c>
      <c r="V10" t="n" s="11611">
        <v>0.0</v>
      </c>
      <c r="W10" s="11612">
        <f>r10+t10+v10</f>
      </c>
      <c r="X10" t="n" s="11613">
        <v>0.0</v>
      </c>
      <c r="Y10" t="n" s="11614">
        <v>0.0</v>
      </c>
      <c r="Z10" t="n" s="11615">
        <v>0.0</v>
      </c>
      <c r="AA10" s="11616">
        <f>i10+j10+k10+l10+m10+n10+o10+p10+x10+y10+z10</f>
      </c>
      <c r="AB10" t="n" s="11617">
        <v>828.0</v>
      </c>
      <c r="AC10" t="n" s="11618">
        <v>113.7</v>
      </c>
      <c r="AD10" t="n" s="11619">
        <v>13.0</v>
      </c>
      <c r="AE10" t="n" s="11620">
        <v>80.0</v>
      </c>
      <c r="AF10" s="11621">
        <f>ROUND((aa10+ab10+ac10+ad10+ae10),2)</f>
      </c>
      <c r="AG10" s="11622">
        <f>af10*0.06</f>
      </c>
      <c r="AH10" s="11623">
        <f>af10+ag10</f>
      </c>
      <c r="AI10" t="s" s="11624">
        <v>0</v>
      </c>
    </row>
    <row r="11" ht="15.0" customHeight="true">
      <c r="A11" t="s" s="11625">
        <v>409</v>
      </c>
      <c r="B11" t="s" s="11626">
        <v>410</v>
      </c>
      <c r="C11" t="s" s="11627">
        <v>411</v>
      </c>
      <c r="D11" t="s" s="11628">
        <v>412</v>
      </c>
      <c r="E11" t="s" s="11629">
        <v>413</v>
      </c>
      <c r="F11" t="s" s="11630">
        <v>398</v>
      </c>
      <c r="G11" t="n" s="11631">
        <v>42005.0</v>
      </c>
      <c r="H11" t="s" s="11632">
        <v>0</v>
      </c>
      <c r="I11" t="n" s="11633">
        <v>1490.0</v>
      </c>
      <c r="J11" t="n" s="11634">
        <v>100.0</v>
      </c>
      <c r="K11" t="n" s="11635">
        <v>0.0</v>
      </c>
      <c r="L11" t="n" s="11636">
        <v>2400.0</v>
      </c>
      <c r="M11" t="n" s="11637">
        <v>0.0</v>
      </c>
      <c r="N11" t="n" s="11638">
        <v>48.4</v>
      </c>
      <c r="O11" t="n" s="11639">
        <v>60.0</v>
      </c>
      <c r="P11" t="n" s="11640">
        <v>0.0</v>
      </c>
      <c r="Q11" t="n" s="11641">
        <v>12.0</v>
      </c>
      <c r="R11" t="n" s="11642">
        <v>121.2</v>
      </c>
      <c r="S11" t="n" s="11643">
        <v>8.0</v>
      </c>
      <c r="T11" t="n" s="11644">
        <v>107.68</v>
      </c>
      <c r="U11" t="n" s="11645">
        <v>3.0</v>
      </c>
      <c r="V11" t="n" s="11646">
        <v>60.57</v>
      </c>
      <c r="W11" s="11647">
        <f>r11+t11+v11</f>
      </c>
      <c r="X11" t="n" s="11648">
        <v>0.0</v>
      </c>
      <c r="Y11" t="n" s="11649">
        <v>0.0</v>
      </c>
      <c r="Z11" t="n" s="11650">
        <v>0.0</v>
      </c>
      <c r="AA11" s="11651">
        <f>i11+j11+k11+l11+m11+n11+o11+p11+x11+y11+z11</f>
      </c>
      <c r="AB11" t="n" s="11652">
        <v>1056.0</v>
      </c>
      <c r="AC11" t="n" s="11653">
        <v>138.1</v>
      </c>
      <c r="AD11" t="n" s="11654">
        <v>15.8</v>
      </c>
      <c r="AE11" t="n" s="11655">
        <v>80.0</v>
      </c>
      <c r="AF11" s="11656">
        <f>ROUND((aa11+ab11+ac11+ad11+ae11),2)</f>
      </c>
      <c r="AG11" s="11657">
        <f>af11*0.06</f>
      </c>
      <c r="AH11" s="11658">
        <f>af11+ag11</f>
      </c>
      <c r="AI11" t="s" s="11659">
        <v>0</v>
      </c>
    </row>
    <row r="12" ht="15.0" customHeight="true">
      <c r="A12" t="s" s="11660">
        <v>414</v>
      </c>
      <c r="B12" t="s" s="11661">
        <v>415</v>
      </c>
      <c r="C12" t="s" s="11662">
        <v>416</v>
      </c>
      <c r="D12" t="s" s="11663">
        <v>417</v>
      </c>
      <c r="E12" t="s" s="11664">
        <v>418</v>
      </c>
      <c r="F12" t="s" s="11665">
        <v>398</v>
      </c>
      <c r="G12" t="n" s="11666">
        <v>42005.0</v>
      </c>
      <c r="H12" t="n" s="11667">
        <v>43131.0</v>
      </c>
      <c r="I12" t="n" s="11668">
        <v>1570.0</v>
      </c>
      <c r="J12" t="n" s="11669">
        <v>100.0</v>
      </c>
      <c r="K12" t="n" s="11670">
        <v>0.0</v>
      </c>
      <c r="L12" t="n" s="11671">
        <v>2000.0</v>
      </c>
      <c r="M12" t="n" s="11672">
        <v>0.0</v>
      </c>
      <c r="N12" t="n" s="11673">
        <v>10.0</v>
      </c>
      <c r="O12" t="n" s="11674">
        <v>0.0</v>
      </c>
      <c r="P12" t="n" s="11675">
        <v>0.0</v>
      </c>
      <c r="Q12" t="n" s="11676">
        <v>6.0</v>
      </c>
      <c r="R12" t="n" s="11677">
        <v>64.02</v>
      </c>
      <c r="S12" t="n" s="11678">
        <v>8.0</v>
      </c>
      <c r="T12" t="n" s="11679">
        <v>113.84</v>
      </c>
      <c r="U12" t="n" s="11680">
        <v>1.0</v>
      </c>
      <c r="V12" t="n" s="11681">
        <v>21.35</v>
      </c>
      <c r="W12" s="11682">
        <f>r12+t12+v12</f>
      </c>
      <c r="X12" t="n" s="11683">
        <v>0.0</v>
      </c>
      <c r="Y12" t="n" s="11684">
        <v>0.0</v>
      </c>
      <c r="Z12" t="n" s="11685">
        <v>0.0</v>
      </c>
      <c r="AA12" s="11686">
        <f>i12+j12+k12+l12+m12+n12+o12+p12+x12+y12+z12</f>
      </c>
      <c r="AB12" t="n" s="11687">
        <v>958.0</v>
      </c>
      <c r="AC12" t="n" s="11688">
        <v>134.7</v>
      </c>
      <c r="AD12" t="n" s="11689">
        <v>15.4</v>
      </c>
      <c r="AE12" t="n" s="11690">
        <v>80.0</v>
      </c>
      <c r="AF12" s="11691">
        <f>ROUND((aa12+ab12+ac12+ad12+ae12),2)</f>
      </c>
      <c r="AG12" s="11692">
        <f>af12*0.06</f>
      </c>
      <c r="AH12" s="11693">
        <f>af12+ag12</f>
      </c>
      <c r="AI12" t="s" s="11694">
        <v>0</v>
      </c>
    </row>
    <row r="13" ht="15.0" customHeight="true">
      <c r="A13" t="s" s="11695">
        <v>419</v>
      </c>
      <c r="B13" t="s" s="11696">
        <v>420</v>
      </c>
      <c r="C13" t="s" s="11697">
        <v>421</v>
      </c>
      <c r="D13" t="s" s="11698">
        <v>422</v>
      </c>
      <c r="E13" t="s" s="11699">
        <v>423</v>
      </c>
      <c r="F13" t="s" s="11700">
        <v>398</v>
      </c>
      <c r="G13" t="n" s="11701">
        <v>41944.0</v>
      </c>
      <c r="H13" t="s" s="11702">
        <v>0</v>
      </c>
      <c r="I13" t="n" s="11703">
        <v>1170.0</v>
      </c>
      <c r="J13" t="n" s="11704">
        <v>100.0</v>
      </c>
      <c r="K13" t="n" s="11705">
        <v>0.0</v>
      </c>
      <c r="L13" t="n" s="11706">
        <v>1750.0</v>
      </c>
      <c r="M13" t="n" s="11707">
        <v>0.0</v>
      </c>
      <c r="N13" t="n" s="11708">
        <v>33.7</v>
      </c>
      <c r="O13" t="n" s="11709">
        <v>60.0</v>
      </c>
      <c r="P13" t="n" s="11710">
        <v>0.0</v>
      </c>
      <c r="Q13" t="n" s="11711">
        <v>7.0</v>
      </c>
      <c r="R13" t="n" s="11712">
        <v>56.56</v>
      </c>
      <c r="S13" t="n" s="11713">
        <v>8.0</v>
      </c>
      <c r="T13" t="n" s="11714">
        <v>86.16</v>
      </c>
      <c r="U13" t="n" s="11715">
        <v>0.0</v>
      </c>
      <c r="V13" t="n" s="11716">
        <v>0.0</v>
      </c>
      <c r="W13" s="11717">
        <f>r13+t13+v13</f>
      </c>
      <c r="X13" t="n" s="11718">
        <v>0.0</v>
      </c>
      <c r="Y13" t="n" s="11719">
        <v>0.0</v>
      </c>
      <c r="Z13" t="n" s="11720">
        <v>0.0</v>
      </c>
      <c r="AA13" s="11721">
        <f>i13+j13+k13+l13+m13+n13+o13+p13+x13+y13+z13</f>
      </c>
      <c r="AB13" t="n" s="11722">
        <v>802.0</v>
      </c>
      <c r="AC13" t="n" s="11723">
        <v>110.3</v>
      </c>
      <c r="AD13" t="n" s="11724">
        <v>12.6</v>
      </c>
      <c r="AE13" t="n" s="11725">
        <v>80.0</v>
      </c>
      <c r="AF13" s="11726">
        <f>ROUND((aa13+ab13+ac13+ad13+ae13),2)</f>
      </c>
      <c r="AG13" s="11727">
        <f>af13*0.06</f>
      </c>
      <c r="AH13" s="11728">
        <f>af13+ag13</f>
      </c>
      <c r="AI13" t="s" s="11729">
        <v>0</v>
      </c>
    </row>
    <row r="14" ht="15.0" customHeight="true">
      <c r="A14" t="s" s="11730">
        <v>424</v>
      </c>
      <c r="B14" t="s" s="11731">
        <v>425</v>
      </c>
      <c r="C14" t="s" s="11732">
        <v>426</v>
      </c>
      <c r="D14" t="s" s="11733">
        <v>427</v>
      </c>
      <c r="E14" t="s" s="11734">
        <v>428</v>
      </c>
      <c r="F14" t="s" s="11735">
        <v>398</v>
      </c>
      <c r="G14" t="n" s="11736">
        <v>41944.0</v>
      </c>
      <c r="H14" t="s" s="11737">
        <v>0</v>
      </c>
      <c r="I14" t="n" s="11738">
        <v>1230.0</v>
      </c>
      <c r="J14" t="n" s="11739">
        <v>100.0</v>
      </c>
      <c r="K14" t="n" s="11740">
        <v>0.0</v>
      </c>
      <c r="L14" t="n" s="11741">
        <v>2350.0</v>
      </c>
      <c r="M14" t="n" s="11742">
        <v>0.0</v>
      </c>
      <c r="N14" t="n" s="11743">
        <v>10.0</v>
      </c>
      <c r="O14" t="n" s="11744">
        <v>60.0</v>
      </c>
      <c r="P14" t="n" s="11745">
        <v>0.0</v>
      </c>
      <c r="Q14" t="n" s="11746">
        <v>10.0</v>
      </c>
      <c r="R14" t="n" s="11747">
        <v>83.7</v>
      </c>
      <c r="S14" t="n" s="11748">
        <v>8.0</v>
      </c>
      <c r="T14" t="n" s="11749">
        <v>89.2</v>
      </c>
      <c r="U14" t="n" s="11750">
        <v>1.0</v>
      </c>
      <c r="V14" t="n" s="11751">
        <v>16.73</v>
      </c>
      <c r="W14" s="11752">
        <f>r14+t14+v14</f>
      </c>
      <c r="X14" t="n" s="11753">
        <v>0.0</v>
      </c>
      <c r="Y14" t="n" s="11754">
        <v>0.0</v>
      </c>
      <c r="Z14" t="n" s="11755">
        <v>0.0</v>
      </c>
      <c r="AA14" s="11756">
        <f>i14+j14+k14+l14+m14+n14+o14+p14+x14+y14+z14</f>
      </c>
      <c r="AB14" t="n" s="11757">
        <v>1078.0</v>
      </c>
      <c r="AC14" t="n" s="11758">
        <v>138.1</v>
      </c>
      <c r="AD14" t="n" s="11759">
        <v>15.8</v>
      </c>
      <c r="AE14" t="n" s="11760">
        <v>80.0</v>
      </c>
      <c r="AF14" s="11761">
        <f>ROUND((aa14+ab14+ac14+ad14+ae14),2)</f>
      </c>
      <c r="AG14" s="11762">
        <f>af14*0.06</f>
      </c>
      <c r="AH14" s="11763">
        <f>af14+ag14</f>
      </c>
      <c r="AI14" t="s" s="11764">
        <v>0</v>
      </c>
    </row>
    <row r="15" ht="15.0" customHeight="true">
      <c r="A15" t="s" s="11765">
        <v>429</v>
      </c>
      <c r="B15" t="s" s="11766">
        <v>430</v>
      </c>
      <c r="C15" t="s" s="11767">
        <v>431</v>
      </c>
      <c r="D15" t="s" s="11768">
        <v>432</v>
      </c>
      <c r="E15" t="s" s="11769">
        <v>433</v>
      </c>
      <c r="F15" t="s" s="11770">
        <v>398</v>
      </c>
      <c r="G15" t="n" s="11771">
        <v>42005.0</v>
      </c>
      <c r="H15" t="s" s="11772">
        <v>0</v>
      </c>
      <c r="I15" t="n" s="11773">
        <v>1280.0</v>
      </c>
      <c r="J15" t="n" s="11774">
        <v>100.0</v>
      </c>
      <c r="K15" t="n" s="11775">
        <v>0.0</v>
      </c>
      <c r="L15" t="n" s="11776">
        <v>1600.0</v>
      </c>
      <c r="M15" t="n" s="11777">
        <v>0.0</v>
      </c>
      <c r="N15" t="n" s="11778">
        <v>23.2</v>
      </c>
      <c r="O15" t="n" s="11779">
        <v>60.0</v>
      </c>
      <c r="P15" t="n" s="11780">
        <v>0.0</v>
      </c>
      <c r="Q15" t="n" s="11781">
        <v>4.0</v>
      </c>
      <c r="R15" t="n" s="11782">
        <v>34.6</v>
      </c>
      <c r="S15" t="n" s="11783">
        <v>8.0</v>
      </c>
      <c r="T15" t="n" s="11784">
        <v>92.32</v>
      </c>
      <c r="U15" t="n" s="11785">
        <v>1.0</v>
      </c>
      <c r="V15" t="n" s="11786">
        <v>17.31</v>
      </c>
      <c r="W15" s="11787">
        <f>r15+t15+v15</f>
      </c>
      <c r="X15" t="n" s="11788">
        <v>0.0</v>
      </c>
      <c r="Y15" t="n" s="11789">
        <v>0.0</v>
      </c>
      <c r="Z15" t="n" s="11790">
        <v>0.0</v>
      </c>
      <c r="AA15" s="11791">
        <f>i15+j15+k15+l15+m15+n15+o15+p15+x15+y15+z15</f>
      </c>
      <c r="AB15" t="n" s="11792">
        <v>792.0</v>
      </c>
      <c r="AC15" t="n" s="11793">
        <v>113.7</v>
      </c>
      <c r="AD15" t="n" s="11794">
        <v>13.0</v>
      </c>
      <c r="AE15" t="n" s="11795">
        <v>80.0</v>
      </c>
      <c r="AF15" s="11796">
        <f>ROUND((aa15+ab15+ac15+ad15+ae15),2)</f>
      </c>
      <c r="AG15" s="11797">
        <f>af15*0.06</f>
      </c>
      <c r="AH15" s="11798">
        <f>af15+ag15</f>
      </c>
      <c r="AI15" t="s" s="11799">
        <v>0</v>
      </c>
    </row>
    <row r="16" ht="15.0" customHeight="true">
      <c r="A16" t="s" s="11800">
        <v>434</v>
      </c>
      <c r="B16" t="s" s="11801">
        <v>435</v>
      </c>
      <c r="C16" t="s" s="11802">
        <v>436</v>
      </c>
      <c r="D16" t="s" s="11803">
        <v>437</v>
      </c>
      <c r="E16" t="s" s="11804">
        <v>438</v>
      </c>
      <c r="F16" t="s" s="11805">
        <v>398</v>
      </c>
      <c r="G16" t="n" s="11806">
        <v>41944.0</v>
      </c>
      <c r="H16" t="s" s="11807">
        <v>0</v>
      </c>
      <c r="I16" t="n" s="11808">
        <v>1210.0</v>
      </c>
      <c r="J16" t="n" s="11809">
        <v>100.0</v>
      </c>
      <c r="K16" t="n" s="11810">
        <v>0.0</v>
      </c>
      <c r="L16" t="n" s="11811">
        <v>2400.0</v>
      </c>
      <c r="M16" t="n" s="11812">
        <v>0.0</v>
      </c>
      <c r="N16" t="n" s="11813">
        <v>16.9</v>
      </c>
      <c r="O16" t="n" s="11814">
        <v>60.0</v>
      </c>
      <c r="P16" t="n" s="11815">
        <v>0.0</v>
      </c>
      <c r="Q16" t="n" s="11816">
        <v>11.0</v>
      </c>
      <c r="R16" t="n" s="11817">
        <v>90.42</v>
      </c>
      <c r="S16" t="n" s="11818">
        <v>8.0</v>
      </c>
      <c r="T16" t="n" s="11819">
        <v>87.68</v>
      </c>
      <c r="U16" t="n" s="11820">
        <v>1.0</v>
      </c>
      <c r="V16" t="n" s="11821">
        <v>16.44</v>
      </c>
      <c r="W16" s="11822">
        <f>r16+t16+v16</f>
      </c>
      <c r="X16" t="n" s="11823">
        <v>0.0</v>
      </c>
      <c r="Y16" t="n" s="11824">
        <v>0.0</v>
      </c>
      <c r="Z16" t="n" s="11825">
        <v>0.0</v>
      </c>
      <c r="AA16" s="11826">
        <f>i16+j16+k16+l16+m16+n16+o16+p16+x16+y16+z16</f>
      </c>
      <c r="AB16" t="n" s="11827">
        <v>984.0</v>
      </c>
      <c r="AC16" t="n" s="11828">
        <v>138.1</v>
      </c>
      <c r="AD16" t="n" s="11829">
        <v>15.8</v>
      </c>
      <c r="AE16" t="n" s="11830">
        <v>80.0</v>
      </c>
      <c r="AF16" s="11831">
        <f>ROUND((aa16+ab16+ac16+ad16+ae16),2)</f>
      </c>
      <c r="AG16" s="11832">
        <f>af16*0.06</f>
      </c>
      <c r="AH16" s="11833">
        <f>af16+ag16</f>
      </c>
      <c r="AI16" t="s" s="11834">
        <v>0</v>
      </c>
    </row>
    <row r="17" ht="15.0" customHeight="true">
      <c r="A17" t="s" s="11835">
        <v>439</v>
      </c>
      <c r="B17" t="s" s="11836">
        <v>440</v>
      </c>
      <c r="C17" t="s" s="11837">
        <v>441</v>
      </c>
      <c r="D17" t="s" s="11838">
        <v>442</v>
      </c>
      <c r="E17" t="s" s="11839">
        <v>443</v>
      </c>
      <c r="F17" t="s" s="11840">
        <v>398</v>
      </c>
      <c r="G17" t="n" s="11841">
        <v>41944.0</v>
      </c>
      <c r="H17" t="s" s="11842">
        <v>0</v>
      </c>
      <c r="I17" t="n" s="11843">
        <v>1870.0</v>
      </c>
      <c r="J17" t="n" s="11844">
        <v>100.0</v>
      </c>
      <c r="K17" t="n" s="11845">
        <v>0.0</v>
      </c>
      <c r="L17" t="n" s="11846">
        <v>2000.0</v>
      </c>
      <c r="M17" t="n" s="11847">
        <v>0.0</v>
      </c>
      <c r="N17" t="n" s="11848">
        <v>13.3</v>
      </c>
      <c r="O17" t="n" s="11849">
        <v>60.0</v>
      </c>
      <c r="P17" t="n" s="11850">
        <v>0.0</v>
      </c>
      <c r="Q17" t="n" s="11851">
        <v>12.0</v>
      </c>
      <c r="R17" t="n" s="11852">
        <v>152.28</v>
      </c>
      <c r="S17" t="n" s="11853">
        <v>8.0</v>
      </c>
      <c r="T17" t="n" s="11854">
        <v>135.36</v>
      </c>
      <c r="U17" t="n" s="11855">
        <v>2.0</v>
      </c>
      <c r="V17" t="n" s="11856">
        <v>50.76</v>
      </c>
      <c r="W17" s="11857">
        <f>r17+t17+v17</f>
      </c>
      <c r="X17" t="n" s="11858">
        <v>0.0</v>
      </c>
      <c r="Y17" t="n" s="11859">
        <v>0.0</v>
      </c>
      <c r="Z17" t="n" s="11860">
        <v>0.0</v>
      </c>
      <c r="AA17" s="11861">
        <f>i17+j17+k17+l17+m17+n17+o17+p17+x17+y17+z17</f>
      </c>
      <c r="AB17" t="n" s="11862">
        <v>1052.0</v>
      </c>
      <c r="AC17" t="n" s="11863">
        <v>138.1</v>
      </c>
      <c r="AD17" t="n" s="11864">
        <v>15.8</v>
      </c>
      <c r="AE17" t="n" s="11865">
        <v>80.0</v>
      </c>
      <c r="AF17" s="11866">
        <f>ROUND((aa17+ab17+ac17+ad17+ae17),2)</f>
      </c>
      <c r="AG17" s="11867">
        <f>af17*0.06</f>
      </c>
      <c r="AH17" s="11868">
        <f>af17+ag17</f>
      </c>
      <c r="AI17" t="s" s="11869">
        <v>0</v>
      </c>
    </row>
    <row r="18" ht="15.0" customHeight="true">
      <c r="A18" t="s" s="11870">
        <v>444</v>
      </c>
      <c r="B18" t="s" s="11871">
        <v>445</v>
      </c>
      <c r="C18" t="s" s="11872">
        <v>446</v>
      </c>
      <c r="D18" t="s" s="11873">
        <v>447</v>
      </c>
      <c r="E18" t="s" s="11874">
        <v>448</v>
      </c>
      <c r="F18" t="s" s="11875">
        <v>398</v>
      </c>
      <c r="G18" t="n" s="11876">
        <v>41944.0</v>
      </c>
      <c r="H18" t="s" s="11877">
        <v>0</v>
      </c>
      <c r="I18" t="n" s="11878">
        <v>1310.0</v>
      </c>
      <c r="J18" t="n" s="11879">
        <v>100.0</v>
      </c>
      <c r="K18" t="n" s="11880">
        <v>0.0</v>
      </c>
      <c r="L18" t="n" s="11881">
        <v>2450.0</v>
      </c>
      <c r="M18" t="n" s="11882">
        <v>0.0</v>
      </c>
      <c r="N18" t="n" s="11883">
        <v>88.2</v>
      </c>
      <c r="O18" t="n" s="11884">
        <v>60.0</v>
      </c>
      <c r="P18" t="n" s="11885">
        <v>0.0</v>
      </c>
      <c r="Q18" t="n" s="11886">
        <v>11.0</v>
      </c>
      <c r="R18" t="n" s="11887">
        <v>97.57</v>
      </c>
      <c r="S18" t="n" s="11888">
        <v>8.0</v>
      </c>
      <c r="T18" t="n" s="11889">
        <v>94.64</v>
      </c>
      <c r="U18" t="n" s="11890">
        <v>1.0</v>
      </c>
      <c r="V18" t="n" s="11891">
        <v>17.74</v>
      </c>
      <c r="W18" s="11892">
        <f>r18+t18+v18</f>
      </c>
      <c r="X18" t="n" s="11893">
        <v>0.0</v>
      </c>
      <c r="Y18" t="n" s="11894">
        <v>0.0</v>
      </c>
      <c r="Z18" t="n" s="11895">
        <v>0.0</v>
      </c>
      <c r="AA18" s="11896">
        <f>i18+j18+k18+l18+m18+n18+o18+p18+x18+y18+z18</f>
      </c>
      <c r="AB18" t="n" s="11897">
        <v>1020.0</v>
      </c>
      <c r="AC18" t="n" s="11898">
        <v>138.1</v>
      </c>
      <c r="AD18" t="n" s="11899">
        <v>15.8</v>
      </c>
      <c r="AE18" t="n" s="11900">
        <v>80.0</v>
      </c>
      <c r="AF18" s="11901">
        <f>ROUND((aa18+ab18+ac18+ad18+ae18),2)</f>
      </c>
      <c r="AG18" s="11902">
        <f>af18*0.06</f>
      </c>
      <c r="AH18" s="11903">
        <f>af18+ag18</f>
      </c>
      <c r="AI18" t="s" s="11904">
        <v>0</v>
      </c>
    </row>
    <row r="19" ht="15.0" customHeight="true">
      <c r="A19" t="s" s="11905">
        <v>449</v>
      </c>
      <c r="B19" t="s" s="11906">
        <v>450</v>
      </c>
      <c r="C19" t="s" s="11907">
        <v>451</v>
      </c>
      <c r="D19" t="s" s="11908">
        <v>452</v>
      </c>
      <c r="E19" t="s" s="11909">
        <v>453</v>
      </c>
      <c r="F19" t="s" s="11910">
        <v>398</v>
      </c>
      <c r="G19" t="n" s="11911">
        <v>42139.0</v>
      </c>
      <c r="H19" t="s" s="11912">
        <v>0</v>
      </c>
      <c r="I19" t="n" s="11913">
        <v>1180.0</v>
      </c>
      <c r="J19" t="n" s="11914">
        <v>100.0</v>
      </c>
      <c r="K19" t="n" s="11915">
        <v>0.0</v>
      </c>
      <c r="L19" t="n" s="11916">
        <v>3400.0</v>
      </c>
      <c r="M19" t="n" s="11917">
        <v>0.0</v>
      </c>
      <c r="N19" t="n" s="11918">
        <v>10.0</v>
      </c>
      <c r="O19" t="n" s="11919">
        <v>60.0</v>
      </c>
      <c r="P19" t="n" s="11920">
        <v>0.0</v>
      </c>
      <c r="Q19" t="n" s="11921">
        <v>1.0</v>
      </c>
      <c r="R19" t="n" s="11922">
        <v>7.93</v>
      </c>
      <c r="S19" t="n" s="11923">
        <v>8.0</v>
      </c>
      <c r="T19" t="n" s="11924">
        <v>84.64</v>
      </c>
      <c r="U19" t="n" s="11925">
        <v>1.0</v>
      </c>
      <c r="V19" t="n" s="11926">
        <v>15.87</v>
      </c>
      <c r="W19" s="11927">
        <f>r19+t19+v19</f>
      </c>
      <c r="X19" t="n" s="11928">
        <v>0.0</v>
      </c>
      <c r="Y19" t="n" s="11929">
        <v>0.0</v>
      </c>
      <c r="Z19" t="n" s="11930">
        <v>0.0</v>
      </c>
      <c r="AA19" s="11931">
        <f>i19+j19+k19+l19+m19+n19+o19+p19+x19+y19+z19</f>
      </c>
      <c r="AB19" t="n" s="11932">
        <v>1234.0</v>
      </c>
      <c r="AC19" t="n" s="11933">
        <v>138.1</v>
      </c>
      <c r="AD19" t="n" s="11934">
        <v>15.8</v>
      </c>
      <c r="AE19" t="n" s="11935">
        <v>80.0</v>
      </c>
      <c r="AF19" s="11936">
        <f>ROUND((aa19+ab19+ac19+ad19+ae19),2)</f>
      </c>
      <c r="AG19" s="11937">
        <f>af19*0.06</f>
      </c>
      <c r="AH19" s="11938">
        <f>af19+ag19</f>
      </c>
      <c r="AI19" t="s" s="11939">
        <v>0</v>
      </c>
    </row>
    <row r="20" ht="15.0" customHeight="true">
      <c r="A20" t="s" s="11940">
        <v>454</v>
      </c>
      <c r="B20" t="s" s="11941">
        <v>455</v>
      </c>
      <c r="C20" t="s" s="11942">
        <v>456</v>
      </c>
      <c r="D20" t="s" s="11943">
        <v>457</v>
      </c>
      <c r="E20" t="s" s="11944">
        <v>458</v>
      </c>
      <c r="F20" t="s" s="11945">
        <v>398</v>
      </c>
      <c r="G20" t="n" s="11946">
        <v>42993.0</v>
      </c>
      <c r="H20" t="s" s="11947">
        <v>0</v>
      </c>
      <c r="I20" t="n" s="11948">
        <v>1250.0</v>
      </c>
      <c r="J20" t="n" s="11949">
        <v>100.0</v>
      </c>
      <c r="K20" t="n" s="11950">
        <v>0.0</v>
      </c>
      <c r="L20" t="n" s="11951">
        <v>3800.0</v>
      </c>
      <c r="M20" t="n" s="11952">
        <v>0.0</v>
      </c>
      <c r="N20" t="n" s="11953">
        <v>16.9</v>
      </c>
      <c r="O20" t="n" s="11954">
        <v>60.0</v>
      </c>
      <c r="P20" t="n" s="11955">
        <v>0.0</v>
      </c>
      <c r="Q20" t="n" s="11956">
        <v>12.0</v>
      </c>
      <c r="R20" t="n" s="11957">
        <v>103.8</v>
      </c>
      <c r="S20" t="n" s="11958">
        <v>8.0</v>
      </c>
      <c r="T20" t="n" s="11959">
        <v>92.32</v>
      </c>
      <c r="U20" t="n" s="11960">
        <v>2.0</v>
      </c>
      <c r="V20" t="n" s="11961">
        <v>34.62</v>
      </c>
      <c r="W20" s="11962">
        <f>r20+t20+v20</f>
      </c>
      <c r="X20" t="n" s="11963">
        <v>0.0</v>
      </c>
      <c r="Y20" t="n" s="11964">
        <v>0.0</v>
      </c>
      <c r="Z20" t="n" s="11965">
        <v>0.0</v>
      </c>
      <c r="AA20" s="11966">
        <f>i20+j20+k20+l20+m20+n20+o20+p20+x20+y20+z20</f>
      </c>
      <c r="AB20" t="n" s="11967">
        <v>1482.0</v>
      </c>
      <c r="AC20" t="n" s="11968">
        <v>138.1</v>
      </c>
      <c r="AD20" t="n" s="11969">
        <v>15.8</v>
      </c>
      <c r="AE20" t="n" s="11970">
        <v>80.0</v>
      </c>
      <c r="AF20" s="11971">
        <f>ROUND((aa20+ab20+ac20+ad20+ae20),2)</f>
      </c>
      <c r="AG20" s="11972">
        <f>af20*0.06</f>
      </c>
      <c r="AH20" s="11973">
        <f>af20+ag20</f>
      </c>
      <c r="AI20" t="s" s="11974">
        <v>0</v>
      </c>
    </row>
    <row r="21" ht="15.0" customHeight="true">
      <c r="A21" t="s" s="11975">
        <v>0</v>
      </c>
      <c r="B21" t="s" s="11976">
        <v>0</v>
      </c>
      <c r="C21" t="s" s="11977">
        <v>0</v>
      </c>
      <c r="D21" t="s" s="11978">
        <v>0</v>
      </c>
      <c r="E21" t="s" s="11979">
        <v>0</v>
      </c>
      <c r="F21" t="s" s="11980">
        <v>0</v>
      </c>
      <c r="G21" t="s" s="11981">
        <v>0</v>
      </c>
      <c r="H21" t="s" s="11982">
        <v>0</v>
      </c>
      <c r="I21" s="11983">
        <f>SUM(i8:i20)</f>
      </c>
      <c r="J21" s="11984">
        <f>SUM(j8:j20)</f>
      </c>
      <c r="K21" s="11985">
        <f>SUM(k8:k20)</f>
      </c>
      <c r="L21" s="11986">
        <f>SUM(l8:l20)</f>
      </c>
      <c r="M21" s="11987">
        <f>SUM(m8:m20)</f>
      </c>
      <c r="N21" s="11988">
        <f>SUM(n8:n20)</f>
      </c>
      <c r="O21" s="11989">
        <f>SUM(o8:o20)</f>
      </c>
      <c r="P21" s="11990">
        <f>SUM(p8:p20)</f>
      </c>
      <c r="Q21" s="11991">
        <f>SUM(q8:q20)</f>
      </c>
      <c r="R21" s="11992">
        <f>SUM(r8:r20)</f>
      </c>
      <c r="S21" s="11993">
        <f>SUM(s8:s20)</f>
      </c>
      <c r="T21" s="11994">
        <f>SUM(t8:t20)</f>
      </c>
      <c r="U21" s="11995">
        <f>SUM(u8:u20)</f>
      </c>
      <c r="V21" s="11996">
        <f>SUM(v8:v20)</f>
      </c>
      <c r="W21" s="11997">
        <f>SUM(w8:w20)</f>
      </c>
      <c r="X21" s="11998">
        <f>SUM(x8:x20)</f>
      </c>
      <c r="Y21" s="11999">
        <f>SUM(y8:y20)</f>
      </c>
      <c r="Z21" s="12000">
        <f>SUM(z8:z20)</f>
      </c>
      <c r="AA21" s="12001">
        <f>SUM(aa8:aa20)</f>
      </c>
      <c r="AB21" s="12002">
        <f>SUM(ab8:ab20)</f>
      </c>
      <c r="AC21" s="12003">
        <f>SUM(ac8:ac20)</f>
      </c>
      <c r="AD21" s="12004">
        <f>SUM(ad8:ad20)</f>
      </c>
      <c r="AE21" s="12005">
        <f>SUM(ae8:ae20)</f>
      </c>
      <c r="AF21" s="12006">
        <f>SUM(af8:af20)</f>
      </c>
      <c r="AG21" s="12007">
        <f>SUM(ag8:ag20)</f>
      </c>
      <c r="AH21" s="12008">
        <f>SUM(ah8:ah20)</f>
      </c>
      <c r="AI21" t="s" s="12009">
        <v>0</v>
      </c>
    </row>
    <row r="22" ht="15.0" customHeight="true"/>
    <row r="23" ht="15.0" customHeight="true">
      <c r="A23" t="s" s="12010">
        <v>0</v>
      </c>
      <c r="B23" t="s" s="12011">
        <v>0</v>
      </c>
      <c r="C23" t="s" s="12012">
        <v>0</v>
      </c>
      <c r="D23" t="s" s="12013">
        <v>703</v>
      </c>
    </row>
    <row r="24" ht="15.0" customHeight="true">
      <c r="D24" s="12014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015">
        <v>0</v>
      </c>
      <c r="B1" t="s" s="12016">
        <v>0</v>
      </c>
      <c r="C1" t="s" s="12017">
        <v>0</v>
      </c>
      <c r="D1" t="s" s="12018">
        <v>1</v>
      </c>
    </row>
    <row r="2" ht="15.0" customHeight="true">
      <c r="A2" t="s" s="12019">
        <v>0</v>
      </c>
      <c r="B2" t="s" s="12020">
        <v>0</v>
      </c>
      <c r="C2" t="s" s="12021">
        <v>0</v>
      </c>
      <c r="D2" t="s" s="12022">
        <v>2</v>
      </c>
    </row>
    <row r="3" ht="15.0" customHeight="true">
      <c r="A3" t="s" s="12023">
        <v>0</v>
      </c>
      <c r="B3" t="s" s="12024">
        <v>0</v>
      </c>
      <c r="C3" t="s" s="12025">
        <v>0</v>
      </c>
      <c r="D3" t="s" s="12026">
        <v>3</v>
      </c>
    </row>
    <row r="4" ht="15.0" customHeight="true">
      <c r="A4" t="s" s="12027">
        <v>0</v>
      </c>
      <c r="B4" t="s" s="12028">
        <v>0</v>
      </c>
      <c r="C4" t="s" s="12029">
        <v>0</v>
      </c>
      <c r="D4" t="s" s="12030">
        <v>4</v>
      </c>
      <c r="E4" t="s" s="12031">
        <v>0</v>
      </c>
      <c r="F4" t="s" s="12032">
        <v>0</v>
      </c>
      <c r="G4" t="s" s="12033">
        <v>0</v>
      </c>
      <c r="H4" t="s" s="12034">
        <v>0</v>
      </c>
      <c r="I4" t="s" s="12035">
        <v>0</v>
      </c>
      <c r="J4" t="s" s="12036">
        <v>0</v>
      </c>
      <c r="K4" t="s" s="12037">
        <v>0</v>
      </c>
      <c r="L4" t="s" s="12038">
        <v>0</v>
      </c>
      <c r="M4" t="s" s="12039">
        <v>0</v>
      </c>
      <c r="N4" t="s" s="12040">
        <v>0</v>
      </c>
      <c r="O4" t="s" s="12041">
        <v>0</v>
      </c>
      <c r="P4" t="s" s="12042">
        <v>0</v>
      </c>
      <c r="Q4" t="s" s="12043">
        <v>0</v>
      </c>
      <c r="R4" t="s" s="12044">
        <v>0</v>
      </c>
      <c r="S4" t="s" s="12045">
        <v>0</v>
      </c>
      <c r="T4" t="s" s="12046">
        <v>0</v>
      </c>
      <c r="U4" t="s" s="12047">
        <v>0</v>
      </c>
      <c r="V4" t="s" s="12048">
        <v>0</v>
      </c>
      <c r="W4" t="s" s="12049">
        <v>0</v>
      </c>
      <c r="X4" t="s" s="12050">
        <v>0</v>
      </c>
      <c r="Y4" t="s" s="12051">
        <v>0</v>
      </c>
      <c r="Z4" t="s" s="12052">
        <v>0</v>
      </c>
      <c r="AA4" t="s" s="12053">
        <v>0</v>
      </c>
      <c r="AB4" t="s" s="12054">
        <v>0</v>
      </c>
      <c r="AC4" t="s" s="12055">
        <v>5</v>
      </c>
      <c r="AD4" t="n" s="12056">
        <v>2018.0</v>
      </c>
    </row>
    <row r="5" ht="15.0" customHeight="true">
      <c r="A5" t="s" s="12057">
        <v>0</v>
      </c>
      <c r="B5" t="s" s="12058">
        <v>0</v>
      </c>
      <c r="C5" t="s" s="12059">
        <v>0</v>
      </c>
      <c r="D5" t="s" s="12060">
        <v>0</v>
      </c>
      <c r="E5" t="s" s="12061">
        <v>0</v>
      </c>
      <c r="F5" t="s" s="12062">
        <v>0</v>
      </c>
      <c r="G5" t="s" s="12063">
        <v>0</v>
      </c>
      <c r="H5" t="s" s="12064">
        <v>0</v>
      </c>
      <c r="I5" t="s" s="12065">
        <v>0</v>
      </c>
      <c r="J5" t="s" s="12066">
        <v>0</v>
      </c>
      <c r="K5" t="s" s="12067">
        <v>0</v>
      </c>
      <c r="L5" t="s" s="12068">
        <v>0</v>
      </c>
      <c r="M5" t="s" s="12069">
        <v>0</v>
      </c>
      <c r="N5" t="s" s="12070">
        <v>0</v>
      </c>
      <c r="O5" t="s" s="12071">
        <v>0</v>
      </c>
      <c r="P5" t="s" s="12072">
        <v>0</v>
      </c>
      <c r="Q5" t="s" s="12073">
        <v>0</v>
      </c>
      <c r="R5" t="s" s="12074">
        <v>0</v>
      </c>
      <c r="S5" t="s" s="12075">
        <v>0</v>
      </c>
      <c r="T5" t="s" s="12076">
        <v>0</v>
      </c>
      <c r="U5" t="s" s="12077">
        <v>0</v>
      </c>
      <c r="V5" t="s" s="12078">
        <v>0</v>
      </c>
      <c r="W5" t="s" s="12079">
        <v>0</v>
      </c>
      <c r="X5" t="s" s="12080">
        <v>0</v>
      </c>
      <c r="Y5" t="s" s="12081">
        <v>0</v>
      </c>
      <c r="Z5" t="s" s="12082">
        <v>0</v>
      </c>
      <c r="AA5" t="s" s="12083">
        <v>0</v>
      </c>
      <c r="AB5" t="s" s="12084">
        <v>0</v>
      </c>
      <c r="AC5" t="s" s="12085">
        <v>6</v>
      </c>
      <c r="AD5" t="n" s="12086">
        <v>2017.0</v>
      </c>
    </row>
    <row r="6" ht="15.0" customHeight="true"/>
    <row r="7" ht="35.0" customHeight="true">
      <c r="A7" t="s" s="12087">
        <v>7</v>
      </c>
      <c r="B7" t="s" s="12088">
        <v>8</v>
      </c>
      <c r="C7" t="s" s="12089">
        <v>9</v>
      </c>
      <c r="D7" t="s" s="12090">
        <v>10</v>
      </c>
      <c r="E7" t="s" s="12091">
        <v>11</v>
      </c>
      <c r="F7" t="s" s="12092">
        <v>12</v>
      </c>
      <c r="G7" t="s" s="12093">
        <v>13</v>
      </c>
      <c r="H7" t="s" s="12094">
        <v>14</v>
      </c>
      <c r="I7" t="s" s="12095">
        <v>15</v>
      </c>
      <c r="J7" t="s" s="12096">
        <v>16</v>
      </c>
      <c r="K7" t="s" s="12097">
        <v>17</v>
      </c>
      <c r="L7" t="s" s="12098">
        <v>18</v>
      </c>
      <c r="M7" t="s" s="12099">
        <v>19</v>
      </c>
      <c r="N7" t="s" s="12100">
        <v>20</v>
      </c>
      <c r="O7" t="s" s="12101">
        <v>21</v>
      </c>
      <c r="P7" t="s" s="12102">
        <v>22</v>
      </c>
      <c r="Q7" t="s" s="12103">
        <v>23</v>
      </c>
      <c r="R7" t="s" s="12104">
        <v>24</v>
      </c>
      <c r="S7" t="s" s="12105">
        <v>25</v>
      </c>
      <c r="T7" t="s" s="12106">
        <v>26</v>
      </c>
      <c r="U7" t="s" s="12107">
        <v>27</v>
      </c>
      <c r="V7" t="s" s="12108">
        <v>28</v>
      </c>
      <c r="W7" t="s" s="12109">
        <v>29</v>
      </c>
      <c r="X7" t="s" s="12110">
        <v>30</v>
      </c>
      <c r="Y7" t="s" s="12111">
        <v>31</v>
      </c>
      <c r="Z7" t="s" s="12112">
        <v>32</v>
      </c>
      <c r="AA7" t="s" s="12113">
        <v>33</v>
      </c>
      <c r="AB7" t="s" s="12114">
        <v>34</v>
      </c>
      <c r="AC7" t="s" s="12115">
        <v>35</v>
      </c>
      <c r="AD7" t="s" s="12116">
        <v>36</v>
      </c>
      <c r="AE7" t="s" s="12117">
        <v>37</v>
      </c>
      <c r="AF7" t="s" s="12118">
        <v>38</v>
      </c>
      <c r="AG7" t="s" s="12119">
        <v>39</v>
      </c>
      <c r="AH7" t="s" s="12120">
        <v>40</v>
      </c>
      <c r="AI7" t="s" s="12121">
        <v>41</v>
      </c>
    </row>
    <row r="8" ht="15.0" customHeight="true">
      <c r="A8" t="s" s="12122">
        <v>459</v>
      </c>
      <c r="B8" t="s" s="12123">
        <v>460</v>
      </c>
      <c r="C8" t="s" s="12124">
        <v>461</v>
      </c>
      <c r="D8" t="s" s="12125">
        <v>462</v>
      </c>
      <c r="E8" t="s" s="12126">
        <v>463</v>
      </c>
      <c r="F8" t="s" s="12127">
        <v>464</v>
      </c>
      <c r="G8" t="n" s="12128">
        <v>41944.0</v>
      </c>
      <c r="H8" t="n" s="12129">
        <v>43190.0</v>
      </c>
      <c r="I8" t="n" s="12130">
        <v>1590.0</v>
      </c>
      <c r="J8" t="n" s="12131">
        <v>100.0</v>
      </c>
      <c r="K8" t="n" s="12132">
        <v>0.0</v>
      </c>
      <c r="L8" t="n" s="12133">
        <v>1750.0</v>
      </c>
      <c r="M8" t="n" s="12134">
        <v>0.0</v>
      </c>
      <c r="N8" t="n" s="12135">
        <v>18.9</v>
      </c>
      <c r="O8" t="n" s="12136">
        <v>60.0</v>
      </c>
      <c r="P8" t="n" s="12137">
        <v>0.0</v>
      </c>
      <c r="Q8" t="n" s="12138">
        <v>0.0</v>
      </c>
      <c r="R8" t="n" s="12139">
        <v>0.0</v>
      </c>
      <c r="S8" t="n" s="12140">
        <v>8.0</v>
      </c>
      <c r="T8" t="n" s="12141">
        <v>115.36</v>
      </c>
      <c r="U8" t="n" s="12142">
        <v>0.0</v>
      </c>
      <c r="V8" t="n" s="12143">
        <v>0.0</v>
      </c>
      <c r="W8" s="12144">
        <f>r8+t8+v8</f>
      </c>
      <c r="X8" t="n" s="12145">
        <v>0.0</v>
      </c>
      <c r="Y8" t="n" s="12146">
        <v>0.0</v>
      </c>
      <c r="Z8" t="n" s="12147">
        <v>0.0</v>
      </c>
      <c r="AA8" s="12148">
        <f>i8+j8+k8+l8+m8+n8+o8+p8+x8+y8+z8</f>
      </c>
      <c r="AB8" t="n" s="12149">
        <v>910.0</v>
      </c>
      <c r="AC8" t="n" s="12150">
        <v>124.3</v>
      </c>
      <c r="AD8" t="n" s="12151">
        <v>14.2</v>
      </c>
      <c r="AE8" t="n" s="12152">
        <v>80.0</v>
      </c>
      <c r="AF8" s="12153">
        <f>ROUND((aa8+ab8+ac8+ad8+ae8),2)</f>
      </c>
      <c r="AG8" s="12154">
        <f>af8*0.06</f>
      </c>
      <c r="AH8" s="12155">
        <f>af8+ag8</f>
      </c>
      <c r="AI8" t="s" s="12156">
        <v>0</v>
      </c>
    </row>
    <row r="9" ht="15.0" customHeight="true">
      <c r="A9" t="s" s="12157">
        <v>465</v>
      </c>
      <c r="B9" t="s" s="12158">
        <v>466</v>
      </c>
      <c r="C9" t="s" s="12159">
        <v>467</v>
      </c>
      <c r="D9" t="s" s="12160">
        <v>468</v>
      </c>
      <c r="E9" t="s" s="12161">
        <v>469</v>
      </c>
      <c r="F9" t="s" s="12162">
        <v>464</v>
      </c>
      <c r="G9" t="n" s="12163">
        <v>41944.0</v>
      </c>
      <c r="H9" t="s" s="12164">
        <v>0</v>
      </c>
      <c r="I9" t="n" s="12165">
        <v>1510.0</v>
      </c>
      <c r="J9" t="n" s="12166">
        <v>100.0</v>
      </c>
      <c r="K9" t="n" s="12167">
        <v>0.0</v>
      </c>
      <c r="L9" t="n" s="12168">
        <v>2400.0</v>
      </c>
      <c r="M9" t="n" s="12169">
        <v>0.0</v>
      </c>
      <c r="N9" t="n" s="12170">
        <v>10.0</v>
      </c>
      <c r="O9" t="n" s="12171">
        <v>60.0</v>
      </c>
      <c r="P9" t="n" s="12172">
        <v>0.0</v>
      </c>
      <c r="Q9" t="n" s="12173">
        <v>43.0</v>
      </c>
      <c r="R9" t="n" s="12174">
        <v>440.32</v>
      </c>
      <c r="S9" t="n" s="12175">
        <v>8.0</v>
      </c>
      <c r="T9" t="n" s="12176">
        <v>109.2</v>
      </c>
      <c r="U9" t="n" s="12177">
        <v>4.0</v>
      </c>
      <c r="V9" t="n" s="12178">
        <v>81.92</v>
      </c>
      <c r="W9" s="12179">
        <f>r9+t9+v9</f>
      </c>
      <c r="X9" t="n" s="12180">
        <v>0.0</v>
      </c>
      <c r="Y9" t="n" s="12181">
        <v>0.0</v>
      </c>
      <c r="Z9" t="n" s="12182">
        <v>0.0</v>
      </c>
      <c r="AA9" s="12183">
        <f>i9+j9+k9+l9+m9+n9+o9+p9+x9+y9+z9</f>
      </c>
      <c r="AB9" t="n" s="12184">
        <v>1326.0</v>
      </c>
      <c r="AC9" t="n" s="12185">
        <v>138.1</v>
      </c>
      <c r="AD9" t="n" s="12186">
        <v>15.8</v>
      </c>
      <c r="AE9" t="n" s="12187">
        <v>80.0</v>
      </c>
      <c r="AF9" s="12188">
        <f>ROUND((aa9+ab9+ac9+ad9+ae9),2)</f>
      </c>
      <c r="AG9" s="12189">
        <f>af9*0.06</f>
      </c>
      <c r="AH9" s="12190">
        <f>af9+ag9</f>
      </c>
      <c r="AI9" t="s" s="12191">
        <v>0</v>
      </c>
    </row>
    <row r="10" ht="15.0" customHeight="true">
      <c r="A10" t="s" s="12192">
        <v>470</v>
      </c>
      <c r="B10" t="s" s="12193">
        <v>471</v>
      </c>
      <c r="C10" t="s" s="12194">
        <v>472</v>
      </c>
      <c r="D10" t="s" s="12195">
        <v>473</v>
      </c>
      <c r="E10" t="s" s="12196">
        <v>474</v>
      </c>
      <c r="F10" t="s" s="12197">
        <v>464</v>
      </c>
      <c r="G10" t="n" s="12198">
        <v>41944.0</v>
      </c>
      <c r="H10" t="n" s="12199">
        <v>43327.0</v>
      </c>
      <c r="I10" t="n" s="12200">
        <v>1250.0</v>
      </c>
      <c r="J10" t="n" s="12201">
        <v>100.0</v>
      </c>
      <c r="K10" t="n" s="12202">
        <v>0.0</v>
      </c>
      <c r="L10" t="n" s="12203">
        <v>1858.0</v>
      </c>
      <c r="M10" t="n" s="12204">
        <v>0.0</v>
      </c>
      <c r="N10" t="n" s="12205">
        <v>21.6</v>
      </c>
      <c r="O10" t="n" s="12206">
        <v>60.0</v>
      </c>
      <c r="P10" t="n" s="12207">
        <v>0.0</v>
      </c>
      <c r="Q10" t="n" s="12208">
        <v>0.0</v>
      </c>
      <c r="R10" t="n" s="12209">
        <v>0.0</v>
      </c>
      <c r="S10" t="n" s="12210">
        <v>8.0</v>
      </c>
      <c r="T10" t="n" s="12211">
        <v>92.32</v>
      </c>
      <c r="U10" t="n" s="12212">
        <v>0.0</v>
      </c>
      <c r="V10" t="n" s="12213">
        <v>0.0</v>
      </c>
      <c r="W10" s="12214">
        <f>r10+t10+v10</f>
      </c>
      <c r="X10" t="n" s="12215">
        <v>0.0</v>
      </c>
      <c r="Y10" t="n" s="12216">
        <v>0.0</v>
      </c>
      <c r="Z10" t="n" s="12217">
        <v>0.0</v>
      </c>
      <c r="AA10" s="12218">
        <f>i10+j10+k10+l10+m10+n10+o10+p10+x10+y10+z10</f>
      </c>
      <c r="AB10" t="n" s="12219">
        <v>854.0</v>
      </c>
      <c r="AC10" t="n" s="12220">
        <v>117.3</v>
      </c>
      <c r="AD10" t="n" s="12221">
        <v>13.4</v>
      </c>
      <c r="AE10" t="n" s="12222">
        <v>80.0</v>
      </c>
      <c r="AF10" s="12223">
        <f>ROUND((aa10+ab10+ac10+ad10+ae10),2)</f>
      </c>
      <c r="AG10" s="12224">
        <f>af10*0.06</f>
      </c>
      <c r="AH10" s="12225">
        <f>af10+ag10</f>
      </c>
      <c r="AI10" t="s" s="12226">
        <v>0</v>
      </c>
    </row>
    <row r="11" ht="15.0" customHeight="true">
      <c r="A11" t="s" s="12227">
        <v>475</v>
      </c>
      <c r="B11" t="s" s="12228">
        <v>476</v>
      </c>
      <c r="C11" t="s" s="12229">
        <v>477</v>
      </c>
      <c r="D11" t="s" s="12230">
        <v>478</v>
      </c>
      <c r="E11" t="s" s="12231">
        <v>479</v>
      </c>
      <c r="F11" t="s" s="12232">
        <v>464</v>
      </c>
      <c r="G11" t="n" s="12233">
        <v>41944.0</v>
      </c>
      <c r="H11" t="s" s="12234">
        <v>0</v>
      </c>
      <c r="I11" t="n" s="12235">
        <v>1850.0</v>
      </c>
      <c r="J11" t="n" s="12236">
        <v>100.0</v>
      </c>
      <c r="K11" t="n" s="12237">
        <v>0.0</v>
      </c>
      <c r="L11" t="n" s="12238">
        <v>600.0</v>
      </c>
      <c r="M11" t="n" s="12239">
        <v>0.0</v>
      </c>
      <c r="N11" t="n" s="12240">
        <v>235.0</v>
      </c>
      <c r="O11" t="n" s="12241">
        <v>60.0</v>
      </c>
      <c r="P11" t="n" s="12242">
        <v>0.0</v>
      </c>
      <c r="Q11" t="n" s="12243">
        <v>23.0</v>
      </c>
      <c r="R11" t="n" s="12244">
        <v>288.65</v>
      </c>
      <c r="S11" t="n" s="12245">
        <v>8.0</v>
      </c>
      <c r="T11" t="n" s="12246">
        <v>133.84</v>
      </c>
      <c r="U11" t="n" s="12247">
        <v>0.0</v>
      </c>
      <c r="V11" t="n" s="12248">
        <v>0.0</v>
      </c>
      <c r="W11" s="12249">
        <f>r11+t11+v11</f>
      </c>
      <c r="X11" t="n" s="12250">
        <v>0.0</v>
      </c>
      <c r="Y11" t="n" s="12251">
        <v>0.0</v>
      </c>
      <c r="Z11" t="n" s="12252">
        <v>0.0</v>
      </c>
      <c r="AA11" s="12253">
        <f>i11+j11+k11+l11+m11+n11+o11+p11+x11+y11+z11</f>
      </c>
      <c r="AB11" t="n" s="12254">
        <v>962.0</v>
      </c>
      <c r="AC11" t="n" s="12255">
        <v>138.1</v>
      </c>
      <c r="AD11" t="n" s="12256">
        <v>15.8</v>
      </c>
      <c r="AE11" t="n" s="12257">
        <v>80.0</v>
      </c>
      <c r="AF11" s="12258">
        <f>ROUND((aa11+ab11+ac11+ad11+ae11),2)</f>
      </c>
      <c r="AG11" s="12259">
        <f>af11*0.06</f>
      </c>
      <c r="AH11" s="12260">
        <f>af11+ag11</f>
      </c>
      <c r="AI11" t="s" s="12261">
        <v>0</v>
      </c>
    </row>
    <row r="12" ht="15.0" customHeight="true">
      <c r="A12" t="s" s="12262">
        <v>480</v>
      </c>
      <c r="B12" t="s" s="12263">
        <v>481</v>
      </c>
      <c r="C12" t="s" s="12264">
        <v>482</v>
      </c>
      <c r="D12" t="s" s="12265">
        <v>483</v>
      </c>
      <c r="E12" t="s" s="12266">
        <v>484</v>
      </c>
      <c r="F12" t="s" s="12267">
        <v>464</v>
      </c>
      <c r="G12" t="n" s="12268">
        <v>41944.0</v>
      </c>
      <c r="H12" t="s" s="12269">
        <v>0</v>
      </c>
      <c r="I12" t="n" s="12270">
        <v>1530.0</v>
      </c>
      <c r="J12" t="n" s="12271">
        <v>100.0</v>
      </c>
      <c r="K12" t="n" s="12272">
        <v>0.0</v>
      </c>
      <c r="L12" t="n" s="12273">
        <v>1931.0</v>
      </c>
      <c r="M12" t="n" s="12274">
        <v>0.0</v>
      </c>
      <c r="N12" t="n" s="12275">
        <v>115.0</v>
      </c>
      <c r="O12" t="n" s="12276">
        <v>60.0</v>
      </c>
      <c r="P12" t="n" s="12277">
        <v>0.0</v>
      </c>
      <c r="Q12" t="n" s="12278">
        <v>10.0</v>
      </c>
      <c r="R12" t="n" s="12279">
        <v>103.8</v>
      </c>
      <c r="S12" t="n" s="12280">
        <v>8.0</v>
      </c>
      <c r="T12" t="n" s="12281">
        <v>110.8</v>
      </c>
      <c r="U12" t="n" s="12282">
        <v>0.0</v>
      </c>
      <c r="V12" t="n" s="12283">
        <v>0.0</v>
      </c>
      <c r="W12" s="12284">
        <f>r12+t12+v12</f>
      </c>
      <c r="X12" t="n" s="12285">
        <v>0.0</v>
      </c>
      <c r="Y12" t="n" s="12286">
        <v>0.0</v>
      </c>
      <c r="Z12" t="n" s="12287">
        <v>0.0</v>
      </c>
      <c r="AA12" s="12288">
        <f>i12+j12+k12+l12+m12+n12+o12+p12+x12+y12+z12</f>
      </c>
      <c r="AB12" t="n" s="12289">
        <v>1052.0</v>
      </c>
      <c r="AC12" t="n" s="12290">
        <v>138.1</v>
      </c>
      <c r="AD12" t="n" s="12291">
        <v>15.8</v>
      </c>
      <c r="AE12" t="n" s="12292">
        <v>80.0</v>
      </c>
      <c r="AF12" s="12293">
        <f>ROUND((aa12+ab12+ac12+ad12+ae12),2)</f>
      </c>
      <c r="AG12" s="12294">
        <f>af12*0.06</f>
      </c>
      <c r="AH12" s="12295">
        <f>af12+ag12</f>
      </c>
      <c r="AI12" t="s" s="12296">
        <v>0</v>
      </c>
    </row>
    <row r="13" ht="15.0" customHeight="true">
      <c r="A13" t="s" s="12297">
        <v>485</v>
      </c>
      <c r="B13" t="s" s="12298">
        <v>486</v>
      </c>
      <c r="C13" t="s" s="12299">
        <v>487</v>
      </c>
      <c r="D13" t="s" s="12300">
        <v>488</v>
      </c>
      <c r="E13" t="s" s="12301">
        <v>489</v>
      </c>
      <c r="F13" t="s" s="12302">
        <v>464</v>
      </c>
      <c r="G13" t="n" s="12303">
        <v>41944.0</v>
      </c>
      <c r="H13" t="s" s="12304">
        <v>0</v>
      </c>
      <c r="I13" t="n" s="12305">
        <v>1390.0</v>
      </c>
      <c r="J13" t="n" s="12306">
        <v>100.0</v>
      </c>
      <c r="K13" t="n" s="12307">
        <v>0.0</v>
      </c>
      <c r="L13" t="n" s="12308">
        <v>2400.0</v>
      </c>
      <c r="M13" t="n" s="12309">
        <v>0.0</v>
      </c>
      <c r="N13" t="n" s="12310">
        <v>22.4</v>
      </c>
      <c r="O13" t="n" s="12311">
        <v>60.0</v>
      </c>
      <c r="P13" t="n" s="12312">
        <v>0.0</v>
      </c>
      <c r="Q13" t="n" s="12313">
        <v>37.0</v>
      </c>
      <c r="R13" t="n" s="12314">
        <v>349.65</v>
      </c>
      <c r="S13" t="n" s="12315">
        <v>8.0</v>
      </c>
      <c r="T13" t="n" s="12316">
        <v>100.8</v>
      </c>
      <c r="U13" t="n" s="12317">
        <v>4.0</v>
      </c>
      <c r="V13" t="n" s="12318">
        <v>75.56</v>
      </c>
      <c r="W13" s="12319">
        <f>r13+t13+v13</f>
      </c>
      <c r="X13" t="n" s="12320">
        <v>0.0</v>
      </c>
      <c r="Y13" t="n" s="12321">
        <v>0.0</v>
      </c>
      <c r="Z13" t="n" s="12322">
        <v>0.0</v>
      </c>
      <c r="AA13" s="12323">
        <f>i13+j13+k13+l13+m13+n13+o13+p13+x13+y13+z13</f>
      </c>
      <c r="AB13" t="n" s="12324">
        <v>1352.0</v>
      </c>
      <c r="AC13" t="n" s="12325">
        <v>138.1</v>
      </c>
      <c r="AD13" t="n" s="12326">
        <v>15.8</v>
      </c>
      <c r="AE13" t="n" s="12327">
        <v>80.0</v>
      </c>
      <c r="AF13" s="12328">
        <f>ROUND((aa13+ab13+ac13+ad13+ae13),2)</f>
      </c>
      <c r="AG13" s="12329">
        <f>af13*0.06</f>
      </c>
      <c r="AH13" s="12330">
        <f>af13+ag13</f>
      </c>
      <c r="AI13" t="s" s="12331">
        <v>0</v>
      </c>
    </row>
    <row r="14" ht="15.0" customHeight="true">
      <c r="A14" t="s" s="12332">
        <v>490</v>
      </c>
      <c r="B14" t="s" s="12333">
        <v>491</v>
      </c>
      <c r="C14" t="s" s="12334">
        <v>492</v>
      </c>
      <c r="D14" t="s" s="12335">
        <v>493</v>
      </c>
      <c r="E14" t="s" s="12336">
        <v>494</v>
      </c>
      <c r="F14" t="s" s="12337">
        <v>464</v>
      </c>
      <c r="G14" t="n" s="12338">
        <v>41944.0</v>
      </c>
      <c r="H14" t="s" s="12339">
        <v>0</v>
      </c>
      <c r="I14" t="n" s="12340">
        <v>1610.0</v>
      </c>
      <c r="J14" t="n" s="12341">
        <v>100.0</v>
      </c>
      <c r="K14" t="n" s="12342">
        <v>0.0</v>
      </c>
      <c r="L14" t="n" s="12343">
        <v>2100.0</v>
      </c>
      <c r="M14" t="n" s="12344">
        <v>0.0</v>
      </c>
      <c r="N14" t="n" s="12345">
        <v>12.6</v>
      </c>
      <c r="O14" t="n" s="12346">
        <v>60.0</v>
      </c>
      <c r="P14" t="n" s="12347">
        <v>0.0</v>
      </c>
      <c r="Q14" t="n" s="12348">
        <v>23.0</v>
      </c>
      <c r="R14" t="n" s="12349">
        <v>255.53</v>
      </c>
      <c r="S14" t="n" s="12350">
        <v>8.0</v>
      </c>
      <c r="T14" t="n" s="12351">
        <v>118.48</v>
      </c>
      <c r="U14" t="n" s="12352">
        <v>4.0</v>
      </c>
      <c r="V14" t="n" s="12353">
        <v>88.84</v>
      </c>
      <c r="W14" s="12354">
        <f>r14+t14+v14</f>
      </c>
      <c r="X14" t="n" s="12355">
        <v>0.0</v>
      </c>
      <c r="Y14" t="n" s="12356">
        <v>0.0</v>
      </c>
      <c r="Z14" t="n" s="12357">
        <v>0.0</v>
      </c>
      <c r="AA14" s="12358">
        <f>i14+j14+k14+l14+m14+n14+o14+p14+x14+y14+z14</f>
      </c>
      <c r="AB14" t="n" s="12359">
        <v>1010.0</v>
      </c>
      <c r="AC14" t="n" s="12360">
        <v>138.1</v>
      </c>
      <c r="AD14" t="n" s="12361">
        <v>15.8</v>
      </c>
      <c r="AE14" t="n" s="12362">
        <v>80.0</v>
      </c>
      <c r="AF14" s="12363">
        <f>ROUND((aa14+ab14+ac14+ad14+ae14),2)</f>
      </c>
      <c r="AG14" s="12364">
        <f>af14*0.06</f>
      </c>
      <c r="AH14" s="12365">
        <f>af14+ag14</f>
      </c>
      <c r="AI14" t="s" s="12366">
        <v>0</v>
      </c>
    </row>
    <row r="15" ht="15.0" customHeight="true">
      <c r="A15" t="s" s="12367">
        <v>495</v>
      </c>
      <c r="B15" t="s" s="12368">
        <v>496</v>
      </c>
      <c r="C15" t="s" s="12369">
        <v>497</v>
      </c>
      <c r="D15" t="s" s="12370">
        <v>498</v>
      </c>
      <c r="E15" t="s" s="12371">
        <v>499</v>
      </c>
      <c r="F15" t="s" s="12372">
        <v>464</v>
      </c>
      <c r="G15" t="n" s="12373">
        <v>41974.0</v>
      </c>
      <c r="H15" t="s" s="12374">
        <v>0</v>
      </c>
      <c r="I15" t="n" s="12375">
        <v>1650.0</v>
      </c>
      <c r="J15" t="n" s="12376">
        <v>100.0</v>
      </c>
      <c r="K15" t="n" s="12377">
        <v>0.0</v>
      </c>
      <c r="L15" t="n" s="12378">
        <v>2400.0</v>
      </c>
      <c r="M15" t="n" s="12379">
        <v>0.0</v>
      </c>
      <c r="N15" t="n" s="12380">
        <v>26.9</v>
      </c>
      <c r="O15" t="n" s="12381">
        <v>60.0</v>
      </c>
      <c r="P15" t="n" s="12382">
        <v>0.0</v>
      </c>
      <c r="Q15" t="n" s="12383">
        <v>46.0</v>
      </c>
      <c r="R15" t="n" s="12384">
        <v>504.16</v>
      </c>
      <c r="S15" t="n" s="12385">
        <v>8.0</v>
      </c>
      <c r="T15" t="n" s="12386">
        <v>116.96</v>
      </c>
      <c r="U15" t="n" s="12387">
        <v>4.0</v>
      </c>
      <c r="V15" t="n" s="12388">
        <v>87.68</v>
      </c>
      <c r="W15" s="12389">
        <f>r15+t15+v15</f>
      </c>
      <c r="X15" t="n" s="12390">
        <v>0.0</v>
      </c>
      <c r="Y15" t="n" s="12391">
        <v>0.0</v>
      </c>
      <c r="Z15" t="n" s="12392">
        <v>0.0</v>
      </c>
      <c r="AA15" s="12393">
        <f>i15+j15+k15+l15+m15+n15+o15+p15+x15+y15+z15</f>
      </c>
      <c r="AB15" t="n" s="12394">
        <v>1098.0</v>
      </c>
      <c r="AC15" t="n" s="12395">
        <v>138.1</v>
      </c>
      <c r="AD15" t="n" s="12396">
        <v>15.8</v>
      </c>
      <c r="AE15" t="n" s="12397">
        <v>80.0</v>
      </c>
      <c r="AF15" s="12398">
        <f>ROUND((aa15+ab15+ac15+ad15+ae15),2)</f>
      </c>
      <c r="AG15" s="12399">
        <f>af15*0.06</f>
      </c>
      <c r="AH15" s="12400">
        <f>af15+ag15</f>
      </c>
      <c r="AI15" t="s" s="12401">
        <v>0</v>
      </c>
    </row>
    <row r="16" ht="15.0" customHeight="true">
      <c r="A16" t="s" s="12402">
        <v>500</v>
      </c>
      <c r="B16" t="s" s="12403">
        <v>501</v>
      </c>
      <c r="C16" t="s" s="12404">
        <v>502</v>
      </c>
      <c r="D16" t="s" s="12405">
        <v>503</v>
      </c>
      <c r="E16" t="s" s="12406">
        <v>504</v>
      </c>
      <c r="F16" t="s" s="12407">
        <v>464</v>
      </c>
      <c r="G16" t="n" s="12408">
        <v>42607.0</v>
      </c>
      <c r="H16" t="s" s="12409">
        <v>0</v>
      </c>
      <c r="I16" t="n" s="12410">
        <v>1490.0</v>
      </c>
      <c r="J16" t="n" s="12411">
        <v>100.0</v>
      </c>
      <c r="K16" t="n" s="12412">
        <v>0.0</v>
      </c>
      <c r="L16" t="n" s="12413">
        <v>1366.0</v>
      </c>
      <c r="M16" t="n" s="12414">
        <v>0.0</v>
      </c>
      <c r="N16" t="n" s="12415">
        <v>10.0</v>
      </c>
      <c r="O16" t="n" s="12416">
        <v>60.0</v>
      </c>
      <c r="P16" t="n" s="12417">
        <v>0.0</v>
      </c>
      <c r="Q16" t="n" s="12418">
        <v>0.0</v>
      </c>
      <c r="R16" t="n" s="12419">
        <v>0.0</v>
      </c>
      <c r="S16" t="n" s="12420">
        <v>8.0</v>
      </c>
      <c r="T16" t="n" s="12421">
        <v>107.68</v>
      </c>
      <c r="U16" t="n" s="12422">
        <v>0.0</v>
      </c>
      <c r="V16" t="n" s="12423">
        <v>0.0</v>
      </c>
      <c r="W16" s="12424">
        <f>r16+t16+v16</f>
      </c>
      <c r="X16" t="n" s="12425">
        <v>0.0</v>
      </c>
      <c r="Y16" t="n" s="12426">
        <v>0.0</v>
      </c>
      <c r="Z16" t="n" s="12427">
        <v>0.0</v>
      </c>
      <c r="AA16" s="12428">
        <f>i16+j16+k16+l16+m16+n16+o16+p16+x16+y16+z16</f>
      </c>
      <c r="AB16" t="n" s="12429">
        <v>786.0</v>
      </c>
      <c r="AC16" t="n" s="12430">
        <v>110.1</v>
      </c>
      <c r="AD16" t="n" s="12431">
        <v>12.6</v>
      </c>
      <c r="AE16" t="n" s="12432">
        <v>80.0</v>
      </c>
      <c r="AF16" s="12433">
        <f>ROUND((aa16+ab16+ac16+ad16+ae16),2)</f>
      </c>
      <c r="AG16" s="12434">
        <f>af16*0.06</f>
      </c>
      <c r="AH16" s="12435">
        <f>af16+ag16</f>
      </c>
      <c r="AI16" t="s" s="12436">
        <v>0</v>
      </c>
    </row>
    <row r="17" ht="15.0" customHeight="true">
      <c r="A17" t="s" s="12437">
        <v>505</v>
      </c>
      <c r="B17" t="s" s="12438">
        <v>506</v>
      </c>
      <c r="C17" t="s" s="12439">
        <v>507</v>
      </c>
      <c r="D17" t="s" s="12440">
        <v>508</v>
      </c>
      <c r="E17" t="s" s="12441">
        <v>509</v>
      </c>
      <c r="F17" t="s" s="12442">
        <v>464</v>
      </c>
      <c r="G17" t="n" s="12443">
        <v>42700.0</v>
      </c>
      <c r="H17" t="n" s="12444">
        <v>43131.0</v>
      </c>
      <c r="I17" t="n" s="12445">
        <v>1250.0</v>
      </c>
      <c r="J17" t="n" s="12446">
        <v>100.0</v>
      </c>
      <c r="K17" t="n" s="12447">
        <v>0.0</v>
      </c>
      <c r="L17" t="n" s="12448">
        <v>1658.0</v>
      </c>
      <c r="M17" t="n" s="12449">
        <v>0.0</v>
      </c>
      <c r="N17" t="n" s="12450">
        <v>10.0</v>
      </c>
      <c r="O17" t="n" s="12451">
        <v>0.0</v>
      </c>
      <c r="P17" t="n" s="12452">
        <v>0.0</v>
      </c>
      <c r="Q17" t="n" s="12453">
        <v>0.0</v>
      </c>
      <c r="R17" t="n" s="12454">
        <v>0.0</v>
      </c>
      <c r="S17" t="n" s="12455">
        <v>8.0</v>
      </c>
      <c r="T17" t="n" s="12456">
        <v>92.32</v>
      </c>
      <c r="U17" t="n" s="12457">
        <v>0.0</v>
      </c>
      <c r="V17" t="n" s="12458">
        <v>0.0</v>
      </c>
      <c r="W17" s="12459">
        <f>r17+t17+v17</f>
      </c>
      <c r="X17" t="n" s="12460">
        <v>0.0</v>
      </c>
      <c r="Y17" t="n" s="12461">
        <v>0.0</v>
      </c>
      <c r="Z17" t="n" s="12462">
        <v>0.0</v>
      </c>
      <c r="AA17" s="12463">
        <f>i17+j17+k17+l17+m17+n17+o17+p17+x17+y17+z17</f>
      </c>
      <c r="AB17" t="n" s="12464">
        <v>786.0</v>
      </c>
      <c r="AC17" t="n" s="12465">
        <v>110.3</v>
      </c>
      <c r="AD17" t="n" s="12466">
        <v>12.6</v>
      </c>
      <c r="AE17" t="n" s="12467">
        <v>80.0</v>
      </c>
      <c r="AF17" s="12468">
        <f>ROUND((aa17+ab17+ac17+ad17+ae17),2)</f>
      </c>
      <c r="AG17" s="12469">
        <f>af17*0.06</f>
      </c>
      <c r="AH17" s="12470">
        <f>af17+ag17</f>
      </c>
      <c r="AI17" t="s" s="12471">
        <v>0</v>
      </c>
    </row>
    <row r="18" ht="15.0" customHeight="true">
      <c r="A18" t="s" s="12472">
        <v>510</v>
      </c>
      <c r="B18" t="s" s="12473">
        <v>511</v>
      </c>
      <c r="C18" t="s" s="12474">
        <v>512</v>
      </c>
      <c r="D18" t="s" s="12475">
        <v>513</v>
      </c>
      <c r="E18" t="s" s="12476">
        <v>514</v>
      </c>
      <c r="F18" t="s" s="12477">
        <v>464</v>
      </c>
      <c r="G18" t="n" s="12478">
        <v>42821.0</v>
      </c>
      <c r="H18" t="n" s="12479">
        <v>43131.0</v>
      </c>
      <c r="I18" t="n" s="12480">
        <v>1250.0</v>
      </c>
      <c r="J18" t="n" s="12481">
        <v>100.0</v>
      </c>
      <c r="K18" t="n" s="12482">
        <v>0.0</v>
      </c>
      <c r="L18" t="n" s="12483">
        <v>608.0</v>
      </c>
      <c r="M18" t="n" s="12484">
        <v>0.0</v>
      </c>
      <c r="N18" t="n" s="12485">
        <v>17.2</v>
      </c>
      <c r="O18" t="n" s="12486">
        <v>0.0</v>
      </c>
      <c r="P18" t="n" s="12487">
        <v>0.0</v>
      </c>
      <c r="Q18" t="n" s="12488">
        <v>0.0</v>
      </c>
      <c r="R18" t="n" s="12489">
        <v>0.0</v>
      </c>
      <c r="S18" t="n" s="12490">
        <v>8.0</v>
      </c>
      <c r="T18" t="n" s="12491">
        <v>92.32</v>
      </c>
      <c r="U18" t="n" s="12492">
        <v>0.0</v>
      </c>
      <c r="V18" t="n" s="12493">
        <v>0.0</v>
      </c>
      <c r="W18" s="12494">
        <f>r18+t18+v18</f>
      </c>
      <c r="X18" t="n" s="12495">
        <v>0.0</v>
      </c>
      <c r="Y18" t="n" s="12496">
        <v>0.0</v>
      </c>
      <c r="Z18" t="n" s="12497">
        <v>0.0</v>
      </c>
      <c r="AA18" s="12498">
        <f>i18+j18+k18+l18+m18+n18+o18+p18+x18+y18+z18</f>
      </c>
      <c r="AB18" t="n" s="12499">
        <v>510.0</v>
      </c>
      <c r="AC18" t="n" s="12500">
        <v>71.7</v>
      </c>
      <c r="AD18" t="n" s="12501">
        <v>8.2</v>
      </c>
      <c r="AE18" t="n" s="12502">
        <v>80.0</v>
      </c>
      <c r="AF18" s="12503">
        <f>ROUND((aa18+ab18+ac18+ad18+ae18),2)</f>
      </c>
      <c r="AG18" s="12504">
        <f>af18*0.06</f>
      </c>
      <c r="AH18" s="12505">
        <f>af18+ag18</f>
      </c>
      <c r="AI18" t="s" s="12506">
        <v>0</v>
      </c>
    </row>
    <row r="19" ht="15.0" customHeight="true">
      <c r="A19" t="s" s="12507">
        <v>515</v>
      </c>
      <c r="B19" t="s" s="12508">
        <v>516</v>
      </c>
      <c r="C19" t="s" s="12509">
        <v>517</v>
      </c>
      <c r="D19" t="s" s="12510">
        <v>518</v>
      </c>
      <c r="E19" t="s" s="12511">
        <v>519</v>
      </c>
      <c r="F19" t="s" s="12512">
        <v>464</v>
      </c>
      <c r="G19" t="n" s="12513">
        <v>42905.0</v>
      </c>
      <c r="H19" t="s" s="12514">
        <v>0</v>
      </c>
      <c r="I19" t="n" s="12515">
        <v>1190.0</v>
      </c>
      <c r="J19" t="n" s="12516">
        <v>100.0</v>
      </c>
      <c r="K19" t="n" s="12517">
        <v>0.0</v>
      </c>
      <c r="L19" t="n" s="12518">
        <v>1840.0</v>
      </c>
      <c r="M19" t="n" s="12519">
        <v>0.0</v>
      </c>
      <c r="N19" t="n" s="12520">
        <v>10.0</v>
      </c>
      <c r="O19" t="n" s="12521">
        <v>60.0</v>
      </c>
      <c r="P19" t="n" s="12522">
        <v>0.0</v>
      </c>
      <c r="Q19" t="n" s="12523">
        <v>0.0</v>
      </c>
      <c r="R19" t="n" s="12524">
        <v>0.0</v>
      </c>
      <c r="S19" t="n" s="12525">
        <v>8.0</v>
      </c>
      <c r="T19" t="n" s="12526">
        <v>84.64</v>
      </c>
      <c r="U19" t="n" s="12527">
        <v>0.0</v>
      </c>
      <c r="V19" t="n" s="12528">
        <v>0.0</v>
      </c>
      <c r="W19" s="12529">
        <f>r19+t19+v19</f>
      </c>
      <c r="X19" t="n" s="12530">
        <v>0.0</v>
      </c>
      <c r="Y19" t="n" s="12531">
        <v>0.0</v>
      </c>
      <c r="Z19" t="n" s="12532">
        <v>0.0</v>
      </c>
      <c r="AA19" s="12533">
        <f>i19+j19+k19+l19+m19+n19+o19+p19+x19+y19+z19</f>
      </c>
      <c r="AB19" t="n" s="12534">
        <v>832.0</v>
      </c>
      <c r="AC19" t="n" s="12535">
        <v>113.7</v>
      </c>
      <c r="AD19" t="n" s="12536">
        <v>13.0</v>
      </c>
      <c r="AE19" t="n" s="12537">
        <v>80.0</v>
      </c>
      <c r="AF19" s="12538">
        <f>ROUND((aa19+ab19+ac19+ad19+ae19),2)</f>
      </c>
      <c r="AG19" s="12539">
        <f>af19*0.06</f>
      </c>
      <c r="AH19" s="12540">
        <f>af19+ag19</f>
      </c>
      <c r="AI19" t="s" s="12541">
        <v>0</v>
      </c>
    </row>
    <row r="20" ht="15.0" customHeight="true">
      <c r="A20" t="s" s="12542">
        <v>520</v>
      </c>
      <c r="B20" t="s" s="12543">
        <v>0</v>
      </c>
      <c r="C20" t="s" s="12544">
        <v>521</v>
      </c>
      <c r="D20" t="s" s="12545">
        <v>522</v>
      </c>
      <c r="E20" t="s" s="12546">
        <v>523</v>
      </c>
      <c r="F20" t="s" s="12547">
        <v>464</v>
      </c>
      <c r="G20" t="n" s="12548">
        <v>43066.0</v>
      </c>
      <c r="H20" t="n" s="12549">
        <v>43190.0</v>
      </c>
      <c r="I20" t="n" s="12550">
        <v>1400.0</v>
      </c>
      <c r="J20" t="n" s="12551">
        <v>100.0</v>
      </c>
      <c r="K20" t="n" s="12552">
        <v>0.0</v>
      </c>
      <c r="L20" t="n" s="12553">
        <v>1838.0</v>
      </c>
      <c r="M20" t="n" s="12554">
        <v>0.0</v>
      </c>
      <c r="N20" t="n" s="12555">
        <v>25.59</v>
      </c>
      <c r="O20" t="n" s="12556">
        <v>60.0</v>
      </c>
      <c r="P20" t="n" s="12557">
        <v>0.0</v>
      </c>
      <c r="Q20" t="n" s="12558">
        <v>0.0</v>
      </c>
      <c r="R20" t="n" s="12559">
        <v>0.0</v>
      </c>
      <c r="S20" t="n" s="12560">
        <v>8.0</v>
      </c>
      <c r="T20" t="n" s="12561">
        <v>107.68</v>
      </c>
      <c r="U20" t="n" s="12562">
        <v>0.0</v>
      </c>
      <c r="V20" t="n" s="12563">
        <v>0.0</v>
      </c>
      <c r="W20" s="12564">
        <f>r20+t20+v20</f>
      </c>
      <c r="X20" t="n" s="12565">
        <v>0.0</v>
      </c>
      <c r="Y20" t="n" s="12566">
        <v>0.0</v>
      </c>
      <c r="Z20" t="n" s="12567">
        <v>0.0</v>
      </c>
      <c r="AA20" s="12568">
        <f>i20+j20+k20+l20+m20+n20+o20+p20+x20+y20+z20</f>
      </c>
      <c r="AB20" t="n" s="12569">
        <v>442.0</v>
      </c>
      <c r="AC20" t="n" s="12570">
        <v>62.15</v>
      </c>
      <c r="AD20" t="n" s="12571">
        <v>7.1</v>
      </c>
      <c r="AE20" t="n" s="12572">
        <v>80.0</v>
      </c>
      <c r="AF20" s="12573">
        <f>ROUND((aa20+ab20+ac20+ad20+ae20),2)</f>
      </c>
      <c r="AG20" s="12574">
        <f>af20*0.06</f>
      </c>
      <c r="AH20" s="12575">
        <f>af20+ag20</f>
      </c>
      <c r="AI20" t="s" s="12576">
        <v>0</v>
      </c>
    </row>
    <row r="21" ht="15.0" customHeight="true">
      <c r="A21" t="s" s="12577">
        <v>524</v>
      </c>
      <c r="B21" t="s" s="12578">
        <v>0</v>
      </c>
      <c r="C21" t="s" s="12579">
        <v>525</v>
      </c>
      <c r="D21" t="s" s="12580">
        <v>526</v>
      </c>
      <c r="E21" t="s" s="12581">
        <v>527</v>
      </c>
      <c r="F21" t="s" s="12582">
        <v>464</v>
      </c>
      <c r="G21" t="n" s="12583">
        <v>43054.0</v>
      </c>
      <c r="H21" t="s" s="12584">
        <v>0</v>
      </c>
      <c r="I21" t="n" s="12585">
        <v>1300.0</v>
      </c>
      <c r="J21" t="n" s="12586">
        <v>100.0</v>
      </c>
      <c r="K21" t="n" s="12587">
        <v>0.0</v>
      </c>
      <c r="L21" t="n" s="12588">
        <v>1778.0</v>
      </c>
      <c r="M21" t="n" s="12589">
        <v>0.0</v>
      </c>
      <c r="N21" t="n" s="12590">
        <v>23.61</v>
      </c>
      <c r="O21" t="n" s="12591">
        <v>60.0</v>
      </c>
      <c r="P21" t="n" s="12592">
        <v>0.0</v>
      </c>
      <c r="Q21" t="n" s="12593">
        <v>0.0</v>
      </c>
      <c r="R21" t="n" s="12594">
        <v>0.0</v>
      </c>
      <c r="S21" t="n" s="12595">
        <v>8.0</v>
      </c>
      <c r="T21" t="n" s="12596">
        <v>100.0</v>
      </c>
      <c r="U21" t="n" s="12597">
        <v>0.0</v>
      </c>
      <c r="V21" t="n" s="12598">
        <v>0.0</v>
      </c>
      <c r="W21" s="12599">
        <f>r21+t21+v21</f>
      </c>
      <c r="X21" t="n" s="12600">
        <v>0.0</v>
      </c>
      <c r="Y21" t="n" s="12601">
        <v>0.0</v>
      </c>
      <c r="Z21" t="n" s="12602">
        <v>0.0</v>
      </c>
      <c r="AA21" s="12603">
        <f>i21+j21+k21+l21+m21+n21+o21+p21+x21+y21+z21</f>
      </c>
      <c r="AB21" t="n" s="12604">
        <v>422.0</v>
      </c>
      <c r="AC21" t="n" s="12605">
        <v>58.65</v>
      </c>
      <c r="AD21" t="n" s="12606">
        <v>6.7</v>
      </c>
      <c r="AE21" t="n" s="12607">
        <v>80.0</v>
      </c>
      <c r="AF21" s="12608">
        <f>ROUND((aa21+ab21+ac21+ad21+ae21),2)</f>
      </c>
      <c r="AG21" s="12609">
        <f>af21*0.06</f>
      </c>
      <c r="AH21" s="12610">
        <f>af21+ag21</f>
      </c>
      <c r="AI21" t="s" s="12611">
        <v>0</v>
      </c>
    </row>
    <row r="22" ht="15.0" customHeight="true">
      <c r="A22" t="s" s="12612">
        <v>0</v>
      </c>
      <c r="B22" t="s" s="12613">
        <v>0</v>
      </c>
      <c r="C22" t="s" s="12614">
        <v>0</v>
      </c>
      <c r="D22" t="s" s="12615">
        <v>0</v>
      </c>
      <c r="E22" t="s" s="12616">
        <v>0</v>
      </c>
      <c r="F22" t="s" s="12617">
        <v>0</v>
      </c>
      <c r="G22" t="s" s="12618">
        <v>0</v>
      </c>
      <c r="H22" t="s" s="12619">
        <v>0</v>
      </c>
      <c r="I22" s="12620">
        <f>SUM(i8:i21)</f>
      </c>
      <c r="J22" s="12621">
        <f>SUM(j8:j21)</f>
      </c>
      <c r="K22" s="12622">
        <f>SUM(k8:k21)</f>
      </c>
      <c r="L22" s="12623">
        <f>SUM(l8:l21)</f>
      </c>
      <c r="M22" s="12624">
        <f>SUM(m8:m21)</f>
      </c>
      <c r="N22" s="12625">
        <f>SUM(n8:n21)</f>
      </c>
      <c r="O22" s="12626">
        <f>SUM(o8:o21)</f>
      </c>
      <c r="P22" s="12627">
        <f>SUM(p8:p21)</f>
      </c>
      <c r="Q22" s="12628">
        <f>SUM(q8:q21)</f>
      </c>
      <c r="R22" s="12629">
        <f>SUM(r8:r21)</f>
      </c>
      <c r="S22" s="12630">
        <f>SUM(s8:s21)</f>
      </c>
      <c r="T22" s="12631">
        <f>SUM(t8:t21)</f>
      </c>
      <c r="U22" s="12632">
        <f>SUM(u8:u21)</f>
      </c>
      <c r="V22" s="12633">
        <f>SUM(v8:v21)</f>
      </c>
      <c r="W22" s="12634">
        <f>SUM(w8:w21)</f>
      </c>
      <c r="X22" s="12635">
        <f>SUM(x8:x21)</f>
      </c>
      <c r="Y22" s="12636">
        <f>SUM(y8:y21)</f>
      </c>
      <c r="Z22" s="12637">
        <f>SUM(z8:z21)</f>
      </c>
      <c r="AA22" s="12638">
        <f>SUM(aa8:aa21)</f>
      </c>
      <c r="AB22" s="12639">
        <f>SUM(ab8:ab21)</f>
      </c>
      <c r="AC22" s="12640">
        <f>SUM(ac8:ac21)</f>
      </c>
      <c r="AD22" s="12641">
        <f>SUM(ad8:ad21)</f>
      </c>
      <c r="AE22" s="12642">
        <f>SUM(ae8:ae21)</f>
      </c>
      <c r="AF22" s="12643">
        <f>SUM(af8:af21)</f>
      </c>
      <c r="AG22" s="12644">
        <f>SUM(ag8:ag21)</f>
      </c>
      <c r="AH22" s="12645">
        <f>SUM(ah8:ah21)</f>
      </c>
      <c r="AI22" t="s" s="12646">
        <v>0</v>
      </c>
    </row>
    <row r="23" ht="15.0" customHeight="true"/>
    <row r="24" ht="15.0" customHeight="true">
      <c r="A24" t="s" s="12647">
        <v>0</v>
      </c>
      <c r="B24" t="s" s="12648">
        <v>0</v>
      </c>
      <c r="C24" t="s" s="12649">
        <v>0</v>
      </c>
      <c r="D24" t="s" s="12650">
        <v>703</v>
      </c>
    </row>
    <row r="25" ht="15.0" customHeight="true">
      <c r="D25" s="12651">
        <f>COUNTA(A8:A21)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652">
        <v>0</v>
      </c>
      <c r="B1" t="s" s="12653">
        <v>0</v>
      </c>
      <c r="C1" t="s" s="12654">
        <v>0</v>
      </c>
      <c r="D1" t="s" s="12655">
        <v>1</v>
      </c>
    </row>
    <row r="2" ht="15.0" customHeight="true">
      <c r="A2" t="s" s="12656">
        <v>0</v>
      </c>
      <c r="B2" t="s" s="12657">
        <v>0</v>
      </c>
      <c r="C2" t="s" s="12658">
        <v>0</v>
      </c>
      <c r="D2" t="s" s="12659">
        <v>2</v>
      </c>
    </row>
    <row r="3" ht="15.0" customHeight="true">
      <c r="A3" t="s" s="12660">
        <v>0</v>
      </c>
      <c r="B3" t="s" s="12661">
        <v>0</v>
      </c>
      <c r="C3" t="s" s="12662">
        <v>0</v>
      </c>
      <c r="D3" t="s" s="12663">
        <v>3</v>
      </c>
    </row>
    <row r="4" ht="15.0" customHeight="true">
      <c r="A4" t="s" s="12664">
        <v>0</v>
      </c>
      <c r="B4" t="s" s="12665">
        <v>0</v>
      </c>
      <c r="C4" t="s" s="12666">
        <v>0</v>
      </c>
      <c r="D4" t="s" s="12667">
        <v>4</v>
      </c>
      <c r="E4" t="s" s="12668">
        <v>0</v>
      </c>
      <c r="F4" t="s" s="12669">
        <v>0</v>
      </c>
      <c r="G4" t="s" s="12670">
        <v>0</v>
      </c>
      <c r="H4" t="s" s="12671">
        <v>0</v>
      </c>
      <c r="I4" t="s" s="12672">
        <v>0</v>
      </c>
      <c r="J4" t="s" s="12673">
        <v>0</v>
      </c>
      <c r="K4" t="s" s="12674">
        <v>0</v>
      </c>
      <c r="L4" t="s" s="12675">
        <v>0</v>
      </c>
      <c r="M4" t="s" s="12676">
        <v>0</v>
      </c>
      <c r="N4" t="s" s="12677">
        <v>0</v>
      </c>
      <c r="O4" t="s" s="12678">
        <v>0</v>
      </c>
      <c r="P4" t="s" s="12679">
        <v>0</v>
      </c>
      <c r="Q4" t="s" s="12680">
        <v>0</v>
      </c>
      <c r="R4" t="s" s="12681">
        <v>0</v>
      </c>
      <c r="S4" t="s" s="12682">
        <v>0</v>
      </c>
      <c r="T4" t="s" s="12683">
        <v>0</v>
      </c>
      <c r="U4" t="s" s="12684">
        <v>0</v>
      </c>
      <c r="V4" t="s" s="12685">
        <v>0</v>
      </c>
      <c r="W4" t="s" s="12686">
        <v>0</v>
      </c>
      <c r="X4" t="s" s="12687">
        <v>0</v>
      </c>
      <c r="Y4" t="s" s="12688">
        <v>0</v>
      </c>
      <c r="Z4" t="s" s="12689">
        <v>0</v>
      </c>
      <c r="AA4" t="s" s="12690">
        <v>0</v>
      </c>
      <c r="AB4" t="s" s="12691">
        <v>0</v>
      </c>
      <c r="AC4" t="s" s="12692">
        <v>5</v>
      </c>
      <c r="AD4" t="n" s="12693">
        <v>2018.0</v>
      </c>
    </row>
    <row r="5" ht="15.0" customHeight="true">
      <c r="A5" t="s" s="12694">
        <v>0</v>
      </c>
      <c r="B5" t="s" s="12695">
        <v>0</v>
      </c>
      <c r="C5" t="s" s="12696">
        <v>0</v>
      </c>
      <c r="D5" t="s" s="12697">
        <v>0</v>
      </c>
      <c r="E5" t="s" s="12698">
        <v>0</v>
      </c>
      <c r="F5" t="s" s="12699">
        <v>0</v>
      </c>
      <c r="G5" t="s" s="12700">
        <v>0</v>
      </c>
      <c r="H5" t="s" s="12701">
        <v>0</v>
      </c>
      <c r="I5" t="s" s="12702">
        <v>0</v>
      </c>
      <c r="J5" t="s" s="12703">
        <v>0</v>
      </c>
      <c r="K5" t="s" s="12704">
        <v>0</v>
      </c>
      <c r="L5" t="s" s="12705">
        <v>0</v>
      </c>
      <c r="M5" t="s" s="12706">
        <v>0</v>
      </c>
      <c r="N5" t="s" s="12707">
        <v>0</v>
      </c>
      <c r="O5" t="s" s="12708">
        <v>0</v>
      </c>
      <c r="P5" t="s" s="12709">
        <v>0</v>
      </c>
      <c r="Q5" t="s" s="12710">
        <v>0</v>
      </c>
      <c r="R5" t="s" s="12711">
        <v>0</v>
      </c>
      <c r="S5" t="s" s="12712">
        <v>0</v>
      </c>
      <c r="T5" t="s" s="12713">
        <v>0</v>
      </c>
      <c r="U5" t="s" s="12714">
        <v>0</v>
      </c>
      <c r="V5" t="s" s="12715">
        <v>0</v>
      </c>
      <c r="W5" t="s" s="12716">
        <v>0</v>
      </c>
      <c r="X5" t="s" s="12717">
        <v>0</v>
      </c>
      <c r="Y5" t="s" s="12718">
        <v>0</v>
      </c>
      <c r="Z5" t="s" s="12719">
        <v>0</v>
      </c>
      <c r="AA5" t="s" s="12720">
        <v>0</v>
      </c>
      <c r="AB5" t="s" s="12721">
        <v>0</v>
      </c>
      <c r="AC5" t="s" s="12722">
        <v>6</v>
      </c>
      <c r="AD5" t="n" s="12723">
        <v>2017.0</v>
      </c>
    </row>
    <row r="6" ht="15.0" customHeight="true"/>
    <row r="7" ht="35.0" customHeight="true">
      <c r="A7" t="s" s="12724">
        <v>7</v>
      </c>
      <c r="B7" t="s" s="12725">
        <v>8</v>
      </c>
      <c r="C7" t="s" s="12726">
        <v>9</v>
      </c>
      <c r="D7" t="s" s="12727">
        <v>10</v>
      </c>
      <c r="E7" t="s" s="12728">
        <v>11</v>
      </c>
      <c r="F7" t="s" s="12729">
        <v>12</v>
      </c>
      <c r="G7" t="s" s="12730">
        <v>13</v>
      </c>
      <c r="H7" t="s" s="12731">
        <v>14</v>
      </c>
      <c r="I7" t="s" s="12732">
        <v>15</v>
      </c>
      <c r="J7" t="s" s="12733">
        <v>16</v>
      </c>
      <c r="K7" t="s" s="12734">
        <v>17</v>
      </c>
      <c r="L7" t="s" s="12735">
        <v>18</v>
      </c>
      <c r="M7" t="s" s="12736">
        <v>19</v>
      </c>
      <c r="N7" t="s" s="12737">
        <v>20</v>
      </c>
      <c r="O7" t="s" s="12738">
        <v>21</v>
      </c>
      <c r="P7" t="s" s="12739">
        <v>22</v>
      </c>
      <c r="Q7" t="s" s="12740">
        <v>23</v>
      </c>
      <c r="R7" t="s" s="12741">
        <v>24</v>
      </c>
      <c r="S7" t="s" s="12742">
        <v>25</v>
      </c>
      <c r="T7" t="s" s="12743">
        <v>26</v>
      </c>
      <c r="U7" t="s" s="12744">
        <v>27</v>
      </c>
      <c r="V7" t="s" s="12745">
        <v>28</v>
      </c>
      <c r="W7" t="s" s="12746">
        <v>29</v>
      </c>
      <c r="X7" t="s" s="12747">
        <v>30</v>
      </c>
      <c r="Y7" t="s" s="12748">
        <v>31</v>
      </c>
      <c r="Z7" t="s" s="12749">
        <v>32</v>
      </c>
      <c r="AA7" t="s" s="12750">
        <v>33</v>
      </c>
      <c r="AB7" t="s" s="12751">
        <v>34</v>
      </c>
      <c r="AC7" t="s" s="12752">
        <v>35</v>
      </c>
      <c r="AD7" t="s" s="12753">
        <v>36</v>
      </c>
      <c r="AE7" t="s" s="12754">
        <v>37</v>
      </c>
      <c r="AF7" t="s" s="12755">
        <v>38</v>
      </c>
      <c r="AG7" t="s" s="12756">
        <v>39</v>
      </c>
      <c r="AH7" t="s" s="12757">
        <v>40</v>
      </c>
      <c r="AI7" t="s" s="12758">
        <v>41</v>
      </c>
    </row>
    <row r="8" ht="15.0" customHeight="true">
      <c r="A8" t="s" s="12759">
        <v>528</v>
      </c>
      <c r="B8" t="s" s="12760">
        <v>529</v>
      </c>
      <c r="C8" t="s" s="12761">
        <v>530</v>
      </c>
      <c r="D8" t="s" s="12762">
        <v>531</v>
      </c>
      <c r="E8" t="s" s="12763">
        <v>532</v>
      </c>
      <c r="F8" t="s" s="12764">
        <v>533</v>
      </c>
      <c r="G8" t="n" s="12765">
        <v>41944.0</v>
      </c>
      <c r="H8" t="s" s="12766">
        <v>0</v>
      </c>
      <c r="I8" t="n" s="12767">
        <v>1580.0</v>
      </c>
      <c r="J8" t="n" s="12768">
        <v>100.0</v>
      </c>
      <c r="K8" t="n" s="12769">
        <v>0.0</v>
      </c>
      <c r="L8" t="n" s="12770">
        <v>400.0</v>
      </c>
      <c r="M8" t="n" s="12771">
        <v>0.0</v>
      </c>
      <c r="N8" t="n" s="12772">
        <v>10.0</v>
      </c>
      <c r="O8" t="n" s="12773">
        <v>60.0</v>
      </c>
      <c r="P8" t="n" s="12774">
        <v>0.0</v>
      </c>
      <c r="Q8" t="n" s="12775">
        <v>12.0</v>
      </c>
      <c r="R8" t="n" s="12776">
        <v>129.0</v>
      </c>
      <c r="S8" t="n" s="12777">
        <v>8.0</v>
      </c>
      <c r="T8" t="n" s="12778">
        <v>114.64</v>
      </c>
      <c r="U8" t="n" s="12779">
        <v>3.0</v>
      </c>
      <c r="V8" t="n" s="12780">
        <v>64.47</v>
      </c>
      <c r="W8" s="12781">
        <f>r8+t8+v8</f>
      </c>
      <c r="X8" t="n" s="12782">
        <v>0.0</v>
      </c>
      <c r="Y8" t="n" s="12783">
        <v>0.0</v>
      </c>
      <c r="Z8" t="n" s="12784">
        <v>0.0</v>
      </c>
      <c r="AA8" s="12785">
        <f>i8+j8+k8+l8+m8+n8+o8+p8+x8+y8+z8</f>
      </c>
      <c r="AB8" t="n" s="12786">
        <v>558.0</v>
      </c>
      <c r="AC8" t="n" s="12787">
        <v>85.9</v>
      </c>
      <c r="AD8" t="n" s="12788">
        <v>9.8</v>
      </c>
      <c r="AE8" t="n" s="12789">
        <v>80.0</v>
      </c>
      <c r="AF8" s="12790">
        <f>ROUND((aa8+ab8+ac8+ad8+ae8),2)</f>
      </c>
      <c r="AG8" s="12791">
        <f>af8*0.06</f>
      </c>
      <c r="AH8" s="12792">
        <f>af8+ag8</f>
      </c>
      <c r="AI8" t="s" s="12793">
        <v>0</v>
      </c>
    </row>
    <row r="9" ht="15.0" customHeight="true">
      <c r="A9" t="s" s="12794">
        <v>534</v>
      </c>
      <c r="B9" t="s" s="12795">
        <v>535</v>
      </c>
      <c r="C9" t="s" s="12796">
        <v>536</v>
      </c>
      <c r="D9" t="s" s="12797">
        <v>537</v>
      </c>
      <c r="E9" t="s" s="12798">
        <v>538</v>
      </c>
      <c r="F9" t="s" s="12799">
        <v>533</v>
      </c>
      <c r="G9" t="n" s="12800">
        <v>41944.0</v>
      </c>
      <c r="H9" t="s" s="12801">
        <v>0</v>
      </c>
      <c r="I9" t="n" s="12802">
        <v>1280.0</v>
      </c>
      <c r="J9" t="n" s="12803">
        <v>100.0</v>
      </c>
      <c r="K9" t="n" s="12804">
        <v>0.0</v>
      </c>
      <c r="L9" t="n" s="12805">
        <v>2372.0</v>
      </c>
      <c r="M9" t="n" s="12806">
        <v>0.0</v>
      </c>
      <c r="N9" t="n" s="12807">
        <v>10.0</v>
      </c>
      <c r="O9" t="n" s="12808">
        <v>60.0</v>
      </c>
      <c r="P9" t="n" s="12809">
        <v>0.0</v>
      </c>
      <c r="Q9" t="n" s="12810">
        <v>16.0</v>
      </c>
      <c r="R9" t="n" s="12811">
        <v>138.4</v>
      </c>
      <c r="S9" t="n" s="12812">
        <v>8.0</v>
      </c>
      <c r="T9" t="n" s="12813">
        <v>92.32</v>
      </c>
      <c r="U9" t="n" s="12814">
        <v>1.0</v>
      </c>
      <c r="V9" t="n" s="12815">
        <v>17.31</v>
      </c>
      <c r="W9" s="12816">
        <f>r9+t9+v9</f>
      </c>
      <c r="X9" t="n" s="12817">
        <v>0.0</v>
      </c>
      <c r="Y9" t="n" s="12818">
        <v>0.0</v>
      </c>
      <c r="Z9" t="n" s="12819">
        <v>0.0</v>
      </c>
      <c r="AA9" s="12820">
        <f>i9+j9+k9+l9+m9+n9+o9+p9+x9+y9+z9</f>
      </c>
      <c r="AB9" t="n" s="12821">
        <v>994.0</v>
      </c>
      <c r="AC9" t="n" s="12822">
        <v>141.5</v>
      </c>
      <c r="AD9" t="n" s="12823">
        <v>16.2</v>
      </c>
      <c r="AE9" t="n" s="12824">
        <v>80.0</v>
      </c>
      <c r="AF9" s="12825">
        <f>ROUND((aa9+ab9+ac9+ad9+ae9),2)</f>
      </c>
      <c r="AG9" s="12826">
        <f>af9*0.06</f>
      </c>
      <c r="AH9" s="12827">
        <f>af9+ag9</f>
      </c>
      <c r="AI9" t="s" s="12828">
        <v>0</v>
      </c>
    </row>
    <row r="10" ht="15.0" customHeight="true">
      <c r="A10" t="s" s="12829">
        <v>539</v>
      </c>
      <c r="B10" t="s" s="12830">
        <v>540</v>
      </c>
      <c r="C10" t="s" s="12831">
        <v>541</v>
      </c>
      <c r="D10" t="s" s="12832">
        <v>542</v>
      </c>
      <c r="E10" t="s" s="12833">
        <v>543</v>
      </c>
      <c r="F10" t="s" s="12834">
        <v>533</v>
      </c>
      <c r="G10" t="n" s="12835">
        <v>41944.0</v>
      </c>
      <c r="H10" t="s" s="12836">
        <v>0</v>
      </c>
      <c r="I10" t="n" s="12837">
        <v>1650.0</v>
      </c>
      <c r="J10" t="n" s="12838">
        <v>100.0</v>
      </c>
      <c r="K10" t="n" s="12839">
        <v>0.0</v>
      </c>
      <c r="L10" t="n" s="12840">
        <v>1144.0</v>
      </c>
      <c r="M10" t="n" s="12841">
        <v>0.0</v>
      </c>
      <c r="N10" t="n" s="12842">
        <v>10.0</v>
      </c>
      <c r="O10" t="n" s="12843">
        <v>60.0</v>
      </c>
      <c r="P10" t="n" s="12844">
        <v>0.0</v>
      </c>
      <c r="Q10" t="n" s="12845">
        <v>12.0</v>
      </c>
      <c r="R10" t="n" s="12846">
        <v>136.68</v>
      </c>
      <c r="S10" t="n" s="12847">
        <v>16.0</v>
      </c>
      <c r="T10" t="n" s="12848">
        <v>243.04</v>
      </c>
      <c r="U10" t="n" s="12849">
        <v>3.0</v>
      </c>
      <c r="V10" t="n" s="12850">
        <v>68.37</v>
      </c>
      <c r="W10" s="12851">
        <f>r10+t10+v10</f>
      </c>
      <c r="X10" t="n" s="12852">
        <v>0.0</v>
      </c>
      <c r="Y10" t="n" s="12853">
        <v>0.0</v>
      </c>
      <c r="Z10" t="n" s="12854">
        <v>0.0</v>
      </c>
      <c r="AA10" s="12855">
        <f>i10+j10+k10+l10+m10+n10+o10+p10+x10+y10+z10</f>
      </c>
      <c r="AB10" t="n" s="12856">
        <v>770.0</v>
      </c>
      <c r="AC10" t="n" s="12857">
        <v>120.9</v>
      </c>
      <c r="AD10" t="n" s="12858">
        <v>13.8</v>
      </c>
      <c r="AE10" t="n" s="12859">
        <v>80.0</v>
      </c>
      <c r="AF10" s="12860">
        <f>ROUND((aa10+ab10+ac10+ad10+ae10),2)</f>
      </c>
      <c r="AG10" s="12861">
        <f>af10*0.06</f>
      </c>
      <c r="AH10" s="12862">
        <f>af10+ag10</f>
      </c>
      <c r="AI10" t="s" s="12863">
        <v>0</v>
      </c>
    </row>
    <row r="11" ht="15.0" customHeight="true">
      <c r="A11" t="s" s="12864">
        <v>544</v>
      </c>
      <c r="B11" t="s" s="12865">
        <v>545</v>
      </c>
      <c r="C11" t="s" s="12866">
        <v>546</v>
      </c>
      <c r="D11" t="s" s="12867">
        <v>547</v>
      </c>
      <c r="E11" t="s" s="12868">
        <v>548</v>
      </c>
      <c r="F11" t="s" s="12869">
        <v>533</v>
      </c>
      <c r="G11" t="n" s="12870">
        <v>41944.0</v>
      </c>
      <c r="H11" t="s" s="12871">
        <v>0</v>
      </c>
      <c r="I11" t="n" s="12872">
        <v>1280.0</v>
      </c>
      <c r="J11" t="n" s="12873">
        <v>100.0</v>
      </c>
      <c r="K11" t="n" s="12874">
        <v>0.0</v>
      </c>
      <c r="L11" t="n" s="12875">
        <v>1952.0</v>
      </c>
      <c r="M11" t="n" s="12876">
        <v>0.0</v>
      </c>
      <c r="N11" t="n" s="12877">
        <v>10.0</v>
      </c>
      <c r="O11" t="n" s="12878">
        <v>60.0</v>
      </c>
      <c r="P11" t="n" s="12879">
        <v>0.0</v>
      </c>
      <c r="Q11" t="n" s="12880">
        <v>15.0</v>
      </c>
      <c r="R11" t="n" s="12881">
        <v>129.75</v>
      </c>
      <c r="S11" t="n" s="12882">
        <v>8.0</v>
      </c>
      <c r="T11" t="n" s="12883">
        <v>92.32</v>
      </c>
      <c r="U11" t="n" s="12884">
        <v>2.0</v>
      </c>
      <c r="V11" t="n" s="12885">
        <v>34.62</v>
      </c>
      <c r="W11" s="12886">
        <f>r11+t11+v11</f>
      </c>
      <c r="X11" t="n" s="12887">
        <v>0.0</v>
      </c>
      <c r="Y11" t="n" s="12888">
        <v>0.0</v>
      </c>
      <c r="Z11" t="n" s="12889">
        <v>0.0</v>
      </c>
      <c r="AA11" s="12890">
        <f>i11+j11+k11+l11+m11+n11+o11+p11+x11+y11+z11</f>
      </c>
      <c r="AB11" t="n" s="12891">
        <v>884.0</v>
      </c>
      <c r="AC11" t="n" s="12892">
        <v>124.3</v>
      </c>
      <c r="AD11" t="n" s="12893">
        <v>14.2</v>
      </c>
      <c r="AE11" t="n" s="12894">
        <v>80.0</v>
      </c>
      <c r="AF11" s="12895">
        <f>ROUND((aa11+ab11+ac11+ad11+ae11),2)</f>
      </c>
      <c r="AG11" s="12896">
        <f>af11*0.06</f>
      </c>
      <c r="AH11" s="12897">
        <f>af11+ag11</f>
      </c>
      <c r="AI11" t="s" s="12898">
        <v>0</v>
      </c>
    </row>
    <row r="12" ht="15.0" customHeight="true">
      <c r="A12" t="s" s="12899">
        <v>549</v>
      </c>
      <c r="B12" t="s" s="12900">
        <v>550</v>
      </c>
      <c r="C12" t="s" s="12901">
        <v>551</v>
      </c>
      <c r="D12" t="s" s="12902">
        <v>552</v>
      </c>
      <c r="E12" t="s" s="12903">
        <v>553</v>
      </c>
      <c r="F12" t="s" s="12904">
        <v>533</v>
      </c>
      <c r="G12" t="n" s="12905">
        <v>42614.0</v>
      </c>
      <c r="H12" t="s" s="12906">
        <v>0</v>
      </c>
      <c r="I12" t="n" s="12907">
        <v>1330.0</v>
      </c>
      <c r="J12" t="n" s="12908">
        <v>100.0</v>
      </c>
      <c r="K12" t="n" s="12909">
        <v>0.0</v>
      </c>
      <c r="L12" t="n" s="12910">
        <v>1160.0</v>
      </c>
      <c r="M12" t="n" s="12911">
        <v>0.0</v>
      </c>
      <c r="N12" t="n" s="12912">
        <v>10.0</v>
      </c>
      <c r="O12" t="n" s="12913">
        <v>60.0</v>
      </c>
      <c r="P12" t="n" s="12914">
        <v>0.0</v>
      </c>
      <c r="Q12" t="n" s="12915">
        <v>2.0</v>
      </c>
      <c r="R12" t="n" s="12916">
        <v>18.02</v>
      </c>
      <c r="S12" t="n" s="12917">
        <v>8.0</v>
      </c>
      <c r="T12" t="n" s="12918">
        <v>96.16</v>
      </c>
      <c r="U12" t="n" s="12919">
        <v>0.0</v>
      </c>
      <c r="V12" t="n" s="12920">
        <v>0.0</v>
      </c>
      <c r="W12" s="12921">
        <f>r12+t12+v12</f>
      </c>
      <c r="X12" t="n" s="12922">
        <v>0.0</v>
      </c>
      <c r="Y12" t="n" s="12923">
        <v>0.0</v>
      </c>
      <c r="Z12" t="n" s="12924">
        <v>0.0</v>
      </c>
      <c r="AA12" s="12925">
        <f>i12+j12+k12+l12+m12+n12+o12+p12+x12+y12+z12</f>
      </c>
      <c r="AB12" t="n" s="12926">
        <v>692.0</v>
      </c>
      <c r="AC12" t="n" s="12927">
        <v>99.7</v>
      </c>
      <c r="AD12" t="n" s="12928">
        <v>11.4</v>
      </c>
      <c r="AE12" t="n" s="12929">
        <v>80.0</v>
      </c>
      <c r="AF12" s="12930">
        <f>ROUND((aa12+ab12+ac12+ad12+ae12),2)</f>
      </c>
      <c r="AG12" s="12931">
        <f>af12*0.06</f>
      </c>
      <c r="AH12" s="12932">
        <f>af12+ag12</f>
      </c>
      <c r="AI12" t="s" s="12933">
        <v>0</v>
      </c>
    </row>
    <row r="13" ht="15.0" customHeight="true">
      <c r="A13" t="s" s="12934">
        <v>554</v>
      </c>
      <c r="B13" t="s" s="12935">
        <v>0</v>
      </c>
      <c r="C13" t="s" s="12936">
        <v>555</v>
      </c>
      <c r="D13" t="s" s="12937">
        <v>556</v>
      </c>
      <c r="E13" t="s" s="12938">
        <v>557</v>
      </c>
      <c r="F13" t="s" s="12939">
        <v>533</v>
      </c>
      <c r="G13" t="n" s="12940">
        <v>42736.0</v>
      </c>
      <c r="H13" t="n" s="12941">
        <v>43100.0</v>
      </c>
      <c r="I13" t="n" s="12942">
        <v>0.0</v>
      </c>
      <c r="J13" t="n" s="12943">
        <v>0.0</v>
      </c>
      <c r="K13" t="n" s="12944">
        <v>-22.61</v>
      </c>
      <c r="L13" t="n" s="12945">
        <v>1900.0</v>
      </c>
      <c r="M13" t="n" s="12946">
        <v>0.0</v>
      </c>
      <c r="N13" t="n" s="12947">
        <v>10.0</v>
      </c>
      <c r="O13" t="n" s="12948">
        <v>0.0</v>
      </c>
      <c r="P13" t="n" s="12949">
        <v>0.0</v>
      </c>
      <c r="Q13" t="n" s="12950">
        <v>0.0</v>
      </c>
      <c r="R13" t="n" s="12951">
        <v>0.0</v>
      </c>
      <c r="S13" t="n" s="12952">
        <v>0.0</v>
      </c>
      <c r="T13" t="n" s="12953">
        <v>0.0</v>
      </c>
      <c r="U13" t="n" s="12954">
        <v>0.0</v>
      </c>
      <c r="V13" t="n" s="12955">
        <v>0.0</v>
      </c>
      <c r="W13" s="12956">
        <f>r13+t13+v13</f>
      </c>
      <c r="X13" t="n" s="12957">
        <v>-270.97</v>
      </c>
      <c r="Y13" t="n" s="12958">
        <v>0.0</v>
      </c>
      <c r="Z13" t="n" s="12959">
        <v>0.0</v>
      </c>
      <c r="AA13" s="12960">
        <f>i13+j13+k13+l13+m13+n13+o13+p13+x13+y13+z13</f>
      </c>
      <c r="AB13" t="n" s="12961">
        <v>211.0</v>
      </c>
      <c r="AC13" t="n" s="12962">
        <v>28.85</v>
      </c>
      <c r="AD13" t="n" s="12963">
        <v>3.3</v>
      </c>
      <c r="AE13" t="n" s="12964">
        <v>80.0</v>
      </c>
      <c r="AF13" s="12965">
        <f>ROUND((aa13+ab13+ac13+ad13+ae13),2)</f>
      </c>
      <c r="AG13" s="12966">
        <f>af13*0.06</f>
      </c>
      <c r="AH13" s="12967">
        <f>af13+ag13</f>
      </c>
      <c r="AI13" t="s" s="12968">
        <v>0</v>
      </c>
    </row>
    <row r="14" ht="15.0" customHeight="true">
      <c r="A14" t="s" s="12969">
        <v>558</v>
      </c>
      <c r="B14" t="s" s="12970">
        <v>559</v>
      </c>
      <c r="C14" t="s" s="12971">
        <v>560</v>
      </c>
      <c r="D14" t="s" s="12972">
        <v>561</v>
      </c>
      <c r="E14" t="s" s="12973">
        <v>562</v>
      </c>
      <c r="F14" t="s" s="12974">
        <v>533</v>
      </c>
      <c r="G14" t="n" s="12975">
        <v>42795.0</v>
      </c>
      <c r="H14" t="s" s="12976">
        <v>0</v>
      </c>
      <c r="I14" t="n" s="12977">
        <v>1280.0</v>
      </c>
      <c r="J14" t="n" s="12978">
        <v>100.0</v>
      </c>
      <c r="K14" t="n" s="12979">
        <v>-12.92</v>
      </c>
      <c r="L14" t="n" s="12980">
        <v>216.0</v>
      </c>
      <c r="M14" t="n" s="12981">
        <v>0.0</v>
      </c>
      <c r="N14" t="n" s="12982">
        <v>10.0</v>
      </c>
      <c r="O14" t="n" s="12983">
        <v>60.0</v>
      </c>
      <c r="P14" t="n" s="12984">
        <v>0.0</v>
      </c>
      <c r="Q14" t="n" s="12985">
        <v>10.0</v>
      </c>
      <c r="R14" t="n" s="12986">
        <v>86.5</v>
      </c>
      <c r="S14" t="n" s="12987">
        <v>8.0</v>
      </c>
      <c r="T14" t="n" s="12988">
        <v>92.32</v>
      </c>
      <c r="U14" t="n" s="12989">
        <v>0.0</v>
      </c>
      <c r="V14" t="n" s="12990">
        <v>0.0</v>
      </c>
      <c r="W14" s="12991">
        <f>r14+t14+v14</f>
      </c>
      <c r="X14" t="n" s="12992">
        <v>-154.84</v>
      </c>
      <c r="Y14" t="n" s="12993">
        <v>0.0</v>
      </c>
      <c r="Z14" t="n" s="12994">
        <v>0.0</v>
      </c>
      <c r="AA14" s="12995">
        <f>i14+j14+k14+l14+m14+n14+o14+p14+x14+y14+z14</f>
      </c>
      <c r="AB14" t="n" s="12996">
        <v>390.0</v>
      </c>
      <c r="AC14" t="n" s="12997">
        <v>57.7</v>
      </c>
      <c r="AD14" t="n" s="12998">
        <v>6.6</v>
      </c>
      <c r="AE14" t="n" s="12999">
        <v>80.0</v>
      </c>
      <c r="AF14" s="13000">
        <f>ROUND((aa14+ab14+ac14+ad14+ae14),2)</f>
      </c>
      <c r="AG14" s="13001">
        <f>af14*0.06</f>
      </c>
      <c r="AH14" s="13002">
        <f>af14+ag14</f>
      </c>
      <c r="AI14" t="s" s="13003">
        <v>0</v>
      </c>
    </row>
    <row r="15" ht="15.0" customHeight="true">
      <c r="A15" t="s" s="13004">
        <v>563</v>
      </c>
      <c r="B15" t="s" s="13005">
        <v>0</v>
      </c>
      <c r="C15" t="s" s="13006">
        <v>564</v>
      </c>
      <c r="D15" t="s" s="13007">
        <v>565</v>
      </c>
      <c r="E15" t="s" s="13008">
        <v>566</v>
      </c>
      <c r="F15" t="s" s="13009">
        <v>533</v>
      </c>
      <c r="G15" t="n" s="13010">
        <v>42826.0</v>
      </c>
      <c r="H15" t="n" s="13011">
        <v>43100.0</v>
      </c>
      <c r="I15" t="n" s="13012">
        <v>0.0</v>
      </c>
      <c r="J15" t="n" s="13013">
        <v>0.0</v>
      </c>
      <c r="K15" t="n" s="13014">
        <v>0.0</v>
      </c>
      <c r="L15" t="n" s="13015">
        <v>100.0</v>
      </c>
      <c r="M15" t="n" s="13016">
        <v>0.0</v>
      </c>
      <c r="N15" t="n" s="13017">
        <v>10.0</v>
      </c>
      <c r="O15" t="n" s="13018">
        <v>0.0</v>
      </c>
      <c r="P15" t="n" s="13019">
        <v>0.0</v>
      </c>
      <c r="Q15" t="n" s="13020">
        <v>2.0</v>
      </c>
      <c r="R15" t="n" s="13021">
        <v>17.3</v>
      </c>
      <c r="S15" t="n" s="13022">
        <v>8.0</v>
      </c>
      <c r="T15" t="n" s="13023">
        <v>92.32</v>
      </c>
      <c r="U15" t="n" s="13024">
        <v>2.0</v>
      </c>
      <c r="V15" t="n" s="13025">
        <v>34.62</v>
      </c>
      <c r="W15" s="13026">
        <f>r15+t15+v15</f>
      </c>
      <c r="X15" t="n" s="13027">
        <v>0.0</v>
      </c>
      <c r="Y15" t="n" s="13028">
        <v>0.0</v>
      </c>
      <c r="Z15" t="n" s="13029">
        <v>0.0</v>
      </c>
      <c r="AA15" s="13030">
        <f>i15+j15+k15+l15+m15+n15+o15+p15+x15+y15+z15</f>
      </c>
      <c r="AB15" t="n" s="13031">
        <v>13.0</v>
      </c>
      <c r="AC15" t="n" s="13032">
        <v>4.35</v>
      </c>
      <c r="AD15" t="n" s="13033">
        <v>0.5</v>
      </c>
      <c r="AE15" t="n" s="13034">
        <v>80.0</v>
      </c>
      <c r="AF15" s="13035">
        <f>ROUND((aa15+ab15+ac15+ad15+ae15),2)</f>
      </c>
      <c r="AG15" s="13036">
        <f>af15*0.06</f>
      </c>
      <c r="AH15" s="13037">
        <f>af15+ag15</f>
      </c>
      <c r="AI15" t="s" s="13038">
        <v>0</v>
      </c>
    </row>
    <row r="16" ht="15.0" customHeight="true">
      <c r="A16" t="s" s="13039">
        <v>0</v>
      </c>
      <c r="B16" t="s" s="13040">
        <v>0</v>
      </c>
      <c r="C16" t="s" s="13041">
        <v>0</v>
      </c>
      <c r="D16" t="s" s="13042">
        <v>0</v>
      </c>
      <c r="E16" t="s" s="13043">
        <v>0</v>
      </c>
      <c r="F16" t="s" s="13044">
        <v>0</v>
      </c>
      <c r="G16" t="s" s="13045">
        <v>0</v>
      </c>
      <c r="H16" t="s" s="13046">
        <v>0</v>
      </c>
      <c r="I16" s="13047">
        <f>SUM(i8:i15)</f>
      </c>
      <c r="J16" s="13048">
        <f>SUM(j8:j15)</f>
      </c>
      <c r="K16" s="13049">
        <f>SUM(k8:k15)</f>
      </c>
      <c r="L16" s="13050">
        <f>SUM(l8:l15)</f>
      </c>
      <c r="M16" s="13051">
        <f>SUM(m8:m15)</f>
      </c>
      <c r="N16" s="13052">
        <f>SUM(n8:n15)</f>
      </c>
      <c r="O16" s="13053">
        <f>SUM(o8:o15)</f>
      </c>
      <c r="P16" s="13054">
        <f>SUM(p8:p15)</f>
      </c>
      <c r="Q16" s="13055">
        <f>SUM(q8:q15)</f>
      </c>
      <c r="R16" s="13056">
        <f>SUM(r8:r15)</f>
      </c>
      <c r="S16" s="13057">
        <f>SUM(s8:s15)</f>
      </c>
      <c r="T16" s="13058">
        <f>SUM(t8:t15)</f>
      </c>
      <c r="U16" s="13059">
        <f>SUM(u8:u15)</f>
      </c>
      <c r="V16" s="13060">
        <f>SUM(v8:v15)</f>
      </c>
      <c r="W16" s="13061">
        <f>SUM(w8:w15)</f>
      </c>
      <c r="X16" s="13062">
        <f>SUM(x8:x15)</f>
      </c>
      <c r="Y16" s="13063">
        <f>SUM(y8:y15)</f>
      </c>
      <c r="Z16" s="13064">
        <f>SUM(z8:z15)</f>
      </c>
      <c r="AA16" s="13065">
        <f>SUM(aa8:aa15)</f>
      </c>
      <c r="AB16" s="13066">
        <f>SUM(ab8:ab15)</f>
      </c>
      <c r="AC16" s="13067">
        <f>SUM(ac8:ac15)</f>
      </c>
      <c r="AD16" s="13068">
        <f>SUM(ad8:ad15)</f>
      </c>
      <c r="AE16" s="13069">
        <f>SUM(ae8:ae15)</f>
      </c>
      <c r="AF16" s="13070">
        <f>SUM(af8:af15)</f>
      </c>
      <c r="AG16" s="13071">
        <f>SUM(ag8:ag15)</f>
      </c>
      <c r="AH16" s="13072">
        <f>SUM(ah8:ah15)</f>
      </c>
      <c r="AI16" t="s" s="13073">
        <v>0</v>
      </c>
    </row>
    <row r="17" ht="15.0" customHeight="true"/>
    <row r="18" ht="15.0" customHeight="true">
      <c r="A18" t="s" s="13074">
        <v>0</v>
      </c>
      <c r="B18" t="s" s="13075">
        <v>0</v>
      </c>
      <c r="C18" t="s" s="13076">
        <v>0</v>
      </c>
      <c r="D18" t="s" s="13077">
        <v>703</v>
      </c>
    </row>
    <row r="19" ht="15.0" customHeight="true">
      <c r="D19" s="13078">
        <f>COUNTA(A8:A15)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49.0" collapsed="true"/>
    <col min="5" max="5" customWidth="true" width="14.0" collapsed="true"/>
    <col min="6" max="6" customWidth="true" width="17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3079">
        <v>0</v>
      </c>
      <c r="B1" t="s" s="13080">
        <v>0</v>
      </c>
      <c r="C1" t="s" s="13081">
        <v>0</v>
      </c>
      <c r="D1" t="s" s="13082">
        <v>1</v>
      </c>
    </row>
    <row r="2" ht="15.0" customHeight="true">
      <c r="A2" t="s" s="13083">
        <v>0</v>
      </c>
      <c r="B2" t="s" s="13084">
        <v>0</v>
      </c>
      <c r="C2" t="s" s="13085">
        <v>0</v>
      </c>
      <c r="D2" t="s" s="13086">
        <v>2</v>
      </c>
    </row>
    <row r="3" ht="15.0" customHeight="true">
      <c r="A3" t="s" s="13087">
        <v>0</v>
      </c>
      <c r="B3" t="s" s="13088">
        <v>0</v>
      </c>
      <c r="C3" t="s" s="13089">
        <v>0</v>
      </c>
      <c r="D3" t="s" s="13090">
        <v>3</v>
      </c>
    </row>
    <row r="4" ht="15.0" customHeight="true">
      <c r="A4" t="s" s="13091">
        <v>0</v>
      </c>
      <c r="B4" t="s" s="13092">
        <v>0</v>
      </c>
      <c r="C4" t="s" s="13093">
        <v>0</v>
      </c>
      <c r="D4" t="s" s="13094">
        <v>4</v>
      </c>
      <c r="E4" t="s" s="13095">
        <v>0</v>
      </c>
      <c r="F4" t="s" s="13096">
        <v>0</v>
      </c>
      <c r="G4" t="s" s="13097">
        <v>0</v>
      </c>
      <c r="H4" t="s" s="13098">
        <v>0</v>
      </c>
      <c r="I4" t="s" s="13099">
        <v>0</v>
      </c>
      <c r="J4" t="s" s="13100">
        <v>0</v>
      </c>
      <c r="K4" t="s" s="13101">
        <v>0</v>
      </c>
      <c r="L4" t="s" s="13102">
        <v>0</v>
      </c>
      <c r="M4" t="s" s="13103">
        <v>0</v>
      </c>
      <c r="N4" t="s" s="13104">
        <v>0</v>
      </c>
      <c r="O4" t="s" s="13105">
        <v>0</v>
      </c>
      <c r="P4" t="s" s="13106">
        <v>0</v>
      </c>
      <c r="Q4" t="s" s="13107">
        <v>0</v>
      </c>
      <c r="R4" t="s" s="13108">
        <v>0</v>
      </c>
      <c r="S4" t="s" s="13109">
        <v>0</v>
      </c>
      <c r="T4" t="s" s="13110">
        <v>0</v>
      </c>
      <c r="U4" t="s" s="13111">
        <v>0</v>
      </c>
      <c r="V4" t="s" s="13112">
        <v>0</v>
      </c>
      <c r="W4" t="s" s="13113">
        <v>0</v>
      </c>
      <c r="X4" t="s" s="13114">
        <v>0</v>
      </c>
      <c r="Y4" t="s" s="13115">
        <v>0</v>
      </c>
      <c r="Z4" t="s" s="13116">
        <v>0</v>
      </c>
      <c r="AA4" t="s" s="13117">
        <v>0</v>
      </c>
      <c r="AB4" t="s" s="13118">
        <v>0</v>
      </c>
      <c r="AC4" t="s" s="13119">
        <v>5</v>
      </c>
      <c r="AD4" t="n" s="13120">
        <v>2018.0</v>
      </c>
    </row>
    <row r="5" ht="15.0" customHeight="true">
      <c r="A5" t="s" s="13121">
        <v>0</v>
      </c>
      <c r="B5" t="s" s="13122">
        <v>0</v>
      </c>
      <c r="C5" t="s" s="13123">
        <v>0</v>
      </c>
      <c r="D5" t="s" s="13124">
        <v>0</v>
      </c>
      <c r="E5" t="s" s="13125">
        <v>0</v>
      </c>
      <c r="F5" t="s" s="13126">
        <v>0</v>
      </c>
      <c r="G5" t="s" s="13127">
        <v>0</v>
      </c>
      <c r="H5" t="s" s="13128">
        <v>0</v>
      </c>
      <c r="I5" t="s" s="13129">
        <v>0</v>
      </c>
      <c r="J5" t="s" s="13130">
        <v>0</v>
      </c>
      <c r="K5" t="s" s="13131">
        <v>0</v>
      </c>
      <c r="L5" t="s" s="13132">
        <v>0</v>
      </c>
      <c r="M5" t="s" s="13133">
        <v>0</v>
      </c>
      <c r="N5" t="s" s="13134">
        <v>0</v>
      </c>
      <c r="O5" t="s" s="13135">
        <v>0</v>
      </c>
      <c r="P5" t="s" s="13136">
        <v>0</v>
      </c>
      <c r="Q5" t="s" s="13137">
        <v>0</v>
      </c>
      <c r="R5" t="s" s="13138">
        <v>0</v>
      </c>
      <c r="S5" t="s" s="13139">
        <v>0</v>
      </c>
      <c r="T5" t="s" s="13140">
        <v>0</v>
      </c>
      <c r="U5" t="s" s="13141">
        <v>0</v>
      </c>
      <c r="V5" t="s" s="13142">
        <v>0</v>
      </c>
      <c r="W5" t="s" s="13143">
        <v>0</v>
      </c>
      <c r="X5" t="s" s="13144">
        <v>0</v>
      </c>
      <c r="Y5" t="s" s="13145">
        <v>0</v>
      </c>
      <c r="Z5" t="s" s="13146">
        <v>0</v>
      </c>
      <c r="AA5" t="s" s="13147">
        <v>0</v>
      </c>
      <c r="AB5" t="s" s="13148">
        <v>0</v>
      </c>
      <c r="AC5" t="s" s="13149">
        <v>6</v>
      </c>
      <c r="AD5" t="n" s="13150">
        <v>2017.0</v>
      </c>
    </row>
    <row r="6" ht="15.0" customHeight="true"/>
    <row r="7" ht="35.0" customHeight="true">
      <c r="A7" t="s" s="13151">
        <v>7</v>
      </c>
      <c r="B7" t="s" s="13152">
        <v>8</v>
      </c>
      <c r="C7" t="s" s="13153">
        <v>9</v>
      </c>
      <c r="D7" t="s" s="13154">
        <v>10</v>
      </c>
      <c r="E7" t="s" s="13155">
        <v>11</v>
      </c>
      <c r="F7" t="s" s="13156">
        <v>12</v>
      </c>
      <c r="G7" t="s" s="13157">
        <v>13</v>
      </c>
      <c r="H7" t="s" s="13158">
        <v>14</v>
      </c>
      <c r="I7" t="s" s="13159">
        <v>15</v>
      </c>
      <c r="J7" t="s" s="13160">
        <v>16</v>
      </c>
      <c r="K7" t="s" s="13161">
        <v>17</v>
      </c>
      <c r="L7" t="s" s="13162">
        <v>18</v>
      </c>
      <c r="M7" t="s" s="13163">
        <v>19</v>
      </c>
      <c r="N7" t="s" s="13164">
        <v>20</v>
      </c>
      <c r="O7" t="s" s="13165">
        <v>21</v>
      </c>
      <c r="P7" t="s" s="13166">
        <v>22</v>
      </c>
      <c r="Q7" t="s" s="13167">
        <v>23</v>
      </c>
      <c r="R7" t="s" s="13168">
        <v>24</v>
      </c>
      <c r="S7" t="s" s="13169">
        <v>25</v>
      </c>
      <c r="T7" t="s" s="13170">
        <v>26</v>
      </c>
      <c r="U7" t="s" s="13171">
        <v>27</v>
      </c>
      <c r="V7" t="s" s="13172">
        <v>28</v>
      </c>
      <c r="W7" t="s" s="13173">
        <v>29</v>
      </c>
      <c r="X7" t="s" s="13174">
        <v>30</v>
      </c>
      <c r="Y7" t="s" s="13175">
        <v>31</v>
      </c>
      <c r="Z7" t="s" s="13176">
        <v>32</v>
      </c>
      <c r="AA7" t="s" s="13177">
        <v>33</v>
      </c>
      <c r="AB7" t="s" s="13178">
        <v>34</v>
      </c>
      <c r="AC7" t="s" s="13179">
        <v>35</v>
      </c>
      <c r="AD7" t="s" s="13180">
        <v>36</v>
      </c>
      <c r="AE7" t="s" s="13181">
        <v>37</v>
      </c>
      <c r="AF7" t="s" s="13182">
        <v>38</v>
      </c>
      <c r="AG7" t="s" s="13183">
        <v>39</v>
      </c>
      <c r="AH7" t="s" s="13184">
        <v>40</v>
      </c>
      <c r="AI7" t="s" s="13185">
        <v>41</v>
      </c>
    </row>
    <row r="8" ht="15.0" customHeight="true">
      <c r="A8" t="s" s="13186">
        <v>567</v>
      </c>
      <c r="B8" t="s" s="13187">
        <v>568</v>
      </c>
      <c r="C8" t="s" s="13188">
        <v>569</v>
      </c>
      <c r="D8" t="s" s="13189">
        <v>570</v>
      </c>
      <c r="E8" t="s" s="13190">
        <v>571</v>
      </c>
      <c r="F8" t="s" s="13191">
        <v>572</v>
      </c>
      <c r="G8" t="n" s="13192">
        <v>41944.0</v>
      </c>
      <c r="H8" t="s" s="13193">
        <v>0</v>
      </c>
      <c r="I8" t="n" s="13194">
        <v>1080.0</v>
      </c>
      <c r="J8" t="n" s="13195">
        <v>100.0</v>
      </c>
      <c r="K8" t="n" s="13196">
        <v>0.0</v>
      </c>
      <c r="L8" t="n" s="13197">
        <v>1916.0</v>
      </c>
      <c r="M8" t="n" s="13198">
        <v>0.0</v>
      </c>
      <c r="N8" t="n" s="13199">
        <v>10.0</v>
      </c>
      <c r="O8" t="n" s="13200">
        <v>60.0</v>
      </c>
      <c r="P8" t="n" s="13201">
        <v>0.0</v>
      </c>
      <c r="Q8" t="n" s="13202">
        <v>10.0</v>
      </c>
      <c r="R8" t="n" s="13203">
        <v>74.3</v>
      </c>
      <c r="S8" t="n" s="13204">
        <v>0.0</v>
      </c>
      <c r="T8" t="n" s="13205">
        <v>0.0</v>
      </c>
      <c r="U8" t="n" s="13206">
        <v>0.0</v>
      </c>
      <c r="V8" t="n" s="13207">
        <v>0.0</v>
      </c>
      <c r="W8" s="13208">
        <f>r8+t8+v8</f>
      </c>
      <c r="X8" t="n" s="13209">
        <v>0.0</v>
      </c>
      <c r="Y8" t="n" s="13210">
        <v>0.0</v>
      </c>
      <c r="Z8" t="n" s="13211">
        <v>0.0</v>
      </c>
      <c r="AA8" s="13212">
        <f>i8+j8+k8+l8+m8+n8+o8+p8+x8+y8+z8</f>
      </c>
      <c r="AB8" t="n" s="13213">
        <v>822.0</v>
      </c>
      <c r="AC8" t="n" s="13214">
        <v>113.9</v>
      </c>
      <c r="AD8" t="n" s="13215">
        <v>13.0</v>
      </c>
      <c r="AE8" t="n" s="13216">
        <v>80.0</v>
      </c>
      <c r="AF8" s="13217">
        <f>ROUND((aa8+ab8+ac8+ad8+ae8),2)</f>
      </c>
      <c r="AG8" s="13218">
        <f>af8*0.06</f>
      </c>
      <c r="AH8" s="13219">
        <f>af8+ag8</f>
      </c>
      <c r="AI8" t="s" s="13220">
        <v>0</v>
      </c>
    </row>
    <row r="9" ht="15.0" customHeight="true">
      <c r="A9" t="s" s="13221">
        <v>573</v>
      </c>
      <c r="B9" t="s" s="13222">
        <v>574</v>
      </c>
      <c r="C9" t="s" s="13223">
        <v>575</v>
      </c>
      <c r="D9" t="s" s="13224">
        <v>576</v>
      </c>
      <c r="E9" t="s" s="13225">
        <v>577</v>
      </c>
      <c r="F9" t="s" s="13226">
        <v>572</v>
      </c>
      <c r="G9" t="n" s="13227">
        <v>41944.0</v>
      </c>
      <c r="H9" t="s" s="13228">
        <v>0</v>
      </c>
      <c r="I9" t="n" s="13229">
        <v>1230.0</v>
      </c>
      <c r="J9" t="n" s="13230">
        <v>100.0</v>
      </c>
      <c r="K9" t="n" s="13231">
        <v>0.0</v>
      </c>
      <c r="L9" t="n" s="13232">
        <v>2015.0</v>
      </c>
      <c r="M9" t="n" s="13233">
        <v>0.0</v>
      </c>
      <c r="N9" t="n" s="13234">
        <v>52.2</v>
      </c>
      <c r="O9" t="n" s="13235">
        <v>60.0</v>
      </c>
      <c r="P9" t="n" s="13236">
        <v>0.0</v>
      </c>
      <c r="Q9" t="n" s="13237">
        <v>1.0</v>
      </c>
      <c r="R9" t="n" s="13238">
        <v>8.51</v>
      </c>
      <c r="S9" t="n" s="13239">
        <v>0.0</v>
      </c>
      <c r="T9" t="n" s="13240">
        <v>0.0</v>
      </c>
      <c r="U9" t="n" s="13241">
        <v>0.0</v>
      </c>
      <c r="V9" t="n" s="13242">
        <v>0.0</v>
      </c>
      <c r="W9" s="13243">
        <f>r9+t9+v9</f>
      </c>
      <c r="X9" t="n" s="13244">
        <v>0.0</v>
      </c>
      <c r="Y9" t="n" s="13245">
        <v>0.0</v>
      </c>
      <c r="Z9" t="n" s="13246">
        <v>0.0</v>
      </c>
      <c r="AA9" s="13247">
        <f>i9+j9+k9+l9+m9+n9+o9+p9+x9+y9+z9</f>
      </c>
      <c r="AB9" t="n" s="13248">
        <v>890.0</v>
      </c>
      <c r="AC9" t="n" s="13249">
        <v>120.7</v>
      </c>
      <c r="AD9" t="n" s="13250">
        <v>13.8</v>
      </c>
      <c r="AE9" t="n" s="13251">
        <v>80.0</v>
      </c>
      <c r="AF9" s="13252">
        <f>ROUND((aa9+ab9+ac9+ad9+ae9),2)</f>
      </c>
      <c r="AG9" s="13253">
        <f>af9*0.06</f>
      </c>
      <c r="AH9" s="13254">
        <f>af9+ag9</f>
      </c>
      <c r="AI9" t="s" s="13255">
        <v>0</v>
      </c>
    </row>
    <row r="10" ht="15.0" customHeight="true">
      <c r="A10" t="s" s="13256">
        <v>578</v>
      </c>
      <c r="B10" t="s" s="13257">
        <v>579</v>
      </c>
      <c r="C10" t="s" s="13258">
        <v>580</v>
      </c>
      <c r="D10" t="s" s="13259">
        <v>581</v>
      </c>
      <c r="E10" t="s" s="13260">
        <v>582</v>
      </c>
      <c r="F10" t="s" s="13261">
        <v>572</v>
      </c>
      <c r="G10" t="n" s="13262">
        <v>41944.0</v>
      </c>
      <c r="H10" t="s" s="13263">
        <v>0</v>
      </c>
      <c r="I10" t="n" s="13264">
        <v>1180.0</v>
      </c>
      <c r="J10" t="n" s="13265">
        <v>100.0</v>
      </c>
      <c r="K10" t="n" s="13266">
        <v>-3.23</v>
      </c>
      <c r="L10" t="n" s="13267">
        <v>2312.0</v>
      </c>
      <c r="M10" t="n" s="13268">
        <v>0.0</v>
      </c>
      <c r="N10" t="n" s="13269">
        <v>10.0</v>
      </c>
      <c r="O10" t="n" s="13270">
        <v>60.0</v>
      </c>
      <c r="P10" t="n" s="13271">
        <v>0.0</v>
      </c>
      <c r="Q10" t="n" s="13272">
        <v>3.0</v>
      </c>
      <c r="R10" t="n" s="13273">
        <v>24.45</v>
      </c>
      <c r="S10" t="n" s="13274">
        <v>0.0</v>
      </c>
      <c r="T10" t="n" s="13275">
        <v>0.0</v>
      </c>
      <c r="U10" t="n" s="13276">
        <v>0.0</v>
      </c>
      <c r="V10" t="n" s="13277">
        <v>0.0</v>
      </c>
      <c r="W10" s="13278">
        <f>r10+t10+v10</f>
      </c>
      <c r="X10" t="n" s="13279">
        <v>-36.45</v>
      </c>
      <c r="Y10" t="n" s="13280">
        <v>0.0</v>
      </c>
      <c r="Z10" t="n" s="13281">
        <v>0.0</v>
      </c>
      <c r="AA10" s="13282">
        <f>i10+j10+k10+l10+m10+n10+o10+p10+x10+y10+z10</f>
      </c>
      <c r="AB10" t="n" s="13283">
        <v>942.0</v>
      </c>
      <c r="AC10" t="n" s="13284">
        <v>131.1</v>
      </c>
      <c r="AD10" t="n" s="13285">
        <v>15.0</v>
      </c>
      <c r="AE10" t="n" s="13286">
        <v>80.0</v>
      </c>
      <c r="AF10" s="13287">
        <f>ROUND((aa10+ab10+ac10+ad10+ae10),2)</f>
      </c>
      <c r="AG10" s="13288">
        <f>af10*0.06</f>
      </c>
      <c r="AH10" s="13289">
        <f>af10+ag10</f>
      </c>
      <c r="AI10" t="s" s="13290">
        <v>0</v>
      </c>
    </row>
    <row r="11" ht="15.0" customHeight="true">
      <c r="A11" t="s" s="13291">
        <v>583</v>
      </c>
      <c r="B11" t="s" s="13292">
        <v>0</v>
      </c>
      <c r="C11" t="s" s="13293">
        <v>584</v>
      </c>
      <c r="D11" t="s" s="13294">
        <v>585</v>
      </c>
      <c r="E11" t="s" s="13295">
        <v>586</v>
      </c>
      <c r="F11" t="s" s="13296">
        <v>572</v>
      </c>
      <c r="G11" t="n" s="13297">
        <v>41944.0</v>
      </c>
      <c r="H11" t="s" s="13298">
        <v>0</v>
      </c>
      <c r="I11" t="n" s="13299">
        <v>1080.0</v>
      </c>
      <c r="J11" t="n" s="13300">
        <v>100.0</v>
      </c>
      <c r="K11" t="n" s="13301">
        <v>0.0</v>
      </c>
      <c r="L11" t="n" s="13302">
        <v>100.0</v>
      </c>
      <c r="M11" t="n" s="13303">
        <v>0.0</v>
      </c>
      <c r="N11" t="n" s="13304">
        <v>10.0</v>
      </c>
      <c r="O11" t="n" s="13305">
        <v>60.0</v>
      </c>
      <c r="P11" t="n" s="13306">
        <v>0.0</v>
      </c>
      <c r="Q11" t="n" s="13307">
        <v>0.0</v>
      </c>
      <c r="R11" t="n" s="13308">
        <v>0.0</v>
      </c>
      <c r="S11" t="n" s="13309">
        <v>0.0</v>
      </c>
      <c r="T11" t="n" s="13310">
        <v>0.0</v>
      </c>
      <c r="U11" t="n" s="13311">
        <v>0.0</v>
      </c>
      <c r="V11" t="n" s="13312">
        <v>0.0</v>
      </c>
      <c r="W11" s="13313">
        <f>r11+t11+v11</f>
      </c>
      <c r="X11" t="n" s="13314">
        <v>0.0</v>
      </c>
      <c r="Y11" t="n" s="13315">
        <v>0.0</v>
      </c>
      <c r="Z11" t="n" s="13316">
        <v>0.0</v>
      </c>
      <c r="AA11" s="13317">
        <f>i11+j11+k11+l11+m11+n11+o11+p11+x11+y11+z11</f>
      </c>
      <c r="AB11" t="n" s="13318">
        <v>175.0</v>
      </c>
      <c r="AC11" t="n" s="13319">
        <v>23.65</v>
      </c>
      <c r="AD11" t="n" s="13320">
        <v>2.7</v>
      </c>
      <c r="AE11" t="n" s="13321">
        <v>80.0</v>
      </c>
      <c r="AF11" s="13322">
        <f>ROUND((aa11+ab11+ac11+ad11+ae11),2)</f>
      </c>
      <c r="AG11" s="13323">
        <f>af11*0.06</f>
      </c>
      <c r="AH11" s="13324">
        <f>af11+ag11</f>
      </c>
      <c r="AI11" t="s" s="13325">
        <v>0</v>
      </c>
    </row>
    <row r="12" ht="15.0" customHeight="true">
      <c r="A12" t="s" s="13326">
        <v>587</v>
      </c>
      <c r="B12" t="s" s="13327">
        <v>588</v>
      </c>
      <c r="C12" t="s" s="13328">
        <v>589</v>
      </c>
      <c r="D12" t="s" s="13329">
        <v>590</v>
      </c>
      <c r="E12" t="s" s="13330">
        <v>591</v>
      </c>
      <c r="F12" t="s" s="13331">
        <v>572</v>
      </c>
      <c r="G12" t="n" s="13332">
        <v>41944.0</v>
      </c>
      <c r="H12" t="s" s="13333">
        <v>0</v>
      </c>
      <c r="I12" t="n" s="13334">
        <v>1140.0</v>
      </c>
      <c r="J12" t="n" s="13335">
        <v>100.0</v>
      </c>
      <c r="K12" t="n" s="13336">
        <v>0.0</v>
      </c>
      <c r="L12" t="n" s="13337">
        <v>1374.0</v>
      </c>
      <c r="M12" t="n" s="13338">
        <v>0.0</v>
      </c>
      <c r="N12" t="n" s="13339">
        <v>10.0</v>
      </c>
      <c r="O12" t="n" s="13340">
        <v>60.0</v>
      </c>
      <c r="P12" t="n" s="13341">
        <v>0.0</v>
      </c>
      <c r="Q12" t="n" s="13342">
        <v>5.0</v>
      </c>
      <c r="R12" t="n" s="13343">
        <v>39.3</v>
      </c>
      <c r="S12" t="n" s="13344">
        <v>8.0</v>
      </c>
      <c r="T12" t="n" s="13345">
        <v>83.84</v>
      </c>
      <c r="U12" t="n" s="13346">
        <v>0.0</v>
      </c>
      <c r="V12" t="n" s="13347">
        <v>0.0</v>
      </c>
      <c r="W12" s="13348">
        <f>r12+t12+v12</f>
      </c>
      <c r="X12" t="n" s="13349">
        <v>0.0</v>
      </c>
      <c r="Y12" t="n" s="13350">
        <v>0.0</v>
      </c>
      <c r="Z12" t="n" s="13351">
        <v>0.0</v>
      </c>
      <c r="AA12" s="13352">
        <f>i12+j12+k12+l12+m12+n12+o12+p12+x12+y12+z12</f>
      </c>
      <c r="AB12" t="n" s="13353">
        <v>698.0</v>
      </c>
      <c r="AC12" t="n" s="13354">
        <v>96.3</v>
      </c>
      <c r="AD12" t="n" s="13355">
        <v>11.0</v>
      </c>
      <c r="AE12" t="n" s="13356">
        <v>80.0</v>
      </c>
      <c r="AF12" s="13357">
        <f>ROUND((aa12+ab12+ac12+ad12+ae12),2)</f>
      </c>
      <c r="AG12" s="13358">
        <f>af12*0.06</f>
      </c>
      <c r="AH12" s="13359">
        <f>af12+ag12</f>
      </c>
      <c r="AI12" t="s" s="13360">
        <v>0</v>
      </c>
    </row>
    <row r="13" ht="15.0" customHeight="true">
      <c r="A13" t="s" s="13361">
        <v>592</v>
      </c>
      <c r="B13" t="s" s="13362">
        <v>593</v>
      </c>
      <c r="C13" t="s" s="13363">
        <v>594</v>
      </c>
      <c r="D13" t="s" s="13364">
        <v>595</v>
      </c>
      <c r="E13" t="s" s="13365">
        <v>596</v>
      </c>
      <c r="F13" t="s" s="13366">
        <v>572</v>
      </c>
      <c r="G13" t="n" s="13367">
        <v>41944.0</v>
      </c>
      <c r="H13" t="s" s="13368">
        <v>0</v>
      </c>
      <c r="I13" t="n" s="13369">
        <v>1120.0</v>
      </c>
      <c r="J13" t="n" s="13370">
        <v>100.0</v>
      </c>
      <c r="K13" t="n" s="13371">
        <v>0.0</v>
      </c>
      <c r="L13" t="n" s="13372">
        <v>1924.0</v>
      </c>
      <c r="M13" t="n" s="13373">
        <v>0.0</v>
      </c>
      <c r="N13" t="n" s="13374">
        <v>44.8</v>
      </c>
      <c r="O13" t="n" s="13375">
        <v>60.0</v>
      </c>
      <c r="P13" t="n" s="13376">
        <v>0.0</v>
      </c>
      <c r="Q13" t="n" s="13377">
        <v>2.0</v>
      </c>
      <c r="R13" t="n" s="13378">
        <v>15.44</v>
      </c>
      <c r="S13" t="n" s="13379">
        <v>0.0</v>
      </c>
      <c r="T13" t="n" s="13380">
        <v>0.0</v>
      </c>
      <c r="U13" t="n" s="13381">
        <v>0.0</v>
      </c>
      <c r="V13" t="n" s="13382">
        <v>0.0</v>
      </c>
      <c r="W13" s="13383">
        <f>r13+t13+v13</f>
      </c>
      <c r="X13" t="n" s="13384">
        <v>0.0</v>
      </c>
      <c r="Y13" t="n" s="13385">
        <v>0.0</v>
      </c>
      <c r="Z13" t="n" s="13386">
        <v>0.0</v>
      </c>
      <c r="AA13" s="13387">
        <f>i13+j13+k13+l13+m13+n13+o13+p13+x13+y13+z13</f>
      </c>
      <c r="AB13" t="n" s="13388">
        <v>838.0</v>
      </c>
      <c r="AC13" t="n" s="13389">
        <v>113.7</v>
      </c>
      <c r="AD13" t="n" s="13390">
        <v>13.0</v>
      </c>
      <c r="AE13" t="n" s="13391">
        <v>80.0</v>
      </c>
      <c r="AF13" s="13392">
        <f>ROUND((aa13+ab13+ac13+ad13+ae13),2)</f>
      </c>
      <c r="AG13" s="13393">
        <f>af13*0.06</f>
      </c>
      <c r="AH13" s="13394">
        <f>af13+ag13</f>
      </c>
      <c r="AI13" t="s" s="13395">
        <v>0</v>
      </c>
    </row>
    <row r="14" ht="15.0" customHeight="true">
      <c r="A14" t="s" s="13396">
        <v>597</v>
      </c>
      <c r="B14" t="s" s="13397">
        <v>0</v>
      </c>
      <c r="C14" t="s" s="13398">
        <v>598</v>
      </c>
      <c r="D14" t="s" s="13399">
        <v>599</v>
      </c>
      <c r="E14" t="s" s="13400">
        <v>600</v>
      </c>
      <c r="F14" t="s" s="13401">
        <v>572</v>
      </c>
      <c r="G14" t="n" s="13402">
        <v>41944.0</v>
      </c>
      <c r="H14" t="s" s="13403">
        <v>0</v>
      </c>
      <c r="I14" t="n" s="13404">
        <v>3220.0</v>
      </c>
      <c r="J14" t="n" s="13405">
        <v>0.0</v>
      </c>
      <c r="K14" t="n" s="13406">
        <v>0.0</v>
      </c>
      <c r="L14" t="n" s="13407">
        <v>0.0</v>
      </c>
      <c r="M14" t="n" s="13408">
        <v>300.0</v>
      </c>
      <c r="N14" t="n" s="13409">
        <v>897.16</v>
      </c>
      <c r="O14" t="n" s="13410">
        <v>0.0</v>
      </c>
      <c r="P14" t="n" s="13411">
        <v>0.0</v>
      </c>
      <c r="Q14" t="n" s="13412">
        <v>0.0</v>
      </c>
      <c r="R14" t="n" s="13413">
        <v>0.0</v>
      </c>
      <c r="S14" t="n" s="13414">
        <v>0.0</v>
      </c>
      <c r="T14" t="n" s="13415">
        <v>0.0</v>
      </c>
      <c r="U14" t="n" s="13416">
        <v>0.0</v>
      </c>
      <c r="V14" t="n" s="13417">
        <v>0.0</v>
      </c>
      <c r="W14" s="13418">
        <f>r14+t14+v14</f>
      </c>
      <c r="X14" t="n" s="13419">
        <v>0.0</v>
      </c>
      <c r="Y14" t="n" s="13420">
        <v>0.0</v>
      </c>
      <c r="Z14" t="n" s="13421">
        <v>0.0</v>
      </c>
      <c r="AA14" s="13422">
        <f>i14+j14+k14+l14+m14+n14+o14+p14+x14+y14+z14</f>
      </c>
      <c r="AB14" t="n" s="13423">
        <v>458.0</v>
      </c>
      <c r="AC14" t="n" s="13424">
        <v>62.15</v>
      </c>
      <c r="AD14" t="n" s="13425">
        <v>7.1</v>
      </c>
      <c r="AE14" t="n" s="13426">
        <v>80.0</v>
      </c>
      <c r="AF14" s="13427">
        <f>ROUND((aa14+ab14+ac14+ad14+ae14),2)</f>
      </c>
      <c r="AG14" s="13428">
        <f>af14*0.06</f>
      </c>
      <c r="AH14" s="13429">
        <f>af14+ag14</f>
      </c>
      <c r="AI14" t="s" s="13430">
        <v>0</v>
      </c>
    </row>
    <row r="15" ht="15.0" customHeight="true">
      <c r="A15" t="s" s="13431">
        <v>601</v>
      </c>
      <c r="B15" t="s" s="13432">
        <v>602</v>
      </c>
      <c r="C15" t="s" s="13433">
        <v>603</v>
      </c>
      <c r="D15" t="s" s="13434">
        <v>604</v>
      </c>
      <c r="E15" t="s" s="13435">
        <v>605</v>
      </c>
      <c r="F15" t="s" s="13436">
        <v>572</v>
      </c>
      <c r="G15" t="n" s="13437">
        <v>41944.0</v>
      </c>
      <c r="H15" t="s" s="13438">
        <v>0</v>
      </c>
      <c r="I15" t="n" s="13439">
        <v>1140.0</v>
      </c>
      <c r="J15" t="n" s="13440">
        <v>100.0</v>
      </c>
      <c r="K15" t="n" s="13441">
        <v>0.0</v>
      </c>
      <c r="L15" t="n" s="13442">
        <v>2340.0</v>
      </c>
      <c r="M15" t="n" s="13443">
        <v>0.0</v>
      </c>
      <c r="N15" t="n" s="13444">
        <v>28.5</v>
      </c>
      <c r="O15" t="n" s="13445">
        <v>60.0</v>
      </c>
      <c r="P15" t="n" s="13446">
        <v>0.0</v>
      </c>
      <c r="Q15" t="n" s="13447">
        <v>11.0</v>
      </c>
      <c r="R15" t="n" s="13448">
        <v>83.27</v>
      </c>
      <c r="S15" t="n" s="13449">
        <v>0.0</v>
      </c>
      <c r="T15" t="n" s="13450">
        <v>0.0</v>
      </c>
      <c r="U15" t="n" s="13451">
        <v>0.0</v>
      </c>
      <c r="V15" t="n" s="13452">
        <v>0.0</v>
      </c>
      <c r="W15" s="13453">
        <f>r15+t15+v15</f>
      </c>
      <c r="X15" t="n" s="13454">
        <v>0.0</v>
      </c>
      <c r="Y15" t="n" s="13455">
        <v>0.0</v>
      </c>
      <c r="Z15" t="n" s="13456">
        <v>0.0</v>
      </c>
      <c r="AA15" s="13457">
        <f>i15+j15+k15+l15+m15+n15+o15+p15+x15+y15+z15</f>
      </c>
      <c r="AB15" t="n" s="13458">
        <v>948.0</v>
      </c>
      <c r="AC15" t="n" s="13459">
        <v>131.1</v>
      </c>
      <c r="AD15" t="n" s="13460">
        <v>15.0</v>
      </c>
      <c r="AE15" t="n" s="13461">
        <v>80.0</v>
      </c>
      <c r="AF15" s="13462">
        <f>ROUND((aa15+ab15+ac15+ad15+ae15),2)</f>
      </c>
      <c r="AG15" s="13463">
        <f>af15*0.06</f>
      </c>
      <c r="AH15" s="13464">
        <f>af15+ag15</f>
      </c>
      <c r="AI15" t="s" s="13465">
        <v>0</v>
      </c>
    </row>
    <row r="16" ht="15.0" customHeight="true">
      <c r="A16" t="s" s="13466">
        <v>606</v>
      </c>
      <c r="B16" t="s" s="13467">
        <v>0</v>
      </c>
      <c r="C16" t="s" s="13468">
        <v>607</v>
      </c>
      <c r="D16" t="s" s="13469">
        <v>608</v>
      </c>
      <c r="E16" t="s" s="13470">
        <v>609</v>
      </c>
      <c r="F16" t="s" s="13471">
        <v>572</v>
      </c>
      <c r="G16" t="n" s="13472">
        <v>41944.0</v>
      </c>
      <c r="H16" t="s" s="13473">
        <v>0</v>
      </c>
      <c r="I16" t="n" s="13474">
        <v>1320.0</v>
      </c>
      <c r="J16" t="n" s="13475">
        <v>100.0</v>
      </c>
      <c r="K16" t="n" s="13476">
        <v>0.0</v>
      </c>
      <c r="L16" t="n" s="13477">
        <v>866.0</v>
      </c>
      <c r="M16" t="n" s="13478">
        <v>0.0</v>
      </c>
      <c r="N16" t="n" s="13479">
        <v>32.55</v>
      </c>
      <c r="O16" t="n" s="13480">
        <v>60.0</v>
      </c>
      <c r="P16" t="n" s="13481">
        <v>0.0</v>
      </c>
      <c r="Q16" t="n" s="13482">
        <v>0.0</v>
      </c>
      <c r="R16" t="n" s="13483">
        <v>0.0</v>
      </c>
      <c r="S16" t="n" s="13484">
        <v>0.0</v>
      </c>
      <c r="T16" t="n" s="13485">
        <v>0.0</v>
      </c>
      <c r="U16" t="n" s="13486">
        <v>0.0</v>
      </c>
      <c r="V16" t="n" s="13487">
        <v>0.0</v>
      </c>
      <c r="W16" s="13488">
        <f>r16+t16+v16</f>
      </c>
      <c r="X16" t="n" s="13489">
        <v>0.0</v>
      </c>
      <c r="Y16" t="n" s="13490">
        <v>0.0</v>
      </c>
      <c r="Z16" t="n" s="13491">
        <v>0.0</v>
      </c>
      <c r="AA16" s="13492">
        <f>i16+j16+k16+l16+m16+n16+o16+p16+x16+y16+z16</f>
      </c>
      <c r="AB16" t="n" s="13493">
        <v>307.0</v>
      </c>
      <c r="AC16" t="n" s="13494">
        <v>41.15</v>
      </c>
      <c r="AD16" t="n" s="13495">
        <v>4.7</v>
      </c>
      <c r="AE16" t="n" s="13496">
        <v>80.0</v>
      </c>
      <c r="AF16" s="13497">
        <f>ROUND((aa16+ab16+ac16+ad16+ae16),2)</f>
      </c>
      <c r="AG16" s="13498">
        <f>af16*0.06</f>
      </c>
      <c r="AH16" s="13499">
        <f>af16+ag16</f>
      </c>
      <c r="AI16" t="s" s="13500">
        <v>0</v>
      </c>
    </row>
    <row r="17" ht="15.0" customHeight="true">
      <c r="A17" t="s" s="13501">
        <v>610</v>
      </c>
      <c r="B17" t="s" s="13502">
        <v>611</v>
      </c>
      <c r="C17" t="s" s="13503">
        <v>612</v>
      </c>
      <c r="D17" t="s" s="13504">
        <v>613</v>
      </c>
      <c r="E17" t="s" s="13505">
        <v>614</v>
      </c>
      <c r="F17" t="s" s="13506">
        <v>572</v>
      </c>
      <c r="G17" t="n" s="13507">
        <v>41944.0</v>
      </c>
      <c r="H17" t="n" s="13508">
        <v>43332.0</v>
      </c>
      <c r="I17" t="n" s="13509">
        <v>1060.0</v>
      </c>
      <c r="J17" t="n" s="13510">
        <v>100.0</v>
      </c>
      <c r="K17" t="n" s="13511">
        <v>0.0</v>
      </c>
      <c r="L17" t="n" s="13512">
        <v>450.0</v>
      </c>
      <c r="M17" t="n" s="13513">
        <v>0.0</v>
      </c>
      <c r="N17" t="n" s="13514">
        <v>10.0</v>
      </c>
      <c r="O17" t="n" s="13515">
        <v>60.0</v>
      </c>
      <c r="P17" t="n" s="13516">
        <v>0.0</v>
      </c>
      <c r="Q17" t="n" s="13517">
        <v>1.0</v>
      </c>
      <c r="R17" t="n" s="13518">
        <v>7.36</v>
      </c>
      <c r="S17" t="n" s="13519">
        <v>0.0</v>
      </c>
      <c r="T17" t="n" s="13520">
        <v>0.0</v>
      </c>
      <c r="U17" t="n" s="13521">
        <v>0.0</v>
      </c>
      <c r="V17" t="n" s="13522">
        <v>0.0</v>
      </c>
      <c r="W17" s="13523">
        <f>r17+t17+v17</f>
      </c>
      <c r="X17" t="n" s="13524">
        <v>0.0</v>
      </c>
      <c r="Y17" t="n" s="13525">
        <v>0.0</v>
      </c>
      <c r="Z17" t="n" s="13526">
        <v>0.0</v>
      </c>
      <c r="AA17" s="13527">
        <f>i17+j17+k17+l17+m17+n17+o17+p17+x17+y17+z17</f>
      </c>
      <c r="AB17" t="n" s="13528">
        <v>506.0</v>
      </c>
      <c r="AC17" t="n" s="13529">
        <v>68.3</v>
      </c>
      <c r="AD17" t="n" s="13530">
        <v>7.8</v>
      </c>
      <c r="AE17" t="n" s="13531">
        <v>80.0</v>
      </c>
      <c r="AF17" s="13532">
        <f>ROUND((aa17+ab17+ac17+ad17+ae17),2)</f>
      </c>
      <c r="AG17" s="13533">
        <f>af17*0.06</f>
      </c>
      <c r="AH17" s="13534">
        <f>af17+ag17</f>
      </c>
      <c r="AI17" t="s" s="13535">
        <v>0</v>
      </c>
    </row>
    <row r="18" ht="15.0" customHeight="true">
      <c r="A18" t="s" s="13536">
        <v>615</v>
      </c>
      <c r="B18" t="s" s="13537">
        <v>616</v>
      </c>
      <c r="C18" t="s" s="13538">
        <v>617</v>
      </c>
      <c r="D18" t="s" s="13539">
        <v>618</v>
      </c>
      <c r="E18" t="s" s="13540">
        <v>619</v>
      </c>
      <c r="F18" t="s" s="13541">
        <v>572</v>
      </c>
      <c r="G18" t="n" s="13542">
        <v>41944.0</v>
      </c>
      <c r="H18" t="s" s="13543">
        <v>0</v>
      </c>
      <c r="I18" t="n" s="13544">
        <v>1100.0</v>
      </c>
      <c r="J18" t="n" s="13545">
        <v>100.0</v>
      </c>
      <c r="K18" t="n" s="13546">
        <v>0.0</v>
      </c>
      <c r="L18" t="n" s="13547">
        <v>2340.0</v>
      </c>
      <c r="M18" t="n" s="13548">
        <v>0.0</v>
      </c>
      <c r="N18" t="n" s="13549">
        <v>37.5</v>
      </c>
      <c r="O18" t="n" s="13550">
        <v>60.0</v>
      </c>
      <c r="P18" t="n" s="13551">
        <v>0.0</v>
      </c>
      <c r="Q18" t="n" s="13552">
        <v>7.0</v>
      </c>
      <c r="R18" t="n" s="13553">
        <v>53.48</v>
      </c>
      <c r="S18" t="n" s="13554">
        <v>8.0</v>
      </c>
      <c r="T18" t="n" s="13555">
        <v>81.52</v>
      </c>
      <c r="U18" t="n" s="13556">
        <v>0.0</v>
      </c>
      <c r="V18" t="n" s="13557">
        <v>0.0</v>
      </c>
      <c r="W18" s="13558">
        <f>r18+t18+v18</f>
      </c>
      <c r="X18" t="n" s="13559">
        <v>0.0</v>
      </c>
      <c r="Y18" t="n" s="13560">
        <v>0.0</v>
      </c>
      <c r="Z18" t="n" s="13561">
        <v>0.0</v>
      </c>
      <c r="AA18" s="13562">
        <f>i18+j18+k18+l18+m18+n18+o18+p18+x18+y18+z18</f>
      </c>
      <c r="AB18" t="n" s="13563">
        <v>936.0</v>
      </c>
      <c r="AC18" t="n" s="13564">
        <v>127.7</v>
      </c>
      <c r="AD18" t="n" s="13565">
        <v>14.6</v>
      </c>
      <c r="AE18" t="n" s="13566">
        <v>80.0</v>
      </c>
      <c r="AF18" s="13567">
        <f>ROUND((aa18+ab18+ac18+ad18+ae18),2)</f>
      </c>
      <c r="AG18" s="13568">
        <f>af18*0.06</f>
      </c>
      <c r="AH18" s="13569">
        <f>af18+ag18</f>
      </c>
      <c r="AI18" t="s" s="13570">
        <v>0</v>
      </c>
    </row>
    <row r="19" ht="15.0" customHeight="true">
      <c r="A19" t="s" s="13571">
        <v>620</v>
      </c>
      <c r="B19" t="s" s="13572">
        <v>621</v>
      </c>
      <c r="C19" t="s" s="13573">
        <v>622</v>
      </c>
      <c r="D19" t="s" s="13574">
        <v>623</v>
      </c>
      <c r="E19" t="s" s="13575">
        <v>624</v>
      </c>
      <c r="F19" t="s" s="13576">
        <v>572</v>
      </c>
      <c r="G19" t="n" s="13577">
        <v>41944.0</v>
      </c>
      <c r="H19" t="s" s="13578">
        <v>0</v>
      </c>
      <c r="I19" t="n" s="13579">
        <v>1060.0</v>
      </c>
      <c r="J19" t="n" s="13580">
        <v>100.0</v>
      </c>
      <c r="K19" t="n" s="13581">
        <v>0.0</v>
      </c>
      <c r="L19" t="n" s="13582">
        <v>2536.0</v>
      </c>
      <c r="M19" t="n" s="13583">
        <v>0.0</v>
      </c>
      <c r="N19" t="n" s="13584">
        <v>10.0</v>
      </c>
      <c r="O19" t="n" s="13585">
        <v>60.0</v>
      </c>
      <c r="P19" t="n" s="13586">
        <v>0.0</v>
      </c>
      <c r="Q19" t="n" s="13587">
        <v>12.0</v>
      </c>
      <c r="R19" t="n" s="13588">
        <v>86.52</v>
      </c>
      <c r="S19" t="n" s="13589">
        <v>8.0</v>
      </c>
      <c r="T19" t="n" s="13590">
        <v>76.96</v>
      </c>
      <c r="U19" t="n" s="13591">
        <v>0.0</v>
      </c>
      <c r="V19" t="n" s="13592">
        <v>0.0</v>
      </c>
      <c r="W19" s="13593">
        <f>r19+t19+v19</f>
      </c>
      <c r="X19" t="n" s="13594">
        <v>0.0</v>
      </c>
      <c r="Y19" t="n" s="13595">
        <v>0.0</v>
      </c>
      <c r="Z19" t="n" s="13596">
        <v>0.0</v>
      </c>
      <c r="AA19" s="13597">
        <f>i19+j19+k19+l19+m19+n19+o19+p19+x19+y19+z19</f>
      </c>
      <c r="AB19" t="n" s="13598">
        <v>1082.0</v>
      </c>
      <c r="AC19" t="n" s="13599">
        <v>138.1</v>
      </c>
      <c r="AD19" t="n" s="13600">
        <v>15.8</v>
      </c>
      <c r="AE19" t="n" s="13601">
        <v>80.0</v>
      </c>
      <c r="AF19" s="13602">
        <f>ROUND((aa19+ab19+ac19+ad19+ae19),2)</f>
      </c>
      <c r="AG19" s="13603">
        <f>af19*0.06</f>
      </c>
      <c r="AH19" s="13604">
        <f>af19+ag19</f>
      </c>
      <c r="AI19" t="s" s="13605">
        <v>0</v>
      </c>
    </row>
    <row r="20" ht="15.0" customHeight="true">
      <c r="A20" t="s" s="13606">
        <v>625</v>
      </c>
      <c r="B20" t="s" s="13607">
        <v>626</v>
      </c>
      <c r="C20" t="s" s="13608">
        <v>627</v>
      </c>
      <c r="D20" t="s" s="13609">
        <v>628</v>
      </c>
      <c r="E20" t="s" s="13610">
        <v>629</v>
      </c>
      <c r="F20" t="s" s="13611">
        <v>572</v>
      </c>
      <c r="G20" t="n" s="13612">
        <v>41944.0</v>
      </c>
      <c r="H20" t="s" s="13613">
        <v>0</v>
      </c>
      <c r="I20" t="n" s="13614">
        <v>1210.0</v>
      </c>
      <c r="J20" t="n" s="13615">
        <v>100.0</v>
      </c>
      <c r="K20" t="n" s="13616">
        <v>0.0</v>
      </c>
      <c r="L20" t="n" s="13617">
        <v>2356.0</v>
      </c>
      <c r="M20" t="n" s="13618">
        <v>0.0</v>
      </c>
      <c r="N20" t="n" s="13619">
        <v>10.0</v>
      </c>
      <c r="O20" t="n" s="13620">
        <v>60.0</v>
      </c>
      <c r="P20" t="n" s="13621">
        <v>0.0</v>
      </c>
      <c r="Q20" t="n" s="13622">
        <v>11.0</v>
      </c>
      <c r="R20" t="n" s="13623">
        <v>90.42</v>
      </c>
      <c r="S20" t="n" s="13624">
        <v>8.0</v>
      </c>
      <c r="T20" t="n" s="13625">
        <v>87.68</v>
      </c>
      <c r="U20" t="n" s="13626">
        <v>0.0</v>
      </c>
      <c r="V20" t="n" s="13627">
        <v>0.0</v>
      </c>
      <c r="W20" s="13628">
        <f>r20+t20+v20</f>
      </c>
      <c r="X20" t="n" s="13629">
        <v>0.0</v>
      </c>
      <c r="Y20" t="n" s="13630">
        <v>0.0</v>
      </c>
      <c r="Z20" t="n" s="13631">
        <v>0.0</v>
      </c>
      <c r="AA20" s="13632">
        <f>i20+j20+k20+l20+m20+n20+o20+p20+x20+y20+z20</f>
      </c>
      <c r="AB20" t="n" s="13633">
        <v>974.0</v>
      </c>
      <c r="AC20" t="n" s="13634">
        <v>138.3</v>
      </c>
      <c r="AD20" t="n" s="13635">
        <v>15.8</v>
      </c>
      <c r="AE20" t="n" s="13636">
        <v>80.0</v>
      </c>
      <c r="AF20" s="13637">
        <f>ROUND((aa20+ab20+ac20+ad20+ae20),2)</f>
      </c>
      <c r="AG20" s="13638">
        <f>af20*0.06</f>
      </c>
      <c r="AH20" s="13639">
        <f>af20+ag20</f>
      </c>
      <c r="AI20" t="s" s="13640">
        <v>0</v>
      </c>
    </row>
    <row r="21" ht="15.0" customHeight="true">
      <c r="A21" t="s" s="13641">
        <v>630</v>
      </c>
      <c r="B21" t="s" s="13642">
        <v>631</v>
      </c>
      <c r="C21" t="s" s="13643">
        <v>632</v>
      </c>
      <c r="D21" t="s" s="13644">
        <v>633</v>
      </c>
      <c r="E21" t="s" s="13645">
        <v>634</v>
      </c>
      <c r="F21" t="s" s="13646">
        <v>572</v>
      </c>
      <c r="G21" t="n" s="13647">
        <v>41944.0</v>
      </c>
      <c r="H21" t="s" s="13648">
        <v>0</v>
      </c>
      <c r="I21" t="n" s="13649">
        <v>1130.0</v>
      </c>
      <c r="J21" t="n" s="13650">
        <v>100.0</v>
      </c>
      <c r="K21" t="n" s="13651">
        <v>0.0</v>
      </c>
      <c r="L21" t="n" s="13652">
        <v>1508.0</v>
      </c>
      <c r="M21" t="n" s="13653">
        <v>0.0</v>
      </c>
      <c r="N21" t="n" s="13654">
        <v>24.23</v>
      </c>
      <c r="O21" t="n" s="13655">
        <v>60.0</v>
      </c>
      <c r="P21" t="n" s="13656">
        <v>0.0</v>
      </c>
      <c r="Q21" t="n" s="13657">
        <v>12.0</v>
      </c>
      <c r="R21" t="n" s="13658">
        <v>94.32</v>
      </c>
      <c r="S21" t="n" s="13659">
        <v>8.0</v>
      </c>
      <c r="T21" t="n" s="13660">
        <v>83.84</v>
      </c>
      <c r="U21" t="n" s="13661">
        <v>0.0</v>
      </c>
      <c r="V21" t="n" s="13662">
        <v>0.0</v>
      </c>
      <c r="W21" s="13663">
        <f>r21+t21+v21</f>
      </c>
      <c r="X21" t="n" s="13664">
        <v>0.0</v>
      </c>
      <c r="Y21" t="n" s="13665">
        <v>0.0</v>
      </c>
      <c r="Z21" t="n" s="13666">
        <v>0.0</v>
      </c>
      <c r="AA21" s="13667">
        <f>i21+j21+k21+l21+m21+n21+o21+p21+x21+y21+z21</f>
      </c>
      <c r="AB21" t="n" s="13668">
        <v>728.0</v>
      </c>
      <c r="AC21" t="n" s="13669">
        <v>103.3</v>
      </c>
      <c r="AD21" t="n" s="13670">
        <v>11.8</v>
      </c>
      <c r="AE21" t="n" s="13671">
        <v>80.0</v>
      </c>
      <c r="AF21" s="13672">
        <f>ROUND((aa21+ab21+ac21+ad21+ae21),2)</f>
      </c>
      <c r="AG21" s="13673">
        <f>af21*0.06</f>
      </c>
      <c r="AH21" s="13674">
        <f>af21+ag21</f>
      </c>
      <c r="AI21" t="s" s="13675">
        <v>0</v>
      </c>
    </row>
    <row r="22" ht="15.0" customHeight="true">
      <c r="A22" t="s" s="13676">
        <v>635</v>
      </c>
      <c r="B22" t="s" s="13677">
        <v>636</v>
      </c>
      <c r="C22" t="s" s="13678">
        <v>637</v>
      </c>
      <c r="D22" t="s" s="13679">
        <v>638</v>
      </c>
      <c r="E22" t="s" s="13680">
        <v>639</v>
      </c>
      <c r="F22" t="s" s="13681">
        <v>572</v>
      </c>
      <c r="G22" t="n" s="13682">
        <v>42125.0</v>
      </c>
      <c r="H22" t="s" s="13683">
        <v>0</v>
      </c>
      <c r="I22" t="n" s="13684">
        <v>1090.0</v>
      </c>
      <c r="J22" t="n" s="13685">
        <v>100.0</v>
      </c>
      <c r="K22" t="n" s="13686">
        <v>0.0</v>
      </c>
      <c r="L22" t="n" s="13687">
        <v>1750.0</v>
      </c>
      <c r="M22" t="n" s="13688">
        <v>0.0</v>
      </c>
      <c r="N22" t="n" s="13689">
        <v>10.0</v>
      </c>
      <c r="O22" t="n" s="13690">
        <v>60.0</v>
      </c>
      <c r="P22" t="n" s="13691">
        <v>0.0</v>
      </c>
      <c r="Q22" t="n" s="13692">
        <v>5.0</v>
      </c>
      <c r="R22" t="n" s="13693">
        <v>37.5</v>
      </c>
      <c r="S22" t="n" s="13694">
        <v>0.0</v>
      </c>
      <c r="T22" t="n" s="13695">
        <v>0.0</v>
      </c>
      <c r="U22" t="n" s="13696">
        <v>0.0</v>
      </c>
      <c r="V22" t="n" s="13697">
        <v>0.0</v>
      </c>
      <c r="W22" s="13698">
        <f>r22+t22+v22</f>
      </c>
      <c r="X22" t="n" s="13699">
        <v>0.0</v>
      </c>
      <c r="Y22" t="n" s="13700">
        <v>0.0</v>
      </c>
      <c r="Z22" t="n" s="13701">
        <v>0.0</v>
      </c>
      <c r="AA22" s="13702">
        <f>i22+j22+k22+l22+m22+n22+o22+p22+x22+y22+z22</f>
      </c>
      <c r="AB22" t="n" s="13703">
        <v>780.0</v>
      </c>
      <c r="AC22" t="n" s="13704">
        <v>103.3</v>
      </c>
      <c r="AD22" t="n" s="13705">
        <v>11.8</v>
      </c>
      <c r="AE22" t="n" s="13706">
        <v>80.0</v>
      </c>
      <c r="AF22" s="13707">
        <f>ROUND((aa22+ab22+ac22+ad22+ae22),2)</f>
      </c>
      <c r="AG22" s="13708">
        <f>af22*0.06</f>
      </c>
      <c r="AH22" s="13709">
        <f>af22+ag22</f>
      </c>
      <c r="AI22" t="s" s="13710">
        <v>0</v>
      </c>
    </row>
    <row r="23" ht="15.0" customHeight="true">
      <c r="A23" t="s" s="13711">
        <v>640</v>
      </c>
      <c r="B23" t="s" s="13712">
        <v>641</v>
      </c>
      <c r="C23" t="s" s="13713">
        <v>642</v>
      </c>
      <c r="D23" t="s" s="13714">
        <v>643</v>
      </c>
      <c r="E23" t="s" s="13715">
        <v>644</v>
      </c>
      <c r="F23" t="s" s="13716">
        <v>572</v>
      </c>
      <c r="G23" t="n" s="13717">
        <v>42125.0</v>
      </c>
      <c r="H23" t="s" s="13718">
        <v>0</v>
      </c>
      <c r="I23" t="n" s="13719">
        <v>1440.0</v>
      </c>
      <c r="J23" t="n" s="13720">
        <v>100.0</v>
      </c>
      <c r="K23" t="n" s="13721">
        <v>0.0</v>
      </c>
      <c r="L23" t="n" s="13722">
        <v>2400.0</v>
      </c>
      <c r="M23" t="n" s="13723">
        <v>0.0</v>
      </c>
      <c r="N23" t="n" s="13724">
        <v>37.9</v>
      </c>
      <c r="O23" t="n" s="13725">
        <v>60.0</v>
      </c>
      <c r="P23" t="n" s="13726">
        <v>0.0</v>
      </c>
      <c r="Q23" t="n" s="13727">
        <v>7.0</v>
      </c>
      <c r="R23" t="n" s="13728">
        <v>67.13</v>
      </c>
      <c r="S23" t="n" s="13729">
        <v>8.0</v>
      </c>
      <c r="T23" t="n" s="13730">
        <v>102.32</v>
      </c>
      <c r="U23" t="n" s="13731">
        <v>0.0</v>
      </c>
      <c r="V23" t="n" s="13732">
        <v>0.0</v>
      </c>
      <c r="W23" s="13733">
        <f>r23+t23+v23</f>
      </c>
      <c r="X23" t="n" s="13734">
        <v>0.0</v>
      </c>
      <c r="Y23" t="n" s="13735">
        <v>0.0</v>
      </c>
      <c r="Z23" t="n" s="13736">
        <v>0.0</v>
      </c>
      <c r="AA23" s="13737">
        <f>i23+j23+k23+l23+m23+n23+o23+p23+x23+y23+z23</f>
      </c>
      <c r="AB23" t="n" s="13738">
        <v>1040.0</v>
      </c>
      <c r="AC23" t="n" s="13739">
        <v>138.1</v>
      </c>
      <c r="AD23" t="n" s="13740">
        <v>15.8</v>
      </c>
      <c r="AE23" t="n" s="13741">
        <v>80.0</v>
      </c>
      <c r="AF23" s="13742">
        <f>ROUND((aa23+ab23+ac23+ad23+ae23),2)</f>
      </c>
      <c r="AG23" s="13743">
        <f>af23*0.06</f>
      </c>
      <c r="AH23" s="13744">
        <f>af23+ag23</f>
      </c>
      <c r="AI23" t="s" s="13745">
        <v>0</v>
      </c>
    </row>
    <row r="24" ht="15.0" customHeight="true">
      <c r="A24" t="s" s="13746">
        <v>645</v>
      </c>
      <c r="B24" t="s" s="13747">
        <v>646</v>
      </c>
      <c r="C24" t="s" s="13748">
        <v>647</v>
      </c>
      <c r="D24" t="s" s="13749">
        <v>648</v>
      </c>
      <c r="E24" t="s" s="13750">
        <v>649</v>
      </c>
      <c r="F24" t="s" s="13751">
        <v>572</v>
      </c>
      <c r="G24" t="n" s="13752">
        <v>42658.0</v>
      </c>
      <c r="H24" t="s" s="13753">
        <v>0</v>
      </c>
      <c r="I24" t="n" s="13754">
        <v>1040.0</v>
      </c>
      <c r="J24" t="n" s="13755">
        <v>100.0</v>
      </c>
      <c r="K24" t="n" s="13756">
        <v>0.0</v>
      </c>
      <c r="L24" t="n" s="13757">
        <v>2556.0</v>
      </c>
      <c r="M24" t="n" s="13758">
        <v>0.0</v>
      </c>
      <c r="N24" t="n" s="13759">
        <v>10.0</v>
      </c>
      <c r="O24" t="n" s="13760">
        <v>60.0</v>
      </c>
      <c r="P24" t="n" s="13761">
        <v>0.0</v>
      </c>
      <c r="Q24" t="n" s="13762">
        <v>4.0</v>
      </c>
      <c r="R24" t="n" s="13763">
        <v>28.84</v>
      </c>
      <c r="S24" t="n" s="13764">
        <v>8.0</v>
      </c>
      <c r="T24" t="n" s="13765">
        <v>76.96</v>
      </c>
      <c r="U24" t="n" s="13766">
        <v>0.0</v>
      </c>
      <c r="V24" t="n" s="13767">
        <v>0.0</v>
      </c>
      <c r="W24" s="13768">
        <f>r24+t24+v24</f>
      </c>
      <c r="X24" t="n" s="13769">
        <v>0.0</v>
      </c>
      <c r="Y24" t="n" s="13770">
        <v>0.0</v>
      </c>
      <c r="Z24" t="n" s="13771">
        <v>0.0</v>
      </c>
      <c r="AA24" s="13772">
        <f>i24+j24+k24+l24+m24+n24+o24+p24+x24+y24+z24</f>
      </c>
      <c r="AB24" t="n" s="13773">
        <v>978.0</v>
      </c>
      <c r="AC24" t="n" s="13774">
        <v>138.3</v>
      </c>
      <c r="AD24" t="n" s="13775">
        <v>15.8</v>
      </c>
      <c r="AE24" t="n" s="13776">
        <v>80.0</v>
      </c>
      <c r="AF24" s="13777">
        <f>ROUND((aa24+ab24+ac24+ad24+ae24),2)</f>
      </c>
      <c r="AG24" s="13778">
        <f>af24*0.06</f>
      </c>
      <c r="AH24" s="13779">
        <f>af24+ag24</f>
      </c>
      <c r="AI24" t="s" s="13780">
        <v>0</v>
      </c>
    </row>
    <row r="25" ht="15.0" customHeight="true">
      <c r="A25" t="s" s="13781">
        <v>0</v>
      </c>
      <c r="B25" t="s" s="13782">
        <v>0</v>
      </c>
      <c r="C25" t="s" s="13783">
        <v>0</v>
      </c>
      <c r="D25" t="s" s="13784">
        <v>0</v>
      </c>
      <c r="E25" t="s" s="13785">
        <v>0</v>
      </c>
      <c r="F25" t="s" s="13786">
        <v>0</v>
      </c>
      <c r="G25" t="s" s="13787">
        <v>0</v>
      </c>
      <c r="H25" t="s" s="13788">
        <v>0</v>
      </c>
      <c r="I25" s="13789">
        <f>SUM(i8:i24)</f>
      </c>
      <c r="J25" s="13790">
        <f>SUM(j8:j24)</f>
      </c>
      <c r="K25" s="13791">
        <f>SUM(k8:k24)</f>
      </c>
      <c r="L25" s="13792">
        <f>SUM(l8:l24)</f>
      </c>
      <c r="M25" s="13793">
        <f>SUM(m8:m24)</f>
      </c>
      <c r="N25" s="13794">
        <f>SUM(n8:n24)</f>
      </c>
      <c r="O25" s="13795">
        <f>SUM(o8:o24)</f>
      </c>
      <c r="P25" s="13796">
        <f>SUM(p8:p24)</f>
      </c>
      <c r="Q25" s="13797">
        <f>SUM(q8:q24)</f>
      </c>
      <c r="R25" s="13798">
        <f>SUM(r8:r24)</f>
      </c>
      <c r="S25" s="13799">
        <f>SUM(s8:s24)</f>
      </c>
      <c r="T25" s="13800">
        <f>SUM(t8:t24)</f>
      </c>
      <c r="U25" s="13801">
        <f>SUM(u8:u24)</f>
      </c>
      <c r="V25" s="13802">
        <f>SUM(v8:v24)</f>
      </c>
      <c r="W25" s="13803">
        <f>SUM(w8:w24)</f>
      </c>
      <c r="X25" s="13804">
        <f>SUM(x8:x24)</f>
      </c>
      <c r="Y25" s="13805">
        <f>SUM(y8:y24)</f>
      </c>
      <c r="Z25" s="13806">
        <f>SUM(z8:z24)</f>
      </c>
      <c r="AA25" s="13807">
        <f>SUM(aa8:aa24)</f>
      </c>
      <c r="AB25" s="13808">
        <f>SUM(ab8:ab24)</f>
      </c>
      <c r="AC25" s="13809">
        <f>SUM(ac8:ac24)</f>
      </c>
      <c r="AD25" s="13810">
        <f>SUM(ad8:ad24)</f>
      </c>
      <c r="AE25" s="13811">
        <f>SUM(ae8:ae24)</f>
      </c>
      <c r="AF25" s="13812">
        <f>SUM(af8:af24)</f>
      </c>
      <c r="AG25" s="13813">
        <f>SUM(ag8:ag24)</f>
      </c>
      <c r="AH25" s="13814">
        <f>SUM(ah8:ah24)</f>
      </c>
      <c r="AI25" t="s" s="13815">
        <v>0</v>
      </c>
    </row>
    <row r="26" ht="15.0" customHeight="true"/>
    <row r="27" ht="15.0" customHeight="true">
      <c r="A27" t="s" s="13816">
        <v>0</v>
      </c>
      <c r="B27" t="s" s="13817">
        <v>0</v>
      </c>
      <c r="C27" t="s" s="13818">
        <v>0</v>
      </c>
      <c r="D27" t="s" s="13819">
        <v>703</v>
      </c>
    </row>
    <row r="28" ht="15.0" customHeight="true">
      <c r="D28" s="13820">
        <f>COUNTA(A8:A24)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14.0" collapsed="false"/>
    <col min="4" max="4" customWidth="true" width="49.0" collapsed="false"/>
    <col min="5" max="5" customWidth="true" width="14.0" collapsed="false"/>
    <col min="6" max="6" customWidth="true" width="17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13821">
        <v>0</v>
      </c>
      <c r="B1" t="s" s="13822">
        <v>0</v>
      </c>
      <c r="C1" t="s" s="13823">
        <v>0</v>
      </c>
      <c r="D1" t="s" s="13824">
        <v>1</v>
      </c>
    </row>
    <row r="2" ht="15.0" customHeight="true">
      <c r="A2" t="s" s="13825">
        <v>0</v>
      </c>
      <c r="B2" t="s" s="13826">
        <v>0</v>
      </c>
      <c r="C2" t="s" s="13827">
        <v>0</v>
      </c>
      <c r="D2" t="s" s="13828">
        <v>2</v>
      </c>
    </row>
    <row r="3" ht="15.0" customHeight="true">
      <c r="A3" t="s" s="13829">
        <v>0</v>
      </c>
      <c r="B3" t="s" s="13830">
        <v>0</v>
      </c>
      <c r="C3" t="s" s="13831">
        <v>0</v>
      </c>
      <c r="D3" t="s" s="13832">
        <v>3</v>
      </c>
    </row>
    <row r="4" ht="15.0" customHeight="true">
      <c r="A4" t="s" s="13833">
        <v>0</v>
      </c>
      <c r="B4" t="s" s="13834">
        <v>0</v>
      </c>
      <c r="C4" t="s" s="13835">
        <v>0</v>
      </c>
      <c r="D4" t="s" s="13836">
        <v>4</v>
      </c>
      <c r="E4" t="s" s="13837">
        <v>0</v>
      </c>
      <c r="F4" t="s" s="13838">
        <v>0</v>
      </c>
      <c r="G4" t="s" s="13839">
        <v>0</v>
      </c>
      <c r="H4" t="s" s="13840">
        <v>0</v>
      </c>
      <c r="I4" t="s" s="13841">
        <v>0</v>
      </c>
      <c r="J4" t="s" s="13842">
        <v>0</v>
      </c>
      <c r="K4" t="s" s="13843">
        <v>0</v>
      </c>
      <c r="L4" t="s" s="13844">
        <v>0</v>
      </c>
      <c r="M4" t="s" s="13845">
        <v>0</v>
      </c>
      <c r="N4" t="s" s="13846">
        <v>0</v>
      </c>
      <c r="O4" t="s" s="13847">
        <v>0</v>
      </c>
      <c r="P4" t="s" s="13848">
        <v>0</v>
      </c>
      <c r="Q4" t="s" s="13849">
        <v>0</v>
      </c>
      <c r="R4" t="s" s="13850">
        <v>0</v>
      </c>
      <c r="S4" t="s" s="13851">
        <v>0</v>
      </c>
      <c r="T4" t="s" s="13852">
        <v>0</v>
      </c>
      <c r="U4" t="s" s="13853">
        <v>0</v>
      </c>
      <c r="V4" t="s" s="13854">
        <v>0</v>
      </c>
      <c r="W4" t="s" s="13855">
        <v>0</v>
      </c>
      <c r="X4" t="s" s="13856">
        <v>0</v>
      </c>
      <c r="Y4" t="s" s="13857">
        <v>0</v>
      </c>
      <c r="Z4" t="s" s="13858">
        <v>0</v>
      </c>
      <c r="AA4" t="s" s="13859">
        <v>0</v>
      </c>
      <c r="AB4" t="s" s="13860">
        <v>0</v>
      </c>
      <c r="AC4" t="s" s="13861">
        <v>5</v>
      </c>
      <c r="AD4" t="n" s="13862">
        <v>2018.0</v>
      </c>
    </row>
    <row r="5" ht="15.0" customHeight="true">
      <c r="A5" t="s" s="13863">
        <v>0</v>
      </c>
      <c r="B5" t="s" s="13864">
        <v>0</v>
      </c>
      <c r="C5" t="s" s="13865">
        <v>0</v>
      </c>
      <c r="D5" t="s" s="13866">
        <v>0</v>
      </c>
      <c r="E5" t="s" s="13867">
        <v>0</v>
      </c>
      <c r="F5" t="s" s="13868">
        <v>0</v>
      </c>
      <c r="G5" t="s" s="13869">
        <v>0</v>
      </c>
      <c r="H5" t="s" s="13870">
        <v>0</v>
      </c>
      <c r="I5" t="s" s="13871">
        <v>0</v>
      </c>
      <c r="J5" t="s" s="13872">
        <v>0</v>
      </c>
      <c r="K5" t="s" s="13873">
        <v>0</v>
      </c>
      <c r="L5" t="s" s="13874">
        <v>0</v>
      </c>
      <c r="M5" t="s" s="13875">
        <v>0</v>
      </c>
      <c r="N5" t="s" s="13876">
        <v>0</v>
      </c>
      <c r="O5" t="s" s="13877">
        <v>0</v>
      </c>
      <c r="P5" t="s" s="13878">
        <v>0</v>
      </c>
      <c r="Q5" t="s" s="13879">
        <v>0</v>
      </c>
      <c r="R5" t="s" s="13880">
        <v>0</v>
      </c>
      <c r="S5" t="s" s="13881">
        <v>0</v>
      </c>
      <c r="T5" t="s" s="13882">
        <v>0</v>
      </c>
      <c r="U5" t="s" s="13883">
        <v>0</v>
      </c>
      <c r="V5" t="s" s="13884">
        <v>0</v>
      </c>
      <c r="W5" t="s" s="13885">
        <v>0</v>
      </c>
      <c r="X5" t="s" s="13886">
        <v>0</v>
      </c>
      <c r="Y5" t="s" s="13887">
        <v>0</v>
      </c>
      <c r="Z5" t="s" s="13888">
        <v>0</v>
      </c>
      <c r="AA5" t="s" s="13889">
        <v>0</v>
      </c>
      <c r="AB5" t="s" s="13890">
        <v>0</v>
      </c>
      <c r="AC5" t="s" s="13891">
        <v>6</v>
      </c>
      <c r="AD5" t="n" s="13892">
        <v>2017.0</v>
      </c>
    </row>
    <row r="6" ht="15.0" customHeight="true"/>
    <row r="7" ht="35.0" customHeight="true">
      <c r="A7" t="s" s="13893">
        <v>7</v>
      </c>
      <c r="B7" t="s" s="13894">
        <v>8</v>
      </c>
      <c r="C7" t="s" s="13895">
        <v>9</v>
      </c>
      <c r="D7" t="s" s="13896">
        <v>10</v>
      </c>
      <c r="E7" t="s" s="13897">
        <v>11</v>
      </c>
      <c r="F7" t="s" s="13898">
        <v>12</v>
      </c>
      <c r="G7" t="s" s="13899">
        <v>13</v>
      </c>
      <c r="H7" t="s" s="13900">
        <v>14</v>
      </c>
      <c r="I7" t="s" s="13901">
        <v>15</v>
      </c>
      <c r="J7" t="s" s="13902">
        <v>16</v>
      </c>
      <c r="K7" t="s" s="13903">
        <v>17</v>
      </c>
      <c r="L7" t="s" s="13904">
        <v>18</v>
      </c>
      <c r="M7" t="s" s="13905">
        <v>19</v>
      </c>
      <c r="N7" t="s" s="13906">
        <v>20</v>
      </c>
      <c r="O7" t="s" s="13907">
        <v>21</v>
      </c>
      <c r="P7" t="s" s="13908">
        <v>22</v>
      </c>
      <c r="Q7" t="s" s="13909">
        <v>23</v>
      </c>
      <c r="R7" t="s" s="13910">
        <v>24</v>
      </c>
      <c r="S7" t="s" s="13911">
        <v>25</v>
      </c>
      <c r="T7" t="s" s="13912">
        <v>26</v>
      </c>
      <c r="U7" t="s" s="13913">
        <v>27</v>
      </c>
      <c r="V7" t="s" s="13914">
        <v>28</v>
      </c>
      <c r="W7" t="s" s="13915">
        <v>29</v>
      </c>
      <c r="X7" t="s" s="13916">
        <v>30</v>
      </c>
      <c r="Y7" t="s" s="13917">
        <v>31</v>
      </c>
      <c r="Z7" t="s" s="13918">
        <v>32</v>
      </c>
      <c r="AA7" t="s" s="13919">
        <v>33</v>
      </c>
      <c r="AB7" t="s" s="13920">
        <v>34</v>
      </c>
      <c r="AC7" t="s" s="13921">
        <v>35</v>
      </c>
      <c r="AD7" t="s" s="13922">
        <v>36</v>
      </c>
      <c r="AE7" t="s" s="13923">
        <v>37</v>
      </c>
      <c r="AF7" t="s" s="13924">
        <v>38</v>
      </c>
      <c r="AG7" t="s" s="13925">
        <v>39</v>
      </c>
      <c r="AH7" t="s" s="13926">
        <v>40</v>
      </c>
      <c r="AI7" t="s" s="13927">
        <v>41</v>
      </c>
    </row>
    <row r="8" ht="15.0" customHeight="true">
      <c r="A8" t="s" s="13928">
        <v>650</v>
      </c>
      <c r="B8" t="s" s="13929">
        <v>651</v>
      </c>
      <c r="C8" t="s" s="13930">
        <v>652</v>
      </c>
      <c r="D8" t="s" s="13931">
        <v>653</v>
      </c>
      <c r="E8" t="s" s="13932">
        <v>654</v>
      </c>
      <c r="F8" t="s" s="13933">
        <v>655</v>
      </c>
      <c r="G8" t="n" s="13934">
        <v>41944.0</v>
      </c>
      <c r="H8" t="s" s="13935">
        <v>0</v>
      </c>
      <c r="I8" t="n" s="13936">
        <v>1260.0</v>
      </c>
      <c r="J8" t="n" s="13937">
        <v>100.0</v>
      </c>
      <c r="K8" t="n" s="13938">
        <v>0.0</v>
      </c>
      <c r="L8" t="n" s="13939">
        <v>1786.0</v>
      </c>
      <c r="M8" t="n" s="13940">
        <v>0.0</v>
      </c>
      <c r="N8" t="n" s="13941">
        <v>14.3</v>
      </c>
      <c r="O8" t="n" s="13942">
        <v>60.0</v>
      </c>
      <c r="P8" t="n" s="13943">
        <v>0.0</v>
      </c>
      <c r="Q8" t="n" s="13944">
        <v>1.5</v>
      </c>
      <c r="R8" t="n" s="13945">
        <v>12.98</v>
      </c>
      <c r="S8" t="n" s="13946">
        <v>8.0</v>
      </c>
      <c r="T8" t="n" s="13947">
        <v>92.32</v>
      </c>
      <c r="U8" t="n" s="13948">
        <v>0.0</v>
      </c>
      <c r="V8" t="n" s="13949">
        <v>0.0</v>
      </c>
      <c r="W8" s="13950">
        <f>r8+t8+v8</f>
      </c>
      <c r="X8" t="n" s="13951">
        <v>0.0</v>
      </c>
      <c r="Y8" t="n" s="13952">
        <v>0.0</v>
      </c>
      <c r="Z8" t="n" s="13953">
        <v>0.0</v>
      </c>
      <c r="AA8" s="13954">
        <f>i8+j8+k8+l8+m8+n8+o8+p8+x8+y8+z8</f>
      </c>
      <c r="AB8" t="n" s="13955">
        <v>838.0</v>
      </c>
      <c r="AC8" t="n" s="13956">
        <v>117.1</v>
      </c>
      <c r="AD8" t="n" s="13957">
        <v>13.4</v>
      </c>
      <c r="AE8" t="n" s="13958">
        <v>80.0</v>
      </c>
      <c r="AF8" s="13959">
        <f>ROUND((aa8+ab8+ac8+ad8+ae8),2)</f>
      </c>
      <c r="AG8" s="13960">
        <f>af8*0.06</f>
      </c>
      <c r="AH8" s="13961">
        <f>af8+ag8</f>
      </c>
      <c r="AI8" t="s" s="13962">
        <v>0</v>
      </c>
    </row>
    <row r="9" ht="15.0" customHeight="true">
      <c r="A9" t="s" s="13963">
        <v>656</v>
      </c>
      <c r="B9" t="s" s="13964">
        <v>657</v>
      </c>
      <c r="C9" t="s" s="13965">
        <v>658</v>
      </c>
      <c r="D9" t="s" s="13966">
        <v>659</v>
      </c>
      <c r="E9" t="s" s="13967">
        <v>660</v>
      </c>
      <c r="F9" t="s" s="13968">
        <v>655</v>
      </c>
      <c r="G9" t="n" s="13969">
        <v>41944.0</v>
      </c>
      <c r="H9" t="s" s="13970">
        <v>0</v>
      </c>
      <c r="I9" t="n" s="13971">
        <v>1150.0</v>
      </c>
      <c r="J9" t="n" s="13972">
        <v>100.0</v>
      </c>
      <c r="K9" t="n" s="13973">
        <v>0.0</v>
      </c>
      <c r="L9" t="n" s="13974">
        <v>1758.0</v>
      </c>
      <c r="M9" t="n" s="13975">
        <v>0.0</v>
      </c>
      <c r="N9" t="n" s="13976">
        <v>10.0</v>
      </c>
      <c r="O9" t="n" s="13977">
        <v>60.0</v>
      </c>
      <c r="P9" t="n" s="13978">
        <v>0.0</v>
      </c>
      <c r="Q9" t="n" s="13979">
        <v>1.5</v>
      </c>
      <c r="R9" t="n" s="13980">
        <v>11.58</v>
      </c>
      <c r="S9" t="n" s="13981">
        <v>8.0</v>
      </c>
      <c r="T9" t="n" s="13982">
        <v>82.32</v>
      </c>
      <c r="U9" t="n" s="13983">
        <v>0.0</v>
      </c>
      <c r="V9" t="n" s="13984">
        <v>0.0</v>
      </c>
      <c r="W9" s="13985">
        <f>r9+t9+v9</f>
      </c>
      <c r="X9" t="n" s="13986">
        <v>0.0</v>
      </c>
      <c r="Y9" t="n" s="13987">
        <v>0.0</v>
      </c>
      <c r="Z9" t="n" s="13988">
        <v>0.0</v>
      </c>
      <c r="AA9" s="13989">
        <f>i9+j9+k9+l9+m9+n9+o9+p9+x9+y9+z9</f>
      </c>
      <c r="AB9" t="n" s="13990">
        <v>802.0</v>
      </c>
      <c r="AC9" t="n" s="13991">
        <v>110.3</v>
      </c>
      <c r="AD9" t="n" s="13992">
        <v>12.6</v>
      </c>
      <c r="AE9" t="n" s="13993">
        <v>80.0</v>
      </c>
      <c r="AF9" s="13994">
        <f>ROUND((aa9+ab9+ac9+ad9+ae9),2)</f>
      </c>
      <c r="AG9" s="13995">
        <f>af9*0.06</f>
      </c>
      <c r="AH9" s="13996">
        <f>af9+ag9</f>
      </c>
      <c r="AI9" t="s" s="13997">
        <v>0</v>
      </c>
    </row>
    <row r="10" ht="15.0" customHeight="true">
      <c r="A10" t="s" s="13998">
        <v>661</v>
      </c>
      <c r="B10" t="s" s="13999">
        <v>662</v>
      </c>
      <c r="C10" t="s" s="14000">
        <v>663</v>
      </c>
      <c r="D10" t="s" s="14001">
        <v>664</v>
      </c>
      <c r="E10" t="s" s="14002">
        <v>665</v>
      </c>
      <c r="F10" t="s" s="14003">
        <v>655</v>
      </c>
      <c r="G10" t="n" s="14004">
        <v>41944.0</v>
      </c>
      <c r="H10" t="s" s="14005">
        <v>0</v>
      </c>
      <c r="I10" t="n" s="14006">
        <v>1280.0</v>
      </c>
      <c r="J10" t="n" s="14007">
        <v>100.0</v>
      </c>
      <c r="K10" t="n" s="14008">
        <v>0.0</v>
      </c>
      <c r="L10" t="n" s="14009">
        <v>2340.0</v>
      </c>
      <c r="M10" t="n" s="14010">
        <v>0.0</v>
      </c>
      <c r="N10" t="n" s="14011">
        <v>10.0</v>
      </c>
      <c r="O10" t="n" s="14012">
        <v>60.0</v>
      </c>
      <c r="P10" t="n" s="14013">
        <v>0.0</v>
      </c>
      <c r="Q10" t="n" s="14014">
        <v>1.5</v>
      </c>
      <c r="R10" t="n" s="14015">
        <v>12.98</v>
      </c>
      <c r="S10" t="n" s="14016">
        <v>8.0</v>
      </c>
      <c r="T10" t="n" s="14017">
        <v>92.32</v>
      </c>
      <c r="U10" t="n" s="14018">
        <v>0.0</v>
      </c>
      <c r="V10" t="n" s="14019">
        <v>0.0</v>
      </c>
      <c r="W10" s="14020">
        <f>r10+t10+v10</f>
      </c>
      <c r="X10" t="n" s="14021">
        <v>0.0</v>
      </c>
      <c r="Y10" t="n" s="14022">
        <v>0.0</v>
      </c>
      <c r="Z10" t="n" s="14023">
        <v>0.0</v>
      </c>
      <c r="AA10" s="14024">
        <f>i10+j10+k10+l10+m10+n10+o10+p10+x10+y10+z10</f>
      </c>
      <c r="AB10" t="n" s="14025">
        <v>984.0</v>
      </c>
      <c r="AC10" t="n" s="14026">
        <v>134.7</v>
      </c>
      <c r="AD10" t="n" s="14027">
        <v>15.4</v>
      </c>
      <c r="AE10" t="n" s="14028">
        <v>80.0</v>
      </c>
      <c r="AF10" s="14029">
        <f>ROUND((aa10+ab10+ac10+ad10+ae10),2)</f>
      </c>
      <c r="AG10" s="14030">
        <f>af10*0.06</f>
      </c>
      <c r="AH10" s="14031">
        <f>af10+ag10</f>
      </c>
      <c r="AI10" t="s" s="14032">
        <v>0</v>
      </c>
    </row>
    <row r="11" ht="15.0" customHeight="true">
      <c r="A11" t="s" s="14033">
        <v>666</v>
      </c>
      <c r="B11" t="s" s="14034">
        <v>667</v>
      </c>
      <c r="C11" t="s" s="14035">
        <v>668</v>
      </c>
      <c r="D11" t="s" s="14036">
        <v>669</v>
      </c>
      <c r="E11" t="s" s="14037">
        <v>670</v>
      </c>
      <c r="F11" t="s" s="14038">
        <v>655</v>
      </c>
      <c r="G11" t="n" s="14039">
        <v>41944.0</v>
      </c>
      <c r="H11" t="s" s="14040">
        <v>0</v>
      </c>
      <c r="I11" t="n" s="14041">
        <v>1440.0</v>
      </c>
      <c r="J11" t="n" s="14042">
        <v>100.0</v>
      </c>
      <c r="K11" t="n" s="14043">
        <v>-6.46</v>
      </c>
      <c r="L11" t="n" s="14044">
        <v>2324.0</v>
      </c>
      <c r="M11" t="n" s="14045">
        <v>0.0</v>
      </c>
      <c r="N11" t="n" s="14046">
        <v>10.0</v>
      </c>
      <c r="O11" t="n" s="14047">
        <v>60.0</v>
      </c>
      <c r="P11" t="n" s="14048">
        <v>0.0</v>
      </c>
      <c r="Q11" t="n" s="14049">
        <v>2.0</v>
      </c>
      <c r="R11" t="n" s="14050">
        <v>19.32</v>
      </c>
      <c r="S11" t="n" s="14051">
        <v>0.0</v>
      </c>
      <c r="T11" t="n" s="14052">
        <v>0.0</v>
      </c>
      <c r="U11" t="n" s="14053">
        <v>0.0</v>
      </c>
      <c r="V11" t="n" s="14054">
        <v>0.0</v>
      </c>
      <c r="W11" s="14055">
        <f>r11+t11+v11</f>
      </c>
      <c r="X11" t="n" s="14056">
        <v>-86.46</v>
      </c>
      <c r="Y11" t="n" s="14057">
        <v>0.0</v>
      </c>
      <c r="Z11" t="n" s="14058">
        <v>0.0</v>
      </c>
      <c r="AA11" s="14059">
        <f>i11+j11+k11+l11+m11+n11+o11+p11+x11+y11+z11</f>
      </c>
      <c r="AB11" t="n" s="14060">
        <v>1000.0</v>
      </c>
      <c r="AC11" t="n" s="14061">
        <v>134.7</v>
      </c>
      <c r="AD11" t="n" s="14062">
        <v>15.4</v>
      </c>
      <c r="AE11" t="n" s="14063">
        <v>80.0</v>
      </c>
      <c r="AF11" s="14064">
        <f>ROUND((aa11+ab11+ac11+ad11+ae11),2)</f>
      </c>
      <c r="AG11" s="14065">
        <f>af11*0.06</f>
      </c>
      <c r="AH11" s="14066">
        <f>af11+ag11</f>
      </c>
      <c r="AI11" t="s" s="14067">
        <v>0</v>
      </c>
    </row>
    <row r="12" ht="15.0" customHeight="true">
      <c r="A12" t="s" s="14068">
        <v>671</v>
      </c>
      <c r="B12" t="s" s="14069">
        <v>0</v>
      </c>
      <c r="C12" t="s" s="14070">
        <v>672</v>
      </c>
      <c r="D12" t="s" s="14071">
        <v>673</v>
      </c>
      <c r="E12" t="s" s="14072">
        <v>674</v>
      </c>
      <c r="F12" t="s" s="14073">
        <v>655</v>
      </c>
      <c r="G12" t="n" s="14074">
        <v>42005.0</v>
      </c>
      <c r="H12" t="n" s="14075">
        <v>43100.0</v>
      </c>
      <c r="I12" t="n" s="14076">
        <v>0.0</v>
      </c>
      <c r="J12" t="n" s="14077">
        <v>0.0</v>
      </c>
      <c r="K12" t="n" s="14078">
        <v>0.0</v>
      </c>
      <c r="L12" t="n" s="14079">
        <v>0.0</v>
      </c>
      <c r="M12" t="n" s="14080">
        <v>0.0</v>
      </c>
      <c r="N12" t="n" s="14081">
        <v>2787.24</v>
      </c>
      <c r="O12" t="n" s="14082">
        <v>0.0</v>
      </c>
      <c r="P12" t="n" s="14083">
        <v>0.0</v>
      </c>
      <c r="Q12" t="n" s="14084">
        <v>0.0</v>
      </c>
      <c r="R12" t="n" s="14085">
        <v>0.0</v>
      </c>
      <c r="S12" t="n" s="14086">
        <v>0.0</v>
      </c>
      <c r="T12" t="n" s="14087">
        <v>0.0</v>
      </c>
      <c r="U12" t="n" s="14088">
        <v>0.0</v>
      </c>
      <c r="V12" t="n" s="14089">
        <v>0.0</v>
      </c>
      <c r="W12" s="14090">
        <f>r12+t12+v12</f>
      </c>
      <c r="X12" t="n" s="14091">
        <v>0.0</v>
      </c>
      <c r="Y12" t="n" s="14092">
        <v>0.0</v>
      </c>
      <c r="Z12" t="n" s="14093">
        <v>0.0</v>
      </c>
      <c r="AA12" s="14094">
        <f>i12+j12+k12+l12+m12+n12+o12+p12+x12+y12+z12</f>
      </c>
      <c r="AB12" t="n" s="14095">
        <v>0.0</v>
      </c>
      <c r="AC12" t="n" s="14096">
        <v>0.0</v>
      </c>
      <c r="AD12" t="n" s="14097">
        <v>0.0</v>
      </c>
      <c r="AE12" t="n" s="14098">
        <v>80.0</v>
      </c>
      <c r="AF12" s="14099">
        <f>ROUND((aa12+ab12+ac12+ad12+ae12),2)</f>
      </c>
      <c r="AG12" s="14100">
        <f>af12*0.06</f>
      </c>
      <c r="AH12" s="14101">
        <f>af12+ag12</f>
      </c>
      <c r="AI12" t="s" s="14102">
        <v>0</v>
      </c>
    </row>
    <row r="13" ht="15.0" customHeight="true">
      <c r="A13" t="s" s="14103">
        <v>675</v>
      </c>
      <c r="B13" t="s" s="14104">
        <v>0</v>
      </c>
      <c r="C13" t="s" s="14105">
        <v>676</v>
      </c>
      <c r="D13" t="s" s="14106">
        <v>677</v>
      </c>
      <c r="E13" t="s" s="14107">
        <v>678</v>
      </c>
      <c r="F13" t="s" s="14108">
        <v>655</v>
      </c>
      <c r="G13" t="n" s="14109">
        <v>41944.0</v>
      </c>
      <c r="H13" t="s" s="14110">
        <v>0</v>
      </c>
      <c r="I13" t="n" s="14111">
        <v>1250.0</v>
      </c>
      <c r="J13" t="n" s="14112">
        <v>100.0</v>
      </c>
      <c r="K13" t="n" s="14113">
        <v>-6.46</v>
      </c>
      <c r="L13" t="n" s="14114">
        <v>2308.0</v>
      </c>
      <c r="M13" t="n" s="14115">
        <v>0.0</v>
      </c>
      <c r="N13" t="n" s="14116">
        <v>17.1</v>
      </c>
      <c r="O13" t="n" s="14117">
        <v>60.0</v>
      </c>
      <c r="P13" t="n" s="14118">
        <v>0.0</v>
      </c>
      <c r="Q13" t="n" s="14119">
        <v>0.0</v>
      </c>
      <c r="R13" t="n" s="14120">
        <v>0.0</v>
      </c>
      <c r="S13" t="n" s="14121">
        <v>0.0</v>
      </c>
      <c r="T13" t="n" s="14122">
        <v>0.0</v>
      </c>
      <c r="U13" t="n" s="14123">
        <v>0.0</v>
      </c>
      <c r="V13" t="n" s="14124">
        <v>0.0</v>
      </c>
      <c r="W13" s="14125">
        <f>r13+t13+v13</f>
      </c>
      <c r="X13" t="n" s="14126">
        <v>-37.42</v>
      </c>
      <c r="Y13" t="n" s="14127">
        <v>0.0</v>
      </c>
      <c r="Z13" t="n" s="14128">
        <v>0.0</v>
      </c>
      <c r="AA13" s="14129">
        <f>i13+j13+k13+l13+m13+n13+o13+p13+x13+y13+z13</f>
      </c>
      <c r="AB13" t="n" s="14130">
        <v>479.0</v>
      </c>
      <c r="AC13" t="n" s="14131">
        <v>63.85</v>
      </c>
      <c r="AD13" t="n" s="14132">
        <v>7.3</v>
      </c>
      <c r="AE13" t="n" s="14133">
        <v>80.0</v>
      </c>
      <c r="AF13" s="14134">
        <f>ROUND((aa13+ab13+ac13+ad13+ae13),2)</f>
      </c>
      <c r="AG13" s="14135">
        <f>af13*0.06</f>
      </c>
      <c r="AH13" s="14136">
        <f>af13+ag13</f>
      </c>
      <c r="AI13" t="s" s="14137">
        <v>0</v>
      </c>
    </row>
    <row r="14" ht="15.0" customHeight="true">
      <c r="A14" t="s" s="14138">
        <v>679</v>
      </c>
      <c r="B14" t="s" s="14139">
        <v>680</v>
      </c>
      <c r="C14" t="s" s="14140">
        <v>681</v>
      </c>
      <c r="D14" t="s" s="14141">
        <v>682</v>
      </c>
      <c r="E14" t="s" s="14142">
        <v>683</v>
      </c>
      <c r="F14" t="s" s="14143">
        <v>655</v>
      </c>
      <c r="G14" t="n" s="14144">
        <v>41944.0</v>
      </c>
      <c r="H14" t="s" s="14145">
        <v>0</v>
      </c>
      <c r="I14" t="n" s="14146">
        <v>1130.0</v>
      </c>
      <c r="J14" t="n" s="14147">
        <v>100.0</v>
      </c>
      <c r="K14" t="n" s="14148">
        <v>0.0</v>
      </c>
      <c r="L14" t="n" s="14149">
        <v>1762.0</v>
      </c>
      <c r="M14" t="n" s="14150">
        <v>0.0</v>
      </c>
      <c r="N14" t="n" s="14151">
        <v>26.5</v>
      </c>
      <c r="O14" t="n" s="14152">
        <v>60.0</v>
      </c>
      <c r="P14" t="n" s="14153">
        <v>0.0</v>
      </c>
      <c r="Q14" t="n" s="14154">
        <v>1.5</v>
      </c>
      <c r="R14" t="n" s="14155">
        <v>11.58</v>
      </c>
      <c r="S14" t="n" s="14156">
        <v>8.0</v>
      </c>
      <c r="T14" t="n" s="14157">
        <v>82.32</v>
      </c>
      <c r="U14" t="n" s="14158">
        <v>0.0</v>
      </c>
      <c r="V14" t="n" s="14159">
        <v>0.0</v>
      </c>
      <c r="W14" s="14160">
        <f>r14+t14+v14</f>
      </c>
      <c r="X14" t="n" s="14161">
        <v>0.0</v>
      </c>
      <c r="Y14" t="n" s="14162">
        <v>0.0</v>
      </c>
      <c r="Z14" t="n" s="14163">
        <v>0.0</v>
      </c>
      <c r="AA14" s="14164">
        <f>i14+j14+k14+l14+m14+n14+o14+p14+x14+y14+z14</f>
      </c>
      <c r="AB14" t="n" s="14165">
        <v>796.0</v>
      </c>
      <c r="AC14" t="n" s="14166">
        <v>110.3</v>
      </c>
      <c r="AD14" t="n" s="14167">
        <v>12.6</v>
      </c>
      <c r="AE14" t="n" s="14168">
        <v>80.0</v>
      </c>
      <c r="AF14" s="14169">
        <f>ROUND((aa14+ab14+ac14+ad14+ae14),2)</f>
      </c>
      <c r="AG14" s="14170">
        <f>af14*0.06</f>
      </c>
      <c r="AH14" s="14171">
        <f>af14+ag14</f>
      </c>
      <c r="AI14" t="s" s="14172">
        <v>0</v>
      </c>
    </row>
    <row r="15" ht="15.0" customHeight="true">
      <c r="A15" t="s" s="14173">
        <v>684</v>
      </c>
      <c r="B15" t="s" s="14174">
        <v>685</v>
      </c>
      <c r="C15" t="s" s="14175">
        <v>686</v>
      </c>
      <c r="D15" t="s" s="14176">
        <v>687</v>
      </c>
      <c r="E15" t="s" s="14177">
        <v>688</v>
      </c>
      <c r="F15" t="s" s="14178">
        <v>655</v>
      </c>
      <c r="G15" t="n" s="14179">
        <v>42131.0</v>
      </c>
      <c r="H15" t="s" s="14180">
        <v>0</v>
      </c>
      <c r="I15" t="n" s="14181">
        <v>1300.0</v>
      </c>
      <c r="J15" t="n" s="14182">
        <v>100.0</v>
      </c>
      <c r="K15" t="n" s="14183">
        <v>0.0</v>
      </c>
      <c r="L15" t="n" s="14184">
        <v>2400.0</v>
      </c>
      <c r="M15" t="n" s="14185">
        <v>0.0</v>
      </c>
      <c r="N15" t="n" s="14186">
        <v>10.0</v>
      </c>
      <c r="O15" t="n" s="14187">
        <v>60.0</v>
      </c>
      <c r="P15" t="n" s="14188">
        <v>0.0</v>
      </c>
      <c r="Q15" t="n" s="14189">
        <v>0.0</v>
      </c>
      <c r="R15" t="n" s="14190">
        <v>0.0</v>
      </c>
      <c r="S15" t="n" s="14191">
        <v>8.0</v>
      </c>
      <c r="T15" t="n" s="14192">
        <v>92.32</v>
      </c>
      <c r="U15" t="n" s="14193">
        <v>0.0</v>
      </c>
      <c r="V15" t="n" s="14194">
        <v>0.0</v>
      </c>
      <c r="W15" s="14195">
        <f>r15+t15+v15</f>
      </c>
      <c r="X15" t="n" s="14196">
        <v>0.0</v>
      </c>
      <c r="Y15" t="n" s="14197">
        <v>0.0</v>
      </c>
      <c r="Z15" t="n" s="14198">
        <v>0.0</v>
      </c>
      <c r="AA15" s="14199">
        <f>i15+j15+k15+l15+m15+n15+o15+p15+x15+y15+z15</f>
      </c>
      <c r="AB15" t="n" s="14200">
        <v>1004.0</v>
      </c>
      <c r="AC15" t="n" s="14201">
        <v>138.1</v>
      </c>
      <c r="AD15" t="n" s="14202">
        <v>15.8</v>
      </c>
      <c r="AE15" t="n" s="14203">
        <v>80.0</v>
      </c>
      <c r="AF15" s="14204">
        <f>ROUND((aa15+ab15+ac15+ad15+ae15),2)</f>
      </c>
      <c r="AG15" s="14205">
        <f>af15*0.06</f>
      </c>
      <c r="AH15" s="14206">
        <f>af15+ag15</f>
      </c>
      <c r="AI15" t="s" s="14207">
        <v>0</v>
      </c>
    </row>
    <row r="16" ht="15.0" customHeight="true">
      <c r="A16" t="s" s="14208">
        <v>689</v>
      </c>
      <c r="B16" t="s" s="14209">
        <v>690</v>
      </c>
      <c r="C16" t="s" s="14210">
        <v>691</v>
      </c>
      <c r="D16" t="s" s="14211">
        <v>692</v>
      </c>
      <c r="E16" t="s" s="14212">
        <v>693</v>
      </c>
      <c r="F16" t="s" s="14213">
        <v>655</v>
      </c>
      <c r="G16" t="n" s="14214">
        <v>42131.0</v>
      </c>
      <c r="H16" t="s" s="14215">
        <v>0</v>
      </c>
      <c r="I16" t="n" s="14216">
        <v>1040.0</v>
      </c>
      <c r="J16" t="n" s="14217">
        <v>100.0</v>
      </c>
      <c r="K16" t="n" s="14218">
        <v>-3.23</v>
      </c>
      <c r="L16" t="n" s="14219">
        <v>1970.0</v>
      </c>
      <c r="M16" t="n" s="14220">
        <v>0.0</v>
      </c>
      <c r="N16" t="n" s="14221">
        <v>10.0</v>
      </c>
      <c r="O16" t="n" s="14222">
        <v>60.0</v>
      </c>
      <c r="P16" t="n" s="14223">
        <v>0.0</v>
      </c>
      <c r="Q16" t="n" s="14224">
        <v>0.0</v>
      </c>
      <c r="R16" t="n" s="14225">
        <v>0.0</v>
      </c>
      <c r="S16" t="n" s="14226">
        <v>8.0</v>
      </c>
      <c r="T16" t="n" s="14227">
        <v>76.16</v>
      </c>
      <c r="U16" t="n" s="14228">
        <v>0.0</v>
      </c>
      <c r="V16" t="n" s="14229">
        <v>0.0</v>
      </c>
      <c r="W16" s="14230">
        <f>r16+t16+v16</f>
      </c>
      <c r="X16" t="n" s="14231">
        <v>-31.94</v>
      </c>
      <c r="Y16" t="n" s="14232">
        <v>0.0</v>
      </c>
      <c r="Z16" t="n" s="14233">
        <v>0.0</v>
      </c>
      <c r="AA16" s="14234">
        <f>i16+j16+k16+l16+m16+n16+o16+p16+x16+y16+z16</f>
      </c>
      <c r="AB16" t="n" s="14235">
        <v>818.0</v>
      </c>
      <c r="AC16" t="n" s="14236">
        <v>110.3</v>
      </c>
      <c r="AD16" t="n" s="14237">
        <v>12.6</v>
      </c>
      <c r="AE16" t="n" s="14238">
        <v>80.0</v>
      </c>
      <c r="AF16" s="14239">
        <f>ROUND((aa16+ab16+ac16+ad16+ae16),2)</f>
      </c>
      <c r="AG16" s="14240">
        <f>af16*0.06</f>
      </c>
      <c r="AH16" s="14241">
        <f>af16+ag16</f>
      </c>
      <c r="AI16" t="s" s="14242">
        <v>0</v>
      </c>
    </row>
    <row r="17" ht="15.0" customHeight="true">
      <c r="A17" t="s" s="14243">
        <v>694</v>
      </c>
      <c r="B17" t="s" s="14244">
        <v>0</v>
      </c>
      <c r="C17" t="s" s="14245">
        <v>695</v>
      </c>
      <c r="D17" t="s" s="14246">
        <v>696</v>
      </c>
      <c r="E17" t="s" s="14247">
        <v>697</v>
      </c>
      <c r="F17" t="s" s="14248">
        <v>655</v>
      </c>
      <c r="G17" t="n" s="14249">
        <v>42149.0</v>
      </c>
      <c r="H17" t="s" s="14250">
        <v>0</v>
      </c>
      <c r="I17" t="n" s="14251">
        <v>3410.0</v>
      </c>
      <c r="J17" t="n" s="14252">
        <v>0.0</v>
      </c>
      <c r="K17" t="n" s="14253">
        <v>0.0</v>
      </c>
      <c r="L17" t="n" s="14254">
        <v>0.0</v>
      </c>
      <c r="M17" t="n" s="14255">
        <v>300.0</v>
      </c>
      <c r="N17" t="n" s="14256">
        <v>3921.08</v>
      </c>
      <c r="O17" t="n" s="14257">
        <v>0.0</v>
      </c>
      <c r="P17" t="n" s="14258">
        <v>0.0</v>
      </c>
      <c r="Q17" t="n" s="14259">
        <v>0.0</v>
      </c>
      <c r="R17" t="n" s="14260">
        <v>0.0</v>
      </c>
      <c r="S17" t="n" s="14261">
        <v>0.0</v>
      </c>
      <c r="T17" t="n" s="14262">
        <v>0.0</v>
      </c>
      <c r="U17" t="n" s="14263">
        <v>0.0</v>
      </c>
      <c r="V17" t="n" s="14264">
        <v>0.0</v>
      </c>
      <c r="W17" s="14265">
        <f>r17+t17+v17</f>
      </c>
      <c r="X17" t="n" s="14266">
        <v>0.0</v>
      </c>
      <c r="Y17" t="n" s="14267">
        <v>0.0</v>
      </c>
      <c r="Z17" t="n" s="14268">
        <v>0.0</v>
      </c>
      <c r="AA17" s="14269">
        <f>i17+j17+k17+l17+m17+n17+o17+p17+x17+y17+z17</f>
      </c>
      <c r="AB17" t="n" s="14270">
        <v>484.0</v>
      </c>
      <c r="AC17" t="n" s="14271">
        <v>65.65</v>
      </c>
      <c r="AD17" t="n" s="14272">
        <v>7.5</v>
      </c>
      <c r="AE17" t="n" s="14273">
        <v>80.0</v>
      </c>
      <c r="AF17" s="14274">
        <f>ROUND((aa17+ab17+ac17+ad17+ae17),2)</f>
      </c>
      <c r="AG17" s="14275">
        <f>af17*0.06</f>
      </c>
      <c r="AH17" s="14276">
        <f>af17+ag17</f>
      </c>
      <c r="AI17" t="s" s="14277">
        <v>0</v>
      </c>
    </row>
    <row r="18" ht="15.0" customHeight="true">
      <c r="A18" t="s" s="14278">
        <v>698</v>
      </c>
      <c r="B18" t="s" s="14279">
        <v>699</v>
      </c>
      <c r="C18" t="s" s="14280">
        <v>700</v>
      </c>
      <c r="D18" t="s" s="14281">
        <v>701</v>
      </c>
      <c r="E18" t="s" s="14282">
        <v>702</v>
      </c>
      <c r="F18" t="s" s="14283">
        <v>655</v>
      </c>
      <c r="G18" t="n" s="14284">
        <v>42840.0</v>
      </c>
      <c r="H18" t="n" s="14285">
        <v>43316.0</v>
      </c>
      <c r="I18" t="n" s="14286">
        <v>1060.0</v>
      </c>
      <c r="J18" t="n" s="14287">
        <v>100.0</v>
      </c>
      <c r="K18" t="n" s="14288">
        <v>-3.23</v>
      </c>
      <c r="L18" t="n" s="14289">
        <v>3150.0</v>
      </c>
      <c r="M18" t="n" s="14290">
        <v>0.0</v>
      </c>
      <c r="N18" t="n" s="14291">
        <v>27.55</v>
      </c>
      <c r="O18" t="n" s="14292">
        <v>60.0</v>
      </c>
      <c r="P18" t="n" s="14293">
        <v>0.0</v>
      </c>
      <c r="Q18" t="n" s="14294">
        <v>0.5</v>
      </c>
      <c r="R18" t="n" s="14295">
        <v>3.61</v>
      </c>
      <c r="S18" t="n" s="14296">
        <v>8.0</v>
      </c>
      <c r="T18" t="n" s="14297">
        <v>76.96</v>
      </c>
      <c r="U18" t="n" s="14298">
        <v>0.0</v>
      </c>
      <c r="V18" t="n" s="14299">
        <v>0.0</v>
      </c>
      <c r="W18" s="14300">
        <f>r18+t18+v18</f>
      </c>
      <c r="X18" t="n" s="14301">
        <v>-32.26</v>
      </c>
      <c r="Y18" t="n" s="14302">
        <v>0.0</v>
      </c>
      <c r="Z18" t="n" s="14303">
        <v>0.0</v>
      </c>
      <c r="AA18" s="14304">
        <f>i18+j18+k18+l18+m18+n18+o18+p18+x18+y18+z18</f>
      </c>
      <c r="AB18" t="n" s="14305">
        <v>1234.0</v>
      </c>
      <c r="AC18" t="n" s="14306">
        <v>138.1</v>
      </c>
      <c r="AD18" t="n" s="14307">
        <v>15.8</v>
      </c>
      <c r="AE18" t="n" s="14308">
        <v>80.0</v>
      </c>
      <c r="AF18" s="14309">
        <f>ROUND((aa18+ab18+ac18+ad18+ae18),2)</f>
      </c>
      <c r="AG18" s="14310">
        <f>af18*0.06</f>
      </c>
      <c r="AH18" s="14311">
        <f>af18+ag18</f>
      </c>
      <c r="AI18" t="s" s="14312">
        <v>0</v>
      </c>
    </row>
    <row r="19" ht="15.0" customHeight="true">
      <c r="A19" t="s" s="14313">
        <v>0</v>
      </c>
      <c r="B19" t="s" s="14314">
        <v>0</v>
      </c>
      <c r="C19" t="s" s="14315">
        <v>0</v>
      </c>
      <c r="D19" t="s" s="14316">
        <v>0</v>
      </c>
      <c r="E19" t="s" s="14317">
        <v>0</v>
      </c>
      <c r="F19" t="s" s="14318">
        <v>0</v>
      </c>
      <c r="G19" t="s" s="14319">
        <v>0</v>
      </c>
      <c r="H19" t="s" s="14320">
        <v>0</v>
      </c>
      <c r="I19" s="14321">
        <f>SUM(i8:i18)</f>
      </c>
      <c r="J19" s="14322">
        <f>SUM(j8:j18)</f>
      </c>
      <c r="K19" s="14323">
        <f>SUM(k8:k18)</f>
      </c>
      <c r="L19" s="14324">
        <f>SUM(l8:l18)</f>
      </c>
      <c r="M19" s="14325">
        <f>SUM(m8:m18)</f>
      </c>
      <c r="N19" s="14326">
        <f>SUM(n8:n18)</f>
      </c>
      <c r="O19" s="14327">
        <f>SUM(o8:o18)</f>
      </c>
      <c r="P19" s="14328">
        <f>SUM(p8:p18)</f>
      </c>
      <c r="Q19" s="14329">
        <f>SUM(q8:q18)</f>
      </c>
      <c r="R19" s="14330">
        <f>SUM(r8:r18)</f>
      </c>
      <c r="S19" s="14331">
        <f>SUM(s8:s18)</f>
      </c>
      <c r="T19" s="14332">
        <f>SUM(t8:t18)</f>
      </c>
      <c r="U19" s="14333">
        <f>SUM(u8:u18)</f>
      </c>
      <c r="V19" s="14334">
        <f>SUM(v8:v18)</f>
      </c>
      <c r="W19" s="14335">
        <f>SUM(w8:w18)</f>
      </c>
      <c r="X19" s="14336">
        <f>SUM(x8:x18)</f>
      </c>
      <c r="Y19" s="14337">
        <f>SUM(y8:y18)</f>
      </c>
      <c r="Z19" s="14338">
        <f>SUM(z8:z18)</f>
      </c>
      <c r="AA19" s="14339">
        <f>SUM(aa8:aa18)</f>
      </c>
      <c r="AB19" s="14340">
        <f>SUM(ab8:ab18)</f>
      </c>
      <c r="AC19" s="14341">
        <f>SUM(ac8:ac18)</f>
      </c>
      <c r="AD19" s="14342">
        <f>SUM(ad8:ad18)</f>
      </c>
      <c r="AE19" s="14343">
        <f>SUM(ae8:ae18)</f>
      </c>
      <c r="AF19" s="14344">
        <f>SUM(af8:af18)</f>
      </c>
      <c r="AG19" s="14345">
        <f>SUM(ag8:ag18)</f>
      </c>
      <c r="AH19" s="14346">
        <f>SUM(ah8:ah18)</f>
      </c>
      <c r="AI19" t="s" s="14347">
        <v>0</v>
      </c>
    </row>
    <row r="20" ht="15.0" customHeight="true"/>
    <row r="21" ht="15.0" customHeight="true">
      <c r="A21" t="s" s="14348">
        <v>0</v>
      </c>
      <c r="B21" t="s" s="14349">
        <v>0</v>
      </c>
      <c r="C21" t="s" s="14350">
        <v>0</v>
      </c>
      <c r="D21" t="s" s="14351">
        <v>703</v>
      </c>
    </row>
    <row r="22" ht="15.0" customHeight="true">
      <c r="D22" s="14352">
        <f>COUNTA(A8:A18)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2018-12-28T09:55:01Z</dcterms:created>
  <dc:creator>Apache POI</dc:creator>
</coreProperties>
</file>