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Johor" r:id="rId5" sheetId="3"/>
    <sheet name="CPD North Penang" r:id="rId6" sheetId="4"/>
    <sheet name="CPD North Perak" r:id="rId7" sheetId="5"/>
  </sheets>
</workbook>
</file>

<file path=xl/sharedStrings.xml><?xml version="1.0" encoding="utf-8"?>
<sst xmlns="http://schemas.openxmlformats.org/spreadsheetml/2006/main" count="2879" uniqueCount="324">
  <si>
    <t/>
  </si>
  <si>
    <t>Company Name:L'OREAL MALAYSIA SDN BHD</t>
  </si>
  <si>
    <t>Report ID: Monthly Payroll Report</t>
  </si>
  <si>
    <t>Report Title: Monthly Payroll Report</t>
  </si>
  <si>
    <t>For Year 2019</t>
  </si>
  <si>
    <t>OCT</t>
  </si>
  <si>
    <t>SEP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</si>
  <si>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</si>
  <si>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</si>
  <si>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</si>
  <si>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</si>
  <si>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</si>
  <si>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</si>
  <si>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</si>
  <si>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</si>
  <si>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</si>
  <si>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</si>
  <si>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</si>
  <si>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</si>
  <si>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</si>
  <si>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</si>
  <si>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</si>
  <si>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</si>
  <si>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</si>
  <si>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</si>
  <si>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</si>
  <si>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</si>
  <si>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</si>
  <si>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</si>
  <si>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</si>
  <si>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</si>
  <si>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</si>
  <si>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</si>
  <si>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</si>
  <si>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</si>
  <si>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</si>
  <si>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</si>
  <si>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</si>
  <si>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</si>
  <si>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</si>
  <si>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</si>
  <si>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</si>
  <si>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100121440</t>
  </si>
  <si>
    <t>200154904</t>
  </si>
  <si>
    <t>Norziyah Binti Md Yusup</t>
  </si>
  <si>
    <t>800713-06-5548</t>
  </si>
  <si>
    <t>CPD Central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</si>
  <si>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</si>
  <si>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</si>
  <si>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</si>
  <si>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</si>
  <si>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</si>
  <si>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</si>
  <si>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</si>
  <si>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</si>
  <si>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UPL on 1 day(s) in SEP,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</si>
  <si>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</si>
  <si>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</si>
  <si>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</si>
  <si>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</si>
  <si>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</si>
  <si>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</si>
  <si>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</si>
  <si>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</si>
  <si>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</si>
  <si>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</si>
  <si>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</si>
  <si>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</si>
  <si>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</si>
  <si>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</si>
  <si>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</si>
  <si>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</si>
  <si>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</si>
  <si>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</si>
  <si>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</si>
  <si>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</si>
  <si>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</si>
  <si>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</si>
  <si>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</si>
  <si>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</si>
  <si>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</si>
  <si>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</si>
  <si>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</si>
  <si>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</si>
  <si>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</si>
  <si>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</si>
  <si>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</si>
  <si>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</si>
  <si>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</si>
  <si>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</si>
  <si>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</si>
  <si>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</si>
  <si>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</si>
  <si>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</si>
  <si>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</si>
  <si>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</si>
  <si>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</si>
  <si>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</si>
  <si>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</si>
  <si>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</si>
  <si>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</si>
  <si>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</si>
  <si>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</si>
  <si>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</si>
  <si>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</si>
  <si>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</si>
  <si>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</si>
  <si>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</si>
  <si>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</si>
  <si>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</si>
  <si>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</si>
  <si>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</si>
  <si>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</si>
  <si>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</si>
  <si>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</si>
  <si>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</si>
  <si>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</si>
  <si>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</si>
  <si>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</si>
  <si>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</si>
  <si>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</si>
  <si>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</si>
  <si>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</si>
  <si>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</si>
  <si>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</si>
  <si>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</si>
  <si>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</si>
  <si>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</si>
  <si>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</si>
  <si>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</si>
  <si>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</si>
  <si>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</si>
  <si>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</si>
  <si>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</si>
  <si>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</si>
  <si>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</si>
  <si>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</si>
  <si>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</si>
  <si>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</si>
  <si>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</si>
  <si>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</si>
  <si>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</si>
  <si>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</si>
  <si>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</si>
  <si>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</si>
  <si>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</si>
  <si>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</si>
  <si>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</si>
  <si>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</si>
  <si>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</si>
  <si>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</si>
  <si>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</si>
  <si>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</si>
  <si>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</si>
  <si>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</si>
  <si>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</si>
  <si>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</si>
  <si>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</si>
  <si>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</si>
  <si>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</si>
  <si>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</si>
  <si>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</si>
  <si>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</si>
  <si>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</si>
  <si>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</si>
  <si>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</si>
  <si>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</si>
  <si>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</si>
  <si>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</si>
  <si>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</si>
  <si>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</si>
  <si>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</si>
  <si>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100140166</t>
  </si>
  <si>
    <t>200160124</t>
  </si>
  <si>
    <t>Soh Siew Yen</t>
  </si>
  <si>
    <t>870502-05-5140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</si>
  <si>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</si>
  <si>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</si>
  <si>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</si>
  <si>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</si>
  <si>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</si>
  <si>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</si>
  <si>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</si>
  <si>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</si>
  <si>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</si>
  <si>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</si>
  <si>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</si>
  <si>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</si>
  <si>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</si>
  <si>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</si>
  <si>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</si>
  <si>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</si>
  <si>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</si>
  <si>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</si>
  <si>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</si>
  <si>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</si>
  <si>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</si>
  <si>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</si>
  <si>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</si>
  <si>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</si>
  <si>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</si>
  <si>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</si>
  <si>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</si>
  <si>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</si>
  <si>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</si>
  <si>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</si>
  <si>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</si>
  <si>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</si>
  <si>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</si>
  <si>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</si>
  <si>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</si>
  <si>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</si>
  <si>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</si>
  <si>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</si>
  <si>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</si>
  <si>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</si>
  <si>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</si>
  <si>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</si>
  <si>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</si>
  <si>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</si>
  <si>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</si>
  <si>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</si>
  <si>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</si>
  <si>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</si>
  <si>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</si>
  <si>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</si>
  <si>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</si>
  <si>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</si>
  <si>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</si>
  <si>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</si>
  <si>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</si>
  <si>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</si>
  <si>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</si>
  <si>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</si>
  <si>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</si>
  <si>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</si>
  <si>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</si>
  <si>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</si>
  <si>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</si>
  <si>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</si>
  <si>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</si>
  <si>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</si>
  <si>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</si>
  <si>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</si>
  <si>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</si>
  <si>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</si>
  <si>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</si>
  <si>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</si>
  <si>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</si>
  <si>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</si>
  <si>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</si>
  <si>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</si>
  <si>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</si>
  <si>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</si>
  <si>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</si>
  <si>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</si>
  <si>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</si>
  <si>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</si>
  <si>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</si>
  <si>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</si>
  <si>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</si>
  <si>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</si>
  <si>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</si>
  <si>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</si>
  <si>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</si>
  <si>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</si>
  <si>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</si>
  <si>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</si>
  <si>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</si>
  <si>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</si>
  <si>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</si>
  <si>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</si>
  <si>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</si>
  <si>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</si>
  <si>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</si>
  <si>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</si>
  <si>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</si>
  <si>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</si>
  <si>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</si>
  <si>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</si>
  <si>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</si>
  <si>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</si>
  <si>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</si>
  <si>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</si>
  <si>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</si>
  <si>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</si>
  <si>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</si>
  <si>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</si>
  <si>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</si>
  <si>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</si>
  <si>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</si>
  <si>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</si>
  <si>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</si>
  <si>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</si>
  <si>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100140195</t>
  </si>
  <si>
    <t>200160149</t>
  </si>
  <si>
    <t>Siti Nur Shuhada Binti Hairol Nizam</t>
  </si>
  <si>
    <t>971003-09-5116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</si>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</sst>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7542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4411">
        <v>5</v>
      </c>
      <c r="AD4" t="n" s="4413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4412">
        <v>6</v>
      </c>
      <c r="AD5" t="n" s="4414">
        <v>2019.0</v>
      </c>
    </row>
    <row r="6"/>
    <row r="7" ht="35.0" customHeight="true">
      <c r="A7" t="s" s="4341">
        <v>7</v>
      </c>
      <c r="B7" t="s" s="4342">
        <v>8</v>
      </c>
      <c r="C7" t="s" s="4343">
        <v>9</v>
      </c>
      <c r="D7" t="s" s="4344">
        <v>10</v>
      </c>
      <c r="E7" t="s" s="4345">
        <v>11</v>
      </c>
      <c r="F7" t="s" s="4346">
        <v>12</v>
      </c>
      <c r="G7" t="s" s="4347">
        <v>13</v>
      </c>
      <c r="H7" t="s" s="4348">
        <v>14</v>
      </c>
      <c r="I7" t="s" s="4349">
        <v>15</v>
      </c>
      <c r="J7" t="s" s="4350">
        <v>16</v>
      </c>
      <c r="K7" t="s" s="4351">
        <v>17</v>
      </c>
      <c r="L7" t="s" s="4352">
        <v>18</v>
      </c>
      <c r="M7" t="s" s="4353">
        <v>19</v>
      </c>
      <c r="N7" t="s" s="4354">
        <v>20</v>
      </c>
      <c r="O7" t="s" s="4355">
        <v>21</v>
      </c>
      <c r="P7" t="s" s="4356">
        <v>22</v>
      </c>
      <c r="Q7" t="s" s="4357">
        <v>23</v>
      </c>
      <c r="R7" t="s" s="4358">
        <v>24</v>
      </c>
      <c r="S7" t="s" s="4359">
        <v>25</v>
      </c>
      <c r="T7" t="s" s="4360">
        <v>26</v>
      </c>
      <c r="U7" t="s" s="4361">
        <v>27</v>
      </c>
      <c r="V7" t="s" s="4362">
        <v>28</v>
      </c>
      <c r="W7" t="s" s="4363">
        <v>29</v>
      </c>
      <c r="X7" t="s" s="4364">
        <v>30</v>
      </c>
      <c r="Y7" t="s" s="4365">
        <v>31</v>
      </c>
      <c r="Z7" t="s" s="4366">
        <v>32</v>
      </c>
      <c r="AA7" t="s" s="4367">
        <v>33</v>
      </c>
      <c r="AB7" t="s" s="4368">
        <v>34</v>
      </c>
      <c r="AC7" t="s" s="4369">
        <v>35</v>
      </c>
      <c r="AD7" t="s" s="4370">
        <v>36</v>
      </c>
      <c r="AE7" t="s" s="4371">
        <v>37</v>
      </c>
      <c r="AF7" t="s" s="4372">
        <v>38</v>
      </c>
      <c r="AG7" t="s" s="4373">
        <v>39</v>
      </c>
      <c r="AH7" t="s" s="4374">
        <v>40</v>
      </c>
      <c r="AI7" t="s" s="4375">
        <v>41</v>
      </c>
    </row>
    <row r="8">
      <c r="A8" t="s" s="1891">
        <v>42</v>
      </c>
      <c r="B8" t="s" s="1892">
        <v>43</v>
      </c>
      <c r="C8" t="s" s="1893">
        <v>44</v>
      </c>
      <c r="D8" t="s" s="1894">
        <v>45</v>
      </c>
      <c r="E8" t="s" s="1895">
        <v>46</v>
      </c>
      <c r="F8" t="n" s="4415">
        <v>41944.0</v>
      </c>
      <c r="G8" t="s" s="4416">
        <v>0</v>
      </c>
      <c r="H8" t="n" s="1898">
        <v>1470.0</v>
      </c>
      <c r="I8" t="n" s="1899">
        <v>100.0</v>
      </c>
      <c r="J8" t="n" s="1900">
        <v>0.0</v>
      </c>
      <c r="K8" t="n" s="1901">
        <v>1911.86</v>
      </c>
      <c r="L8" t="n" s="1902">
        <v>0.0</v>
      </c>
      <c r="M8" t="n" s="1903">
        <v>10.0</v>
      </c>
      <c r="N8" t="n" s="1904">
        <v>0.0</v>
      </c>
      <c r="O8" t="n" s="1905">
        <v>0.0</v>
      </c>
      <c r="P8" t="n" s="1906">
        <v>38.5</v>
      </c>
      <c r="Q8" t="n" s="1907">
        <v>408.1</v>
      </c>
      <c r="R8" t="n" s="1908">
        <v>16.0</v>
      </c>
      <c r="S8" t="n" s="1909">
        <v>226.08</v>
      </c>
      <c r="T8" t="n" s="1910">
        <v>5.5</v>
      </c>
      <c r="U8" t="n" s="1911">
        <v>116.6</v>
      </c>
      <c r="V8" t="n" s="1912">
        <v>0.0</v>
      </c>
      <c r="W8" t="n" s="1913">
        <f>q8+s8+u8+v8</f>
      </c>
      <c r="X8" t="n" s="1914">
        <v>0.0</v>
      </c>
      <c r="Y8" t="n" s="1915">
        <v>0.0</v>
      </c>
      <c r="Z8" t="n" s="1916">
        <v>0.0</v>
      </c>
      <c r="AA8" t="n" s="1917">
        <f>h8+i8+j8+k8+l8+m8+n8+o8+w8+x8+y8+z8</f>
      </c>
      <c r="AB8" t="n" s="1918">
        <v>455.0</v>
      </c>
      <c r="AC8" t="n" s="1919">
        <v>69.05</v>
      </c>
      <c r="AD8" t="n" s="1920">
        <v>7.9</v>
      </c>
      <c r="AE8" t="n" s="1921">
        <v>80.0</v>
      </c>
      <c r="AF8" t="n" s="1922">
        <f>ROUND((aa8+ab8+ac8+ad8+ae8),2)</f>
      </c>
      <c r="AG8" t="n" s="1923">
        <f>ae8*0.06</f>
      </c>
      <c r="AH8" t="n" s="1924">
        <f>af8+ag8</f>
      </c>
      <c r="AI8" t="s" s="1925">
        <v>0</v>
      </c>
    </row>
    <row r="9">
      <c r="A9" t="s" s="1926">
        <v>47</v>
      </c>
      <c r="B9" t="s" s="1927">
        <v>48</v>
      </c>
      <c r="C9" t="s" s="1928">
        <v>49</v>
      </c>
      <c r="D9" t="s" s="1929">
        <v>50</v>
      </c>
      <c r="E9" t="s" s="1930">
        <v>46</v>
      </c>
      <c r="F9" t="n" s="4417">
        <v>42700.0</v>
      </c>
      <c r="G9" t="s" s="4418">
        <v>0</v>
      </c>
      <c r="H9" t="n" s="1933">
        <v>1420.0</v>
      </c>
      <c r="I9" t="n" s="1934">
        <v>100.0</v>
      </c>
      <c r="J9" t="n" s="1935">
        <v>0.0</v>
      </c>
      <c r="K9" t="n" s="1936">
        <v>600.0</v>
      </c>
      <c r="L9" t="n" s="1937">
        <v>0.0</v>
      </c>
      <c r="M9" t="n" s="1938">
        <v>10.0</v>
      </c>
      <c r="N9" t="n" s="1939">
        <v>0.0</v>
      </c>
      <c r="O9" t="n" s="1940">
        <v>0.0</v>
      </c>
      <c r="P9" t="n" s="1941">
        <v>0.0</v>
      </c>
      <c r="Q9" t="n" s="1942">
        <v>0.0</v>
      </c>
      <c r="R9" t="n" s="1943">
        <v>16.0</v>
      </c>
      <c r="S9" t="n" s="1944">
        <v>218.4</v>
      </c>
      <c r="T9" t="n" s="1945">
        <v>0.0</v>
      </c>
      <c r="U9" t="n" s="1946">
        <v>0.0</v>
      </c>
      <c r="V9" t="n" s="1947">
        <v>0.0</v>
      </c>
      <c r="W9" t="n" s="1948">
        <f>q9+s9+u9+v9</f>
      </c>
      <c r="X9" t="n" s="1949">
        <v>0.0</v>
      </c>
      <c r="Y9" t="n" s="1950">
        <v>0.0</v>
      </c>
      <c r="Z9" t="n" s="1951">
        <v>0.0</v>
      </c>
      <c r="AA9" t="n" s="1952">
        <f>h9+i9+j9+k9+l9+m9+n9+o9+w9+x9+y9+z9</f>
      </c>
      <c r="AB9" t="n" s="1953">
        <v>276.0</v>
      </c>
      <c r="AC9" t="n" s="1954">
        <v>41.15</v>
      </c>
      <c r="AD9" t="n" s="1955">
        <v>4.7</v>
      </c>
      <c r="AE9" t="n" s="1956">
        <v>80.0</v>
      </c>
      <c r="AF9" t="n" s="1957">
        <f>ROUND((aa9+ab9+ac9+ad9+ae9),2)</f>
      </c>
      <c r="AG9" t="n" s="1958">
        <f>ae9*0.06</f>
      </c>
      <c r="AH9" t="n" s="1959">
        <f>af9+ag9</f>
      </c>
      <c r="AI9" t="s" s="1960">
        <v>0</v>
      </c>
    </row>
    <row r="10">
      <c r="A10" t="s" s="1961">
        <v>51</v>
      </c>
      <c r="B10" t="s" s="1962">
        <v>52</v>
      </c>
      <c r="C10" t="s" s="1963">
        <v>53</v>
      </c>
      <c r="D10" t="s" s="1964">
        <v>54</v>
      </c>
      <c r="E10" t="s" s="1965">
        <v>46</v>
      </c>
      <c r="F10" t="n" s="4419">
        <v>41944.0</v>
      </c>
      <c r="G10" t="s" s="4420">
        <v>0</v>
      </c>
      <c r="H10" t="n" s="1968">
        <v>1350.0</v>
      </c>
      <c r="I10" t="n" s="1969">
        <v>96.62</v>
      </c>
      <c r="J10" t="n" s="1970">
        <v>0.0</v>
      </c>
      <c r="K10" t="n" s="1971">
        <v>650.0</v>
      </c>
      <c r="L10" t="n" s="1972">
        <v>0.0</v>
      </c>
      <c r="M10" t="n" s="1973">
        <v>0.0</v>
      </c>
      <c r="N10" t="n" s="1974">
        <v>0.0</v>
      </c>
      <c r="O10" t="n" s="1975">
        <v>0.0</v>
      </c>
      <c r="P10" t="n" s="1976">
        <v>5.0</v>
      </c>
      <c r="Q10" t="n" s="1977">
        <v>48.7</v>
      </c>
      <c r="R10" t="n" s="1978">
        <v>16.0</v>
      </c>
      <c r="S10" t="n" s="1979">
        <v>207.68</v>
      </c>
      <c r="T10" t="n" s="1980">
        <v>0.0</v>
      </c>
      <c r="U10" t="n" s="1981">
        <v>0.0</v>
      </c>
      <c r="V10" t="n" s="1982">
        <v>0.0</v>
      </c>
      <c r="W10" t="n" s="1983">
        <f>q10+s10+u10+v10</f>
      </c>
      <c r="X10" t="n" s="1984">
        <v>-45.0</v>
      </c>
      <c r="Y10" t="n" s="1985">
        <v>0.0</v>
      </c>
      <c r="Z10" t="n" s="1986">
        <v>0.0</v>
      </c>
      <c r="AA10" t="n" s="1987">
        <f>h10+i10+j10+k10+l10+m10+n10+o10+w10+x10+y10+z10</f>
      </c>
      <c r="AB10" t="n" s="1988">
        <v>268.0</v>
      </c>
      <c r="AC10" t="n" s="1989">
        <v>41.15</v>
      </c>
      <c r="AD10" t="n" s="1990">
        <v>4.7</v>
      </c>
      <c r="AE10" t="n" s="1991">
        <v>80.0</v>
      </c>
      <c r="AF10" t="n" s="1992">
        <f>ROUND((aa10+ab10+ac10+ad10+ae10),2)</f>
      </c>
      <c r="AG10" t="n" s="1993">
        <f>ae10*0.06</f>
      </c>
      <c r="AH10" t="n" s="1994">
        <f>af10+ag10</f>
      </c>
      <c r="AI10" t="s" s="1995">
        <v>55</v>
      </c>
    </row>
    <row r="11">
      <c r="A11" t="s" s="1996">
        <v>56</v>
      </c>
      <c r="B11" t="s" s="1997">
        <v>57</v>
      </c>
      <c r="C11" t="s" s="1998">
        <v>58</v>
      </c>
      <c r="D11" t="s" s="1999">
        <v>59</v>
      </c>
      <c r="E11" t="s" s="2000">
        <v>46</v>
      </c>
      <c r="F11" t="n" s="4421">
        <v>41944.0</v>
      </c>
      <c r="G11" t="s" s="4422">
        <v>0</v>
      </c>
      <c r="H11" t="n" s="2003">
        <v>1280.0</v>
      </c>
      <c r="I11" t="n" s="2004">
        <v>100.0</v>
      </c>
      <c r="J11" t="n" s="2005">
        <v>0.0</v>
      </c>
      <c r="K11" t="n" s="2006">
        <v>433.35</v>
      </c>
      <c r="L11" t="n" s="2007">
        <v>0.0</v>
      </c>
      <c r="M11" t="n" s="2008">
        <v>0.0</v>
      </c>
      <c r="N11" t="n" s="2009">
        <v>0.0</v>
      </c>
      <c r="O11" t="n" s="2010">
        <v>0.0</v>
      </c>
      <c r="P11" t="n" s="2011">
        <v>0.0</v>
      </c>
      <c r="Q11" t="n" s="2012">
        <v>0.0</v>
      </c>
      <c r="R11" t="n" s="2013">
        <v>0.0</v>
      </c>
      <c r="S11" t="n" s="2014">
        <v>0.0</v>
      </c>
      <c r="T11" t="n" s="2015">
        <v>0.0</v>
      </c>
      <c r="U11" t="n" s="2016">
        <v>0.0</v>
      </c>
      <c r="V11" t="n" s="2017">
        <v>0.0</v>
      </c>
      <c r="W11" t="n" s="2018">
        <f>q11+s11+u11+v11</f>
      </c>
      <c r="X11" t="n" s="2019">
        <v>0.0</v>
      </c>
      <c r="Y11" t="n" s="2020">
        <v>0.0</v>
      </c>
      <c r="Z11" t="n" s="2021">
        <v>0.0</v>
      </c>
      <c r="AA11" t="n" s="2022">
        <f>h11+i11+j11+k11+l11+m11+n11+o11+w11+x11+y11+z11</f>
      </c>
      <c r="AB11" t="n" s="2023">
        <v>237.0</v>
      </c>
      <c r="AC11" t="n" s="2024">
        <v>32.35</v>
      </c>
      <c r="AD11" t="n" s="2025">
        <v>3.7</v>
      </c>
      <c r="AE11" t="n" s="2026">
        <v>80.0</v>
      </c>
      <c r="AF11" t="n" s="2027">
        <f>ROUND((aa11+ab11+ac11+ad11+ae11),2)</f>
      </c>
      <c r="AG11" t="n" s="2028">
        <f>ae11*0.06</f>
      </c>
      <c r="AH11" t="n" s="2029">
        <f>af11+ag11</f>
      </c>
      <c r="AI11" t="s" s="2030">
        <v>0</v>
      </c>
    </row>
    <row r="12">
      <c r="A12" t="s" s="2031">
        <v>60</v>
      </c>
      <c r="B12" t="s" s="2032">
        <v>61</v>
      </c>
      <c r="C12" t="s" s="2033">
        <v>62</v>
      </c>
      <c r="D12" t="s" s="2034">
        <v>63</v>
      </c>
      <c r="E12" t="s" s="2035">
        <v>46</v>
      </c>
      <c r="F12" t="n" s="4423">
        <v>41944.0</v>
      </c>
      <c r="G12" t="s" s="4424">
        <v>0</v>
      </c>
      <c r="H12" t="n" s="2038">
        <v>1710.0</v>
      </c>
      <c r="I12" t="n" s="2039">
        <v>100.0</v>
      </c>
      <c r="J12" t="n" s="2040">
        <v>0.0</v>
      </c>
      <c r="K12" t="n" s="2041">
        <v>1801.52</v>
      </c>
      <c r="L12" t="n" s="2042">
        <v>0.0</v>
      </c>
      <c r="M12" t="n" s="2043">
        <v>53.84</v>
      </c>
      <c r="N12" t="n" s="2044">
        <v>0.0</v>
      </c>
      <c r="O12" t="n" s="2045">
        <v>0.0</v>
      </c>
      <c r="P12" t="n" s="2046">
        <v>35.5</v>
      </c>
      <c r="Q12" t="n" s="2047">
        <v>437.72</v>
      </c>
      <c r="R12" t="n" s="2048">
        <v>16.0</v>
      </c>
      <c r="S12" t="n" s="2049">
        <v>263.04</v>
      </c>
      <c r="T12" t="n" s="2050">
        <v>5.5</v>
      </c>
      <c r="U12" t="n" s="2051">
        <v>135.63</v>
      </c>
      <c r="V12" t="n" s="2052">
        <v>0.0</v>
      </c>
      <c r="W12" t="n" s="2053">
        <f>q12+s12+u12+v12</f>
      </c>
      <c r="X12" t="n" s="2054">
        <v>0.0</v>
      </c>
      <c r="Y12" t="n" s="2055">
        <v>0.0</v>
      </c>
      <c r="Z12" t="n" s="2056">
        <v>0.0</v>
      </c>
      <c r="AA12" t="n" s="2057">
        <f>h12+i12+j12+k12+l12+m12+n12+o12+w12+x12+y12+z12</f>
      </c>
      <c r="AB12" t="n" s="2058">
        <v>474.0</v>
      </c>
      <c r="AC12" t="n" s="2059">
        <v>69.05</v>
      </c>
      <c r="AD12" t="n" s="2060">
        <v>7.9</v>
      </c>
      <c r="AE12" t="n" s="2061">
        <v>80.0</v>
      </c>
      <c r="AF12" t="n" s="2062">
        <f>ROUND((aa12+ab12+ac12+ad12+ae12),2)</f>
      </c>
      <c r="AG12" t="n" s="2063">
        <f>ae12*0.06</f>
      </c>
      <c r="AH12" t="n" s="2064">
        <f>af12+ag12</f>
      </c>
      <c r="AI12" t="s" s="2065">
        <v>0</v>
      </c>
    </row>
    <row r="13">
      <c r="A13" t="s" s="2066">
        <v>64</v>
      </c>
      <c r="B13" t="s" s="2067">
        <v>65</v>
      </c>
      <c r="C13" t="s" s="2068">
        <v>66</v>
      </c>
      <c r="D13" t="s" s="2069">
        <v>67</v>
      </c>
      <c r="E13" t="s" s="2070">
        <v>46</v>
      </c>
      <c r="F13" t="n" s="4425">
        <v>41944.0</v>
      </c>
      <c r="G13" t="s" s="4426">
        <v>0</v>
      </c>
      <c r="H13" t="n" s="2073">
        <v>1430.0</v>
      </c>
      <c r="I13" t="n" s="2074">
        <v>100.0</v>
      </c>
      <c r="J13" t="n" s="2075">
        <v>0.0</v>
      </c>
      <c r="K13" t="n" s="2076">
        <v>1454.0</v>
      </c>
      <c r="L13" t="n" s="2077">
        <v>0.0</v>
      </c>
      <c r="M13" t="n" s="2078">
        <v>39.89</v>
      </c>
      <c r="N13" t="n" s="2079">
        <v>0.0</v>
      </c>
      <c r="O13" t="n" s="2080">
        <v>0.0</v>
      </c>
      <c r="P13" t="n" s="2081">
        <v>9.0</v>
      </c>
      <c r="Q13" t="n" s="2082">
        <v>92.79</v>
      </c>
      <c r="R13" t="n" s="2083">
        <v>8.0</v>
      </c>
      <c r="S13" t="n" s="2084">
        <v>110.0</v>
      </c>
      <c r="T13" t="n" s="2085">
        <v>5.5</v>
      </c>
      <c r="U13" t="n" s="2086">
        <v>113.47</v>
      </c>
      <c r="V13" t="n" s="2087">
        <v>0.0</v>
      </c>
      <c r="W13" t="n" s="2088">
        <f>q13+s13+u13+v13</f>
      </c>
      <c r="X13" t="n" s="2089">
        <v>0.0</v>
      </c>
      <c r="Y13" t="n" s="2090">
        <v>0.0</v>
      </c>
      <c r="Z13" t="n" s="2091">
        <v>0.0</v>
      </c>
      <c r="AA13" t="n" s="2092">
        <f>h13+i13+j13+k13+l13+m13+n13+o13+w13+x13+y13+z13</f>
      </c>
      <c r="AB13" t="n" s="2093">
        <v>390.0</v>
      </c>
      <c r="AC13" t="n" s="2094">
        <v>58.65</v>
      </c>
      <c r="AD13" t="n" s="2095">
        <v>6.7</v>
      </c>
      <c r="AE13" t="n" s="2096">
        <v>80.0</v>
      </c>
      <c r="AF13" t="n" s="2097">
        <f>ROUND((aa13+ab13+ac13+ad13+ae13),2)</f>
      </c>
      <c r="AG13" t="n" s="2098">
        <f>ae13*0.06</f>
      </c>
      <c r="AH13" t="n" s="2099">
        <f>af13+ag13</f>
      </c>
      <c r="AI13" t="s" s="2100">
        <v>0</v>
      </c>
    </row>
    <row r="14">
      <c r="A14" t="s" s="2101">
        <v>68</v>
      </c>
      <c r="B14" t="s" s="2102">
        <v>69</v>
      </c>
      <c r="C14" t="s" s="2103">
        <v>70</v>
      </c>
      <c r="D14" t="s" s="2104">
        <v>71</v>
      </c>
      <c r="E14" t="s" s="2105">
        <v>46</v>
      </c>
      <c r="F14" t="n" s="4427">
        <v>41944.0</v>
      </c>
      <c r="G14" t="s" s="4428">
        <v>0</v>
      </c>
      <c r="H14" t="n" s="2108">
        <v>1510.0</v>
      </c>
      <c r="I14" t="n" s="2109">
        <v>100.0</v>
      </c>
      <c r="J14" t="n" s="2110">
        <v>0.0</v>
      </c>
      <c r="K14" t="n" s="2111">
        <v>10840.55</v>
      </c>
      <c r="L14" t="n" s="2112">
        <v>0.0</v>
      </c>
      <c r="M14" t="n" s="2113">
        <v>76.15</v>
      </c>
      <c r="N14" t="n" s="2114">
        <v>0.0</v>
      </c>
      <c r="O14" t="n" s="2115">
        <v>0.0</v>
      </c>
      <c r="P14" t="n" s="2116">
        <v>0.0</v>
      </c>
      <c r="Q14" t="n" s="2117">
        <v>0.0</v>
      </c>
      <c r="R14" t="n" s="2118">
        <v>0.0</v>
      </c>
      <c r="S14" t="n" s="2119">
        <v>0.0</v>
      </c>
      <c r="T14" t="n" s="2120">
        <v>0.0</v>
      </c>
      <c r="U14" t="n" s="2121">
        <v>0.0</v>
      </c>
      <c r="V14" t="n" s="2122">
        <v>0.0</v>
      </c>
      <c r="W14" t="n" s="2123">
        <f>q14+s14+u14+v14</f>
      </c>
      <c r="X14" t="n" s="2124">
        <v>0.0</v>
      </c>
      <c r="Y14" t="n" s="2125">
        <v>0.0</v>
      </c>
      <c r="Z14" t="n" s="2126">
        <v>0.0</v>
      </c>
      <c r="AA14" t="n" s="2127">
        <f>h14+i14+j14+k14+l14+m14+n14+o14+w14+x14+y14+z14</f>
      </c>
      <c r="AB14" t="n" s="2128">
        <v>1625.0</v>
      </c>
      <c r="AC14" t="n" s="2129">
        <v>69.05</v>
      </c>
      <c r="AD14" t="n" s="2130">
        <v>7.9</v>
      </c>
      <c r="AE14" t="n" s="2131">
        <v>80.0</v>
      </c>
      <c r="AF14" t="n" s="2132">
        <f>ROUND((aa14+ab14+ac14+ad14+ae14),2)</f>
      </c>
      <c r="AG14" t="n" s="2133">
        <f>ae14*0.06</f>
      </c>
      <c r="AH14" t="n" s="2134">
        <f>af14+ag14</f>
      </c>
      <c r="AI14" t="s" s="2135">
        <v>0</v>
      </c>
    </row>
    <row r="15">
      <c r="A15" t="s" s="2136">
        <v>72</v>
      </c>
      <c r="B15" t="s" s="2137">
        <v>73</v>
      </c>
      <c r="C15" t="s" s="2138">
        <v>74</v>
      </c>
      <c r="D15" t="s" s="2139">
        <v>75</v>
      </c>
      <c r="E15" t="s" s="2140">
        <v>46</v>
      </c>
      <c r="F15" t="n" s="4429">
        <v>42811.0</v>
      </c>
      <c r="G15" t="s" s="4430">
        <v>0</v>
      </c>
      <c r="H15" t="n" s="2143">
        <v>1390.0</v>
      </c>
      <c r="I15" t="n" s="2144">
        <v>100.0</v>
      </c>
      <c r="J15" t="n" s="2145">
        <v>0.0</v>
      </c>
      <c r="K15" t="n" s="2146">
        <v>800.0</v>
      </c>
      <c r="L15" t="n" s="2147">
        <v>0.0</v>
      </c>
      <c r="M15" t="n" s="2148">
        <v>0.0</v>
      </c>
      <c r="N15" t="n" s="2149">
        <v>0.0</v>
      </c>
      <c r="O15" t="n" s="2150">
        <v>0.0</v>
      </c>
      <c r="P15" t="n" s="2151">
        <v>5.0</v>
      </c>
      <c r="Q15" t="n" s="2152">
        <v>50.1</v>
      </c>
      <c r="R15" t="n" s="2153">
        <v>16.0</v>
      </c>
      <c r="S15" t="n" s="2154">
        <v>213.92</v>
      </c>
      <c r="T15" t="n" s="2155">
        <v>0.0</v>
      </c>
      <c r="U15" t="n" s="2156">
        <v>0.0</v>
      </c>
      <c r="V15" t="n" s="2157">
        <v>0.0</v>
      </c>
      <c r="W15" t="n" s="2158">
        <f>q15+s15+u15+v15</f>
      </c>
      <c r="X15" t="n" s="2159">
        <v>0.0</v>
      </c>
      <c r="Y15" t="n" s="2160">
        <v>0.0</v>
      </c>
      <c r="Z15" t="n" s="2161">
        <v>0.0</v>
      </c>
      <c r="AA15" t="n" s="2162">
        <f>h15+i15+j15+k15+l15+m15+n15+o15+w15+x15+y15+z15</f>
      </c>
      <c r="AB15" t="n" s="2163">
        <v>299.0</v>
      </c>
      <c r="AC15" t="n" s="2164">
        <v>44.65</v>
      </c>
      <c r="AD15" t="n" s="2165">
        <v>5.1</v>
      </c>
      <c r="AE15" t="n" s="2166">
        <v>80.0</v>
      </c>
      <c r="AF15" t="n" s="2167">
        <f>ROUND((aa15+ab15+ac15+ad15+ae15),2)</f>
      </c>
      <c r="AG15" t="n" s="2168">
        <f>ae15*0.06</f>
      </c>
      <c r="AH15" t="n" s="2169">
        <f>af15+ag15</f>
      </c>
      <c r="AI15" t="s" s="2170">
        <v>0</v>
      </c>
    </row>
    <row r="16">
      <c r="A16" t="s" s="2171">
        <v>76</v>
      </c>
      <c r="B16" t="s" s="2172">
        <v>77</v>
      </c>
      <c r="C16" t="s" s="2173">
        <v>78</v>
      </c>
      <c r="D16" t="s" s="2174">
        <v>79</v>
      </c>
      <c r="E16" t="s" s="2175">
        <v>46</v>
      </c>
      <c r="F16" t="n" s="4431">
        <v>41944.0</v>
      </c>
      <c r="G16" t="s" s="4432">
        <v>0</v>
      </c>
      <c r="H16" t="n" s="2178">
        <v>1450.0</v>
      </c>
      <c r="I16" t="n" s="2179">
        <v>100.0</v>
      </c>
      <c r="J16" t="n" s="2180">
        <v>0.0</v>
      </c>
      <c r="K16" t="n" s="2181">
        <v>850.0</v>
      </c>
      <c r="L16" t="n" s="2182">
        <v>0.0</v>
      </c>
      <c r="M16" t="n" s="2183">
        <v>0.0</v>
      </c>
      <c r="N16" t="n" s="2184">
        <v>0.0</v>
      </c>
      <c r="O16" t="n" s="2185">
        <v>0.0</v>
      </c>
      <c r="P16" t="n" s="2186">
        <v>2.0</v>
      </c>
      <c r="Q16" t="n" s="2187">
        <v>20.92</v>
      </c>
      <c r="R16" t="n" s="2188">
        <v>16.0</v>
      </c>
      <c r="S16" t="n" s="2189">
        <v>223.04</v>
      </c>
      <c r="T16" t="n" s="2190">
        <v>0.0</v>
      </c>
      <c r="U16" t="n" s="2191">
        <v>0.0</v>
      </c>
      <c r="V16" t="n" s="2192">
        <v>0.0</v>
      </c>
      <c r="W16" t="n" s="2193">
        <f>q16+s16+u16+v16</f>
      </c>
      <c r="X16" t="n" s="2194">
        <v>0.0</v>
      </c>
      <c r="Y16" t="n" s="2195">
        <v>0.0</v>
      </c>
      <c r="Z16" t="n" s="2196">
        <v>0.0</v>
      </c>
      <c r="AA16" t="n" s="2197">
        <f>h16+i16+j16+k16+l16+m16+n16+o16+w16+x16+y16+z16</f>
      </c>
      <c r="AB16" t="n" s="2198">
        <v>312.0</v>
      </c>
      <c r="AC16" t="n" s="2199">
        <v>46.35</v>
      </c>
      <c r="AD16" t="n" s="2200">
        <v>5.3</v>
      </c>
      <c r="AE16" t="n" s="2201">
        <v>80.0</v>
      </c>
      <c r="AF16" t="n" s="2202">
        <f>ROUND((aa16+ab16+ac16+ad16+ae16),2)</f>
      </c>
      <c r="AG16" t="n" s="2203">
        <f>ae16*0.06</f>
      </c>
      <c r="AH16" t="n" s="2204">
        <f>af16+ag16</f>
      </c>
      <c r="AI16" t="s" s="2205">
        <v>0</v>
      </c>
    </row>
    <row r="17">
      <c r="A17" t="s" s="2206">
        <v>80</v>
      </c>
      <c r="B17" t="s" s="2207">
        <v>81</v>
      </c>
      <c r="C17" t="s" s="2208">
        <v>82</v>
      </c>
      <c r="D17" t="s" s="2209">
        <v>83</v>
      </c>
      <c r="E17" t="s" s="2210">
        <v>46</v>
      </c>
      <c r="F17" t="n" s="4433">
        <v>43539.0</v>
      </c>
      <c r="G17" t="s" s="4434">
        <v>0</v>
      </c>
      <c r="H17" t="n" s="2213">
        <v>1450.0</v>
      </c>
      <c r="I17" t="n" s="2214">
        <v>100.0</v>
      </c>
      <c r="J17" t="n" s="2215">
        <v>0.0</v>
      </c>
      <c r="K17" t="n" s="2216">
        <v>1500.0</v>
      </c>
      <c r="L17" t="n" s="2217">
        <v>0.0</v>
      </c>
      <c r="M17" t="n" s="2218">
        <v>0.0</v>
      </c>
      <c r="N17" t="n" s="2219">
        <v>0.0</v>
      </c>
      <c r="O17" t="n" s="2220">
        <v>0.0</v>
      </c>
      <c r="P17" t="n" s="2221">
        <v>28.0</v>
      </c>
      <c r="Q17" t="n" s="2222">
        <v>292.88</v>
      </c>
      <c r="R17" t="n" s="2223">
        <v>8.0</v>
      </c>
      <c r="S17" t="n" s="2224">
        <v>111.52</v>
      </c>
      <c r="T17" t="n" s="2225">
        <v>0.0</v>
      </c>
      <c r="U17" t="n" s="2226">
        <v>0.0</v>
      </c>
      <c r="V17" t="n" s="2227">
        <v>0.0</v>
      </c>
      <c r="W17" t="n" s="2228">
        <f>q17+s17+u17+v17</f>
      </c>
      <c r="X17" t="n" s="2229">
        <v>0.0</v>
      </c>
      <c r="Y17" t="n" s="2230">
        <v>0.0</v>
      </c>
      <c r="Z17" t="n" s="2231">
        <v>0.0</v>
      </c>
      <c r="AA17" t="n" s="2232">
        <f>h17+i17+j17+k17+l17+m17+n17+o17+w17+x17+y17+z17</f>
      </c>
      <c r="AB17" t="n" s="2233">
        <v>398.0</v>
      </c>
      <c r="AC17" t="n" s="2234">
        <v>60.35</v>
      </c>
      <c r="AD17" t="n" s="2235">
        <v>6.9</v>
      </c>
      <c r="AE17" t="n" s="2236">
        <v>80.0</v>
      </c>
      <c r="AF17" t="n" s="2237">
        <f>ROUND((aa17+ab17+ac17+ad17+ae17),2)</f>
      </c>
      <c r="AG17" t="n" s="2238">
        <f>ae17*0.06</f>
      </c>
      <c r="AH17" t="n" s="2239">
        <f>af17+ag17</f>
      </c>
      <c r="AI17" t="s" s="2240">
        <v>0</v>
      </c>
    </row>
    <row r="18">
      <c r="A18" t="s" s="2241">
        <v>84</v>
      </c>
      <c r="B18" t="s" s="2242">
        <v>85</v>
      </c>
      <c r="C18" t="s" s="2243">
        <v>86</v>
      </c>
      <c r="D18" t="s" s="2244">
        <v>87</v>
      </c>
      <c r="E18" t="s" s="2245">
        <v>46</v>
      </c>
      <c r="F18" t="n" s="4435">
        <v>42005.0</v>
      </c>
      <c r="G18" t="s" s="4436">
        <v>0</v>
      </c>
      <c r="H18" t="n" s="2248">
        <v>1620.0</v>
      </c>
      <c r="I18" t="n" s="2249">
        <v>100.0</v>
      </c>
      <c r="J18" t="n" s="2250">
        <v>0.0</v>
      </c>
      <c r="K18" t="n" s="2251">
        <v>1871.5</v>
      </c>
      <c r="L18" t="n" s="2252">
        <v>0.0</v>
      </c>
      <c r="M18" t="n" s="2253">
        <v>20.98</v>
      </c>
      <c r="N18" t="n" s="2254">
        <v>0.0</v>
      </c>
      <c r="O18" t="n" s="2255">
        <v>0.0</v>
      </c>
      <c r="P18" t="n" s="2256">
        <v>13.0</v>
      </c>
      <c r="Q18" t="n" s="2257">
        <v>151.84</v>
      </c>
      <c r="R18" t="n" s="2258">
        <v>16.0</v>
      </c>
      <c r="S18" t="n" s="2259">
        <v>249.28</v>
      </c>
      <c r="T18" t="n" s="2260">
        <v>0.0</v>
      </c>
      <c r="U18" t="n" s="2261">
        <v>0.0</v>
      </c>
      <c r="V18" t="n" s="2262">
        <v>0.0</v>
      </c>
      <c r="W18" t="n" s="2263">
        <f>q18+s18+u18+v18</f>
      </c>
      <c r="X18" t="n" s="2264">
        <v>0.0</v>
      </c>
      <c r="Y18" t="n" s="2265">
        <v>0.0</v>
      </c>
      <c r="Z18" t="n" s="2266">
        <v>0.0</v>
      </c>
      <c r="AA18" t="n" s="2267">
        <f>h18+i18+j18+k18+l18+m18+n18+o18+w18+x18+y18+z18</f>
      </c>
      <c r="AB18" t="n" s="2268">
        <v>468.0</v>
      </c>
      <c r="AC18" t="n" s="2269">
        <v>69.05</v>
      </c>
      <c r="AD18" t="n" s="2270">
        <v>7.9</v>
      </c>
      <c r="AE18" t="n" s="2271">
        <v>80.0</v>
      </c>
      <c r="AF18" t="n" s="2272">
        <f>ROUND((aa18+ab18+ac18+ad18+ae18),2)</f>
      </c>
      <c r="AG18" t="n" s="2273">
        <f>ae18*0.06</f>
      </c>
      <c r="AH18" t="n" s="2274">
        <f>af18+ag18</f>
      </c>
      <c r="AI18" t="s" s="2275">
        <v>0</v>
      </c>
    </row>
    <row r="19">
      <c r="A19" t="s" s="2276">
        <v>88</v>
      </c>
      <c r="B19" t="s" s="2277">
        <v>89</v>
      </c>
      <c r="C19" t="s" s="2278">
        <v>90</v>
      </c>
      <c r="D19" t="s" s="2279">
        <v>91</v>
      </c>
      <c r="E19" t="s" s="2280">
        <v>46</v>
      </c>
      <c r="F19" t="n" s="4437">
        <v>41944.0</v>
      </c>
      <c r="G19" t="s" s="4438">
        <v>0</v>
      </c>
      <c r="H19" t="n" s="2283">
        <v>1650.0</v>
      </c>
      <c r="I19" t="n" s="2284">
        <v>100.0</v>
      </c>
      <c r="J19" t="n" s="2285">
        <v>0.0</v>
      </c>
      <c r="K19" t="n" s="2286">
        <v>2193.17</v>
      </c>
      <c r="L19" t="n" s="2287">
        <v>0.0</v>
      </c>
      <c r="M19" t="n" s="2288">
        <v>40.0</v>
      </c>
      <c r="N19" t="n" s="2289">
        <v>0.0</v>
      </c>
      <c r="O19" t="n" s="2290">
        <v>0.0</v>
      </c>
      <c r="P19" t="n" s="2291">
        <v>43.0</v>
      </c>
      <c r="Q19" t="n" s="2292">
        <v>511.7</v>
      </c>
      <c r="R19" t="n" s="2293">
        <v>16.0</v>
      </c>
      <c r="S19" t="n" s="2294">
        <v>253.92</v>
      </c>
      <c r="T19" t="n" s="2295">
        <v>5.5</v>
      </c>
      <c r="U19" t="n" s="2296">
        <v>130.9</v>
      </c>
      <c r="V19" t="n" s="2297">
        <v>0.0</v>
      </c>
      <c r="W19" t="n" s="2298">
        <f>q19+s19+u19+v19</f>
      </c>
      <c r="X19" t="n" s="2299">
        <v>0.0</v>
      </c>
      <c r="Y19" t="n" s="2300">
        <v>0.0</v>
      </c>
      <c r="Z19" t="n" s="2301">
        <v>0.0</v>
      </c>
      <c r="AA19" t="n" s="2302">
        <f>h19+i19+j19+k19+l19+m19+n19+o19+w19+x19+y19+z19</f>
      </c>
      <c r="AB19" t="n" s="2303">
        <v>515.0</v>
      </c>
      <c r="AC19" t="n" s="2304">
        <v>69.05</v>
      </c>
      <c r="AD19" t="n" s="2305">
        <v>7.9</v>
      </c>
      <c r="AE19" t="n" s="2306">
        <v>80.0</v>
      </c>
      <c r="AF19" t="n" s="2307">
        <f>ROUND((aa19+ab19+ac19+ad19+ae19),2)</f>
      </c>
      <c r="AG19" t="n" s="2308">
        <f>ae19*0.06</f>
      </c>
      <c r="AH19" t="n" s="2309">
        <f>af19+ag19</f>
      </c>
      <c r="AI19" t="s" s="2310">
        <v>0</v>
      </c>
    </row>
    <row r="20">
      <c r="A20" t="s" s="2311">
        <v>92</v>
      </c>
      <c r="B20" t="s" s="2312">
        <v>93</v>
      </c>
      <c r="C20" t="s" s="2313">
        <v>94</v>
      </c>
      <c r="D20" t="s" s="2314">
        <v>95</v>
      </c>
      <c r="E20" t="s" s="2315">
        <v>46</v>
      </c>
      <c r="F20" t="n" s="4439">
        <v>41944.0</v>
      </c>
      <c r="G20" t="s" s="4440">
        <v>0</v>
      </c>
      <c r="H20" t="n" s="2318">
        <v>1340.0</v>
      </c>
      <c r="I20" t="n" s="2319">
        <v>100.0</v>
      </c>
      <c r="J20" t="n" s="2320">
        <v>0.0</v>
      </c>
      <c r="K20" t="n" s="2321">
        <v>1600.0</v>
      </c>
      <c r="L20" t="n" s="2322">
        <v>0.0</v>
      </c>
      <c r="M20" t="n" s="2323">
        <v>10.0</v>
      </c>
      <c r="N20" t="n" s="2324">
        <v>0.0</v>
      </c>
      <c r="O20" t="n" s="2325">
        <v>0.0</v>
      </c>
      <c r="P20" t="n" s="2326">
        <v>0.0</v>
      </c>
      <c r="Q20" t="n" s="2327">
        <v>0.0</v>
      </c>
      <c r="R20" t="n" s="2328">
        <v>16.0</v>
      </c>
      <c r="S20" t="n" s="2329">
        <v>206.08</v>
      </c>
      <c r="T20" t="n" s="2330">
        <v>0.0</v>
      </c>
      <c r="U20" t="n" s="2331">
        <v>0.0</v>
      </c>
      <c r="V20" t="n" s="2332">
        <v>0.0</v>
      </c>
      <c r="W20" t="n" s="2333">
        <f>q20+s20+u20+v20</f>
      </c>
      <c r="X20" t="n" s="2334">
        <v>0.0</v>
      </c>
      <c r="Y20" t="n" s="2335">
        <v>0.0</v>
      </c>
      <c r="Z20" t="n" s="2336">
        <v>0.0</v>
      </c>
      <c r="AA20" t="n" s="2337">
        <f>h20+i20+j20+k20+l20+m20+n20+o20+w20+x20+y20+z20</f>
      </c>
      <c r="AB20" t="n" s="2338">
        <v>396.0</v>
      </c>
      <c r="AC20" t="n" s="2339">
        <v>56.85</v>
      </c>
      <c r="AD20" t="n" s="2340">
        <v>6.5</v>
      </c>
      <c r="AE20" t="n" s="2341">
        <v>80.0</v>
      </c>
      <c r="AF20" t="n" s="2342">
        <f>ROUND((aa20+ab20+ac20+ad20+ae20),2)</f>
      </c>
      <c r="AG20" t="n" s="2343">
        <f>ae20*0.06</f>
      </c>
      <c r="AH20" t="n" s="2344">
        <f>af20+ag20</f>
      </c>
      <c r="AI20" t="s" s="2345">
        <v>0</v>
      </c>
    </row>
    <row r="21">
      <c r="A21" t="s" s="2346">
        <v>96</v>
      </c>
      <c r="B21" t="s" s="2347">
        <v>97</v>
      </c>
      <c r="C21" t="s" s="2348">
        <v>98</v>
      </c>
      <c r="D21" t="s" s="2349">
        <v>99</v>
      </c>
      <c r="E21" t="s" s="2350">
        <v>46</v>
      </c>
      <c r="F21" t="n" s="4441">
        <v>41944.0</v>
      </c>
      <c r="G21" t="s" s="4442">
        <v>0</v>
      </c>
      <c r="H21" t="n" s="2353">
        <v>1440.0</v>
      </c>
      <c r="I21" t="n" s="2354">
        <v>100.0</v>
      </c>
      <c r="J21" t="n" s="2355">
        <v>0.0</v>
      </c>
      <c r="K21" t="n" s="2356">
        <v>1450.0</v>
      </c>
      <c r="L21" t="n" s="2357">
        <v>0.0</v>
      </c>
      <c r="M21" t="n" s="2358">
        <v>25.0</v>
      </c>
      <c r="N21" t="n" s="2359">
        <v>0.0</v>
      </c>
      <c r="O21" t="n" s="2360">
        <v>0.0</v>
      </c>
      <c r="P21" t="n" s="2361">
        <v>2.0</v>
      </c>
      <c r="Q21" t="n" s="2362">
        <v>20.76</v>
      </c>
      <c r="R21" t="n" s="2363">
        <v>16.0</v>
      </c>
      <c r="S21" t="n" s="2364">
        <v>221.6</v>
      </c>
      <c r="T21" t="n" s="2365">
        <v>0.0</v>
      </c>
      <c r="U21" t="n" s="2366">
        <v>0.0</v>
      </c>
      <c r="V21" t="n" s="2367">
        <v>0.0</v>
      </c>
      <c r="W21" t="n" s="2368">
        <f>q21+s21+u21+v21</f>
      </c>
      <c r="X21" t="n" s="2369">
        <v>0.0</v>
      </c>
      <c r="Y21" t="n" s="2370">
        <v>0.0</v>
      </c>
      <c r="Z21" t="n" s="2371">
        <v>0.0</v>
      </c>
      <c r="AA21" t="n" s="2372">
        <f>h21+i21+j21+k21+l21+m21+n21+o21+w21+x21+y21+z21</f>
      </c>
      <c r="AB21" t="n" s="2373">
        <v>390.0</v>
      </c>
      <c r="AC21" t="n" s="2374">
        <v>56.85</v>
      </c>
      <c r="AD21" t="n" s="2375">
        <v>6.5</v>
      </c>
      <c r="AE21" t="n" s="2376">
        <v>80.0</v>
      </c>
      <c r="AF21" t="n" s="2377">
        <f>ROUND((aa21+ab21+ac21+ad21+ae21),2)</f>
      </c>
      <c r="AG21" t="n" s="2378">
        <f>ae21*0.06</f>
      </c>
      <c r="AH21" t="n" s="2379">
        <f>af21+ag21</f>
      </c>
      <c r="AI21" t="s" s="2380">
        <v>0</v>
      </c>
    </row>
    <row r="22">
      <c r="A22" t="s" s="2381">
        <v>100</v>
      </c>
      <c r="B22" t="s" s="2382">
        <v>101</v>
      </c>
      <c r="C22" t="s" s="2383">
        <v>102</v>
      </c>
      <c r="D22" t="s" s="2384">
        <v>103</v>
      </c>
      <c r="E22" t="s" s="2385">
        <v>46</v>
      </c>
      <c r="F22" t="n" s="4443">
        <v>41944.0</v>
      </c>
      <c r="G22" t="s" s="4444">
        <v>0</v>
      </c>
      <c r="H22" t="n" s="2388">
        <v>1370.0</v>
      </c>
      <c r="I22" t="n" s="2389">
        <v>100.0</v>
      </c>
      <c r="J22" t="n" s="2390">
        <v>0.0</v>
      </c>
      <c r="K22" t="n" s="2391">
        <v>300.0</v>
      </c>
      <c r="L22" t="n" s="2392">
        <v>0.0</v>
      </c>
      <c r="M22" t="n" s="2393">
        <v>0.0</v>
      </c>
      <c r="N22" t="n" s="2394">
        <v>0.0</v>
      </c>
      <c r="O22" t="n" s="2395">
        <v>0.0</v>
      </c>
      <c r="P22" t="n" s="2396">
        <v>0.0</v>
      </c>
      <c r="Q22" t="n" s="2397">
        <v>0.0</v>
      </c>
      <c r="R22" t="n" s="2398">
        <v>16.0</v>
      </c>
      <c r="S22" t="n" s="2399">
        <v>210.72</v>
      </c>
      <c r="T22" t="n" s="2400">
        <v>0.0</v>
      </c>
      <c r="U22" t="n" s="2401">
        <v>0.0</v>
      </c>
      <c r="V22" t="n" s="2402">
        <v>0.0</v>
      </c>
      <c r="W22" t="n" s="2403">
        <f>q22+s22+u22+v22</f>
      </c>
      <c r="X22" t="n" s="2404">
        <v>0.0</v>
      </c>
      <c r="Y22" t="n" s="2405">
        <v>0.0</v>
      </c>
      <c r="Z22" t="n" s="2406">
        <v>0.0</v>
      </c>
      <c r="AA22" t="n" s="2407">
        <f>h22+i22+j22+k22+l22+m22+n22+o22+w22+x22+y22+z22</f>
      </c>
      <c r="AB22" t="n" s="2408">
        <v>232.0</v>
      </c>
      <c r="AC22" t="n" s="2409">
        <v>34.15</v>
      </c>
      <c r="AD22" t="n" s="2410">
        <v>3.9</v>
      </c>
      <c r="AE22" t="n" s="2411">
        <v>80.0</v>
      </c>
      <c r="AF22" t="n" s="2412">
        <f>ROUND((aa22+ab22+ac22+ad22+ae22),2)</f>
      </c>
      <c r="AG22" t="n" s="2413">
        <f>ae22*0.06</f>
      </c>
      <c r="AH22" t="n" s="2414">
        <f>af22+ag22</f>
      </c>
      <c r="AI22" t="s" s="2415">
        <v>0</v>
      </c>
    </row>
    <row r="23">
      <c r="A23" t="s" s="2416">
        <v>104</v>
      </c>
      <c r="B23" t="s" s="2417">
        <v>105</v>
      </c>
      <c r="C23" t="s" s="2418">
        <v>106</v>
      </c>
      <c r="D23" t="s" s="2419">
        <v>107</v>
      </c>
      <c r="E23" t="s" s="2420">
        <v>46</v>
      </c>
      <c r="F23" t="n" s="4445">
        <v>41944.0</v>
      </c>
      <c r="G23" t="s" s="4446">
        <v>0</v>
      </c>
      <c r="H23" t="n" s="2423">
        <v>1540.0</v>
      </c>
      <c r="I23" t="n" s="2424">
        <v>100.0</v>
      </c>
      <c r="J23" t="n" s="2425">
        <v>0.0</v>
      </c>
      <c r="K23" t="n" s="2426">
        <v>1614.09</v>
      </c>
      <c r="L23" t="n" s="2427">
        <v>0.0</v>
      </c>
      <c r="M23" t="n" s="2428">
        <v>129.15</v>
      </c>
      <c r="N23" t="n" s="2429">
        <v>0.0</v>
      </c>
      <c r="O23" t="n" s="2430">
        <v>0.0</v>
      </c>
      <c r="P23" t="n" s="2431">
        <v>39.5</v>
      </c>
      <c r="Q23" t="n" s="2432">
        <v>438.85</v>
      </c>
      <c r="R23" t="n" s="2433">
        <v>16.0</v>
      </c>
      <c r="S23" t="n" s="2434">
        <v>236.96</v>
      </c>
      <c r="T23" t="n" s="2435">
        <v>5.5</v>
      </c>
      <c r="U23" t="n" s="2436">
        <v>122.16</v>
      </c>
      <c r="V23" t="n" s="2437">
        <v>0.0</v>
      </c>
      <c r="W23" t="n" s="2438">
        <f>q23+s23+u23+v23</f>
      </c>
      <c r="X23" t="n" s="2439">
        <v>0.0</v>
      </c>
      <c r="Y23" t="n" s="2440">
        <v>0.0</v>
      </c>
      <c r="Z23" t="n" s="2441">
        <v>0.0</v>
      </c>
      <c r="AA23" t="n" s="2442">
        <f>h23+i23+j23+k23+l23+m23+n23+o23+w23+x23+y23+z23</f>
      </c>
      <c r="AB23" t="n" s="2443">
        <v>424.0</v>
      </c>
      <c r="AC23" t="n" s="2444">
        <v>69.05</v>
      </c>
      <c r="AD23" t="n" s="2445">
        <v>7.9</v>
      </c>
      <c r="AE23" t="n" s="2446">
        <v>80.0</v>
      </c>
      <c r="AF23" t="n" s="2447">
        <f>ROUND((aa23+ab23+ac23+ad23+ae23),2)</f>
      </c>
      <c r="AG23" t="n" s="2448">
        <f>ae23*0.06</f>
      </c>
      <c r="AH23" t="n" s="2449">
        <f>af23+ag23</f>
      </c>
      <c r="AI23" t="s" s="2450">
        <v>0</v>
      </c>
    </row>
    <row r="24">
      <c r="A24" t="s" s="2451">
        <v>108</v>
      </c>
      <c r="B24" t="s" s="2452">
        <v>109</v>
      </c>
      <c r="C24" t="s" s="2453">
        <v>110</v>
      </c>
      <c r="D24" t="s" s="2454">
        <v>111</v>
      </c>
      <c r="E24" t="s" s="2455">
        <v>46</v>
      </c>
      <c r="F24" t="n" s="4447">
        <v>41944.0</v>
      </c>
      <c r="G24" t="s" s="4448">
        <v>0</v>
      </c>
      <c r="H24" t="n" s="2458">
        <v>1490.0</v>
      </c>
      <c r="I24" t="n" s="2459">
        <v>100.0</v>
      </c>
      <c r="J24" t="n" s="2460">
        <v>0.0</v>
      </c>
      <c r="K24" t="n" s="2461">
        <v>1400.0</v>
      </c>
      <c r="L24" t="n" s="2462">
        <v>0.0</v>
      </c>
      <c r="M24" t="n" s="2463">
        <v>14.2</v>
      </c>
      <c r="N24" t="n" s="2464">
        <v>0.0</v>
      </c>
      <c r="O24" t="n" s="2465">
        <v>0.0</v>
      </c>
      <c r="P24" t="n" s="2466">
        <v>0.0</v>
      </c>
      <c r="Q24" t="n" s="2467">
        <v>0.0</v>
      </c>
      <c r="R24" t="n" s="2468">
        <v>16.0</v>
      </c>
      <c r="S24" t="n" s="2469">
        <v>229.28</v>
      </c>
      <c r="T24" t="n" s="2470">
        <v>0.0</v>
      </c>
      <c r="U24" t="n" s="2471">
        <v>0.0</v>
      </c>
      <c r="V24" t="n" s="2472">
        <v>0.0</v>
      </c>
      <c r="W24" t="n" s="2473">
        <f>q24+s24+u24+v24</f>
      </c>
      <c r="X24" t="n" s="2474">
        <v>0.0</v>
      </c>
      <c r="Y24" t="n" s="2475">
        <v>0.0</v>
      </c>
      <c r="Z24" t="n" s="2476">
        <v>0.0</v>
      </c>
      <c r="AA24" t="n" s="2477">
        <f>h24+i24+j24+k24+l24+m24+n24+o24+w24+x24+y24+z24</f>
      </c>
      <c r="AB24" t="n" s="2478">
        <v>390.0</v>
      </c>
      <c r="AC24" t="n" s="2479">
        <v>56.85</v>
      </c>
      <c r="AD24" t="n" s="2480">
        <v>6.5</v>
      </c>
      <c r="AE24" t="n" s="2481">
        <v>80.0</v>
      </c>
      <c r="AF24" t="n" s="2482">
        <f>ROUND((aa24+ab24+ac24+ad24+ae24),2)</f>
      </c>
      <c r="AG24" t="n" s="2483">
        <f>ae24*0.06</f>
      </c>
      <c r="AH24" t="n" s="2484">
        <f>af24+ag24</f>
      </c>
      <c r="AI24" t="s" s="2485">
        <v>0</v>
      </c>
    </row>
    <row r="25">
      <c r="A25" t="s" s="2486">
        <v>112</v>
      </c>
      <c r="B25" t="s" s="2487">
        <v>113</v>
      </c>
      <c r="C25" t="s" s="2488">
        <v>114</v>
      </c>
      <c r="D25" t="s" s="2489">
        <v>115</v>
      </c>
      <c r="E25" t="s" s="2490">
        <v>46</v>
      </c>
      <c r="F25" t="n" s="4449">
        <v>43617.0</v>
      </c>
      <c r="G25" t="s" s="4450">
        <v>0</v>
      </c>
      <c r="H25" t="n" s="2493">
        <v>1400.0</v>
      </c>
      <c r="I25" t="n" s="2494">
        <v>100.0</v>
      </c>
      <c r="J25" t="n" s="2495">
        <v>0.0</v>
      </c>
      <c r="K25" t="n" s="2496">
        <v>1850.0</v>
      </c>
      <c r="L25" t="n" s="2497">
        <v>0.0</v>
      </c>
      <c r="M25" t="n" s="2498">
        <v>0.0</v>
      </c>
      <c r="N25" t="n" s="2499">
        <v>0.0</v>
      </c>
      <c r="O25" t="n" s="2500">
        <v>0.0</v>
      </c>
      <c r="P25" t="n" s="2501">
        <v>1.0</v>
      </c>
      <c r="Q25" t="n" s="2502">
        <v>10.1</v>
      </c>
      <c r="R25" t="n" s="2503">
        <v>16.0</v>
      </c>
      <c r="S25" t="n" s="2504">
        <v>215.36</v>
      </c>
      <c r="T25" t="n" s="2505">
        <v>0.0</v>
      </c>
      <c r="U25" t="n" s="2506">
        <v>0.0</v>
      </c>
      <c r="V25" t="n" s="2507">
        <v>0.0</v>
      </c>
      <c r="W25" t="n" s="2508">
        <f>q25+s25+u25+v25</f>
      </c>
      <c r="X25" t="n" s="2509">
        <v>0.0</v>
      </c>
      <c r="Y25" t="n" s="2510">
        <v>0.0</v>
      </c>
      <c r="Z25" t="n" s="2511">
        <v>0.0</v>
      </c>
      <c r="AA25" t="n" s="2512">
        <f>h25+i25+j25+k25+l25+m25+n25+o25+w25+x25+y25+z25</f>
      </c>
      <c r="AB25" t="n" s="2513">
        <v>437.0</v>
      </c>
      <c r="AC25" t="n" s="2514">
        <v>62.15</v>
      </c>
      <c r="AD25" t="n" s="2515">
        <v>7.1</v>
      </c>
      <c r="AE25" t="n" s="2516">
        <v>80.0</v>
      </c>
      <c r="AF25" t="n" s="2517">
        <f>ROUND((aa25+ab25+ac25+ad25+ae25),2)</f>
      </c>
      <c r="AG25" t="n" s="2518">
        <f>ae25*0.06</f>
      </c>
      <c r="AH25" t="n" s="2519">
        <f>af25+ag25</f>
      </c>
      <c r="AI25" t="s" s="2520">
        <v>0</v>
      </c>
    </row>
    <row r="26">
      <c r="A26" t="s" s="2521">
        <v>116</v>
      </c>
      <c r="B26" t="s" s="2522">
        <v>117</v>
      </c>
      <c r="C26" t="s" s="2523">
        <v>118</v>
      </c>
      <c r="D26" t="s" s="2524">
        <v>119</v>
      </c>
      <c r="E26" t="s" s="2525">
        <v>46</v>
      </c>
      <c r="F26" t="n" s="4451">
        <v>42005.0</v>
      </c>
      <c r="G26" t="s" s="4452">
        <v>0</v>
      </c>
      <c r="H26" t="n" s="2528">
        <v>1950.0</v>
      </c>
      <c r="I26" t="n" s="2529">
        <v>100.0</v>
      </c>
      <c r="J26" t="n" s="2530">
        <v>0.0</v>
      </c>
      <c r="K26" t="n" s="2531">
        <v>2282.72</v>
      </c>
      <c r="L26" t="n" s="2532">
        <v>0.0</v>
      </c>
      <c r="M26" t="n" s="2533">
        <v>139.35</v>
      </c>
      <c r="N26" t="n" s="2534">
        <v>0.0</v>
      </c>
      <c r="O26" t="n" s="2535">
        <v>0.0</v>
      </c>
      <c r="P26" t="n" s="2536">
        <v>38.5</v>
      </c>
      <c r="Q26" t="n" s="2537">
        <v>541.31</v>
      </c>
      <c r="R26" t="n" s="2538">
        <v>16.0</v>
      </c>
      <c r="S26" t="n" s="2539">
        <v>300.0</v>
      </c>
      <c r="T26" t="n" s="2540">
        <v>5.5</v>
      </c>
      <c r="U26" t="n" s="2541">
        <v>154.72</v>
      </c>
      <c r="V26" t="n" s="2542">
        <v>0.0</v>
      </c>
      <c r="W26" t="n" s="2543">
        <f>q26+s26+u26+v26</f>
      </c>
      <c r="X26" t="n" s="2544">
        <v>0.0</v>
      </c>
      <c r="Y26" t="n" s="2545">
        <v>0.0</v>
      </c>
      <c r="Z26" t="n" s="2546">
        <v>0.0</v>
      </c>
      <c r="AA26" t="n" s="2547">
        <f>h26+i26+j26+k26+l26+m26+n26+o26+w26+x26+y26+z26</f>
      </c>
      <c r="AB26" t="n" s="2548">
        <v>565.0</v>
      </c>
      <c r="AC26" t="n" s="2549">
        <v>69.05</v>
      </c>
      <c r="AD26" t="n" s="2550">
        <v>7.9</v>
      </c>
      <c r="AE26" t="n" s="2551">
        <v>80.0</v>
      </c>
      <c r="AF26" t="n" s="2552">
        <f>ROUND((aa26+ab26+ac26+ad26+ae26),2)</f>
      </c>
      <c r="AG26" t="n" s="2553">
        <f>ae26*0.06</f>
      </c>
      <c r="AH26" t="n" s="2554">
        <f>af26+ag26</f>
      </c>
      <c r="AI26" t="s" s="2555">
        <v>0</v>
      </c>
    </row>
    <row r="27">
      <c r="A27" t="s" s="2556">
        <v>120</v>
      </c>
      <c r="B27" t="s" s="2557">
        <v>121</v>
      </c>
      <c r="C27" t="s" s="2558">
        <v>122</v>
      </c>
      <c r="D27" t="s" s="2559">
        <v>123</v>
      </c>
      <c r="E27" t="s" s="2560">
        <v>46</v>
      </c>
      <c r="F27" t="n" s="4453">
        <v>42601.0</v>
      </c>
      <c r="G27" t="s" s="4454">
        <v>0</v>
      </c>
      <c r="H27" t="n" s="2563">
        <v>1460.0</v>
      </c>
      <c r="I27" t="n" s="2564">
        <v>100.0</v>
      </c>
      <c r="J27" t="n" s="2565">
        <v>0.0</v>
      </c>
      <c r="K27" t="n" s="2566">
        <v>3805.95</v>
      </c>
      <c r="L27" t="n" s="2567">
        <v>0.0</v>
      </c>
      <c r="M27" t="n" s="2568">
        <v>105.0</v>
      </c>
      <c r="N27" t="n" s="2569">
        <v>0.0</v>
      </c>
      <c r="O27" t="n" s="2570">
        <v>0.0</v>
      </c>
      <c r="P27" t="n" s="2571">
        <v>39.5</v>
      </c>
      <c r="Q27" t="n" s="2572">
        <v>415.94</v>
      </c>
      <c r="R27" t="n" s="2573">
        <v>16.0</v>
      </c>
      <c r="S27" t="n" s="2574">
        <v>224.64</v>
      </c>
      <c r="T27" t="n" s="2575">
        <v>5.5</v>
      </c>
      <c r="U27" t="n" s="2576">
        <v>115.83</v>
      </c>
      <c r="V27" t="n" s="2577">
        <v>0.0</v>
      </c>
      <c r="W27" t="n" s="2578">
        <f>q27+s27+u27+v27</f>
      </c>
      <c r="X27" t="n" s="2579">
        <v>0.0</v>
      </c>
      <c r="Y27" t="n" s="2580">
        <v>0.0</v>
      </c>
      <c r="Z27" t="n" s="2581">
        <v>0.0</v>
      </c>
      <c r="AA27" t="n" s="2582">
        <f>h27+i27+j27+k27+l27+m27+n27+o27+w27+x27+y27+z27</f>
      </c>
      <c r="AB27" t="n" s="2583">
        <v>702.0</v>
      </c>
      <c r="AC27" t="n" s="2584">
        <v>69.05</v>
      </c>
      <c r="AD27" t="n" s="2585">
        <v>7.9</v>
      </c>
      <c r="AE27" t="n" s="2586">
        <v>80.0</v>
      </c>
      <c r="AF27" t="n" s="2587">
        <f>ROUND((aa27+ab27+ac27+ad27+ae27),2)</f>
      </c>
      <c r="AG27" t="n" s="2588">
        <f>ae27*0.06</f>
      </c>
      <c r="AH27" t="n" s="2589">
        <f>af27+ag27</f>
      </c>
      <c r="AI27" t="s" s="2590">
        <v>0</v>
      </c>
    </row>
    <row r="28">
      <c r="A28" t="s" s="2591">
        <v>124</v>
      </c>
      <c r="B28" t="s" s="2592">
        <v>125</v>
      </c>
      <c r="C28" t="s" s="2593">
        <v>126</v>
      </c>
      <c r="D28" t="s" s="2594">
        <v>127</v>
      </c>
      <c r="E28" t="s" s="2595">
        <v>46</v>
      </c>
      <c r="F28" t="n" s="4455">
        <v>42656.0</v>
      </c>
      <c r="G28" t="s" s="4456">
        <v>0</v>
      </c>
      <c r="H28" t="n" s="2598">
        <v>1300.0</v>
      </c>
      <c r="I28" t="n" s="2599">
        <v>100.0</v>
      </c>
      <c r="J28" t="n" s="2600">
        <v>0.0</v>
      </c>
      <c r="K28" t="n" s="2601">
        <v>1300.0</v>
      </c>
      <c r="L28" t="n" s="2602">
        <v>0.0</v>
      </c>
      <c r="M28" t="n" s="2603">
        <v>16.45</v>
      </c>
      <c r="N28" t="n" s="2604">
        <v>0.0</v>
      </c>
      <c r="O28" t="n" s="2605">
        <v>0.0</v>
      </c>
      <c r="P28" t="n" s="2606">
        <v>1.5</v>
      </c>
      <c r="Q28" t="n" s="2607">
        <v>14.07</v>
      </c>
      <c r="R28" t="n" s="2608">
        <v>16.0</v>
      </c>
      <c r="S28" t="n" s="2609">
        <v>200.0</v>
      </c>
      <c r="T28" t="n" s="2610">
        <v>0.0</v>
      </c>
      <c r="U28" t="n" s="2611">
        <v>0.0</v>
      </c>
      <c r="V28" t="n" s="2612">
        <v>0.0</v>
      </c>
      <c r="W28" t="n" s="2613">
        <f>q28+s28+u28+v28</f>
      </c>
      <c r="X28" t="n" s="2614">
        <v>0.0</v>
      </c>
      <c r="Y28" t="n" s="2615">
        <v>0.0</v>
      </c>
      <c r="Z28" t="n" s="2616">
        <v>0.0</v>
      </c>
      <c r="AA28" t="n" s="2617">
        <f>h28+i28+j28+k28+l28+m28+n28+o28+w28+x28+y28+z28</f>
      </c>
      <c r="AB28" t="n" s="2618">
        <v>351.0</v>
      </c>
      <c r="AC28" t="n" s="2619">
        <v>51.65</v>
      </c>
      <c r="AD28" t="n" s="2620">
        <v>5.9</v>
      </c>
      <c r="AE28" t="n" s="2621">
        <v>80.0</v>
      </c>
      <c r="AF28" t="n" s="2622">
        <f>ROUND((aa28+ab28+ac28+ad28+ae28),2)</f>
      </c>
      <c r="AG28" t="n" s="2623">
        <f>ae28*0.06</f>
      </c>
      <c r="AH28" t="n" s="2624">
        <f>af28+ag28</f>
      </c>
      <c r="AI28" t="s" s="2625">
        <v>0</v>
      </c>
    </row>
    <row r="29">
      <c r="A29" t="s" s="2626">
        <v>128</v>
      </c>
      <c r="B29" t="s" s="2627">
        <v>129</v>
      </c>
      <c r="C29" t="s" s="2628">
        <v>130</v>
      </c>
      <c r="D29" t="s" s="2629">
        <v>131</v>
      </c>
      <c r="E29" t="s" s="2630">
        <v>46</v>
      </c>
      <c r="F29" t="n" s="4457">
        <v>42678.0</v>
      </c>
      <c r="G29" t="s" s="4458">
        <v>0</v>
      </c>
      <c r="H29" t="n" s="2633">
        <v>1390.0</v>
      </c>
      <c r="I29" t="n" s="2634">
        <v>100.0</v>
      </c>
      <c r="J29" t="n" s="2635">
        <v>0.0</v>
      </c>
      <c r="K29" t="n" s="2636">
        <v>600.0</v>
      </c>
      <c r="L29" t="n" s="2637">
        <v>0.0</v>
      </c>
      <c r="M29" t="n" s="2638">
        <v>10.0</v>
      </c>
      <c r="N29" t="n" s="2639">
        <v>0.0</v>
      </c>
      <c r="O29" t="n" s="2640">
        <v>0.0</v>
      </c>
      <c r="P29" t="n" s="2641">
        <v>7.0</v>
      </c>
      <c r="Q29" t="n" s="2642">
        <v>70.14</v>
      </c>
      <c r="R29" t="n" s="2643">
        <v>16.0</v>
      </c>
      <c r="S29" t="n" s="2644">
        <v>213.92</v>
      </c>
      <c r="T29" t="n" s="2645">
        <v>0.0</v>
      </c>
      <c r="U29" t="n" s="2646">
        <v>0.0</v>
      </c>
      <c r="V29" t="n" s="2647">
        <v>0.0</v>
      </c>
      <c r="W29" t="n" s="2648">
        <f>q29+s29+u29+v29</f>
      </c>
      <c r="X29" t="n" s="2649">
        <v>0.0</v>
      </c>
      <c r="Y29" t="n" s="2650">
        <v>0.0</v>
      </c>
      <c r="Z29" t="n" s="2651">
        <v>0.0</v>
      </c>
      <c r="AA29" t="n" s="2652">
        <f>h29+i29+j29+k29+l29+m29+n29+o29+w29+x29+y29+z29</f>
      </c>
      <c r="AB29" t="n" s="2653">
        <v>273.0</v>
      </c>
      <c r="AC29" t="n" s="2654">
        <v>41.15</v>
      </c>
      <c r="AD29" t="n" s="2655">
        <v>4.7</v>
      </c>
      <c r="AE29" t="n" s="2656">
        <v>80.0</v>
      </c>
      <c r="AF29" t="n" s="2657">
        <f>ROUND((aa29+ab29+ac29+ad29+ae29),2)</f>
      </c>
      <c r="AG29" t="n" s="2658">
        <f>ae29*0.06</f>
      </c>
      <c r="AH29" t="n" s="2659">
        <f>af29+ag29</f>
      </c>
      <c r="AI29" t="s" s="2660">
        <v>0</v>
      </c>
    </row>
    <row r="30">
      <c r="A30" t="s" s="2661">
        <v>132</v>
      </c>
      <c r="B30" t="s" s="2662">
        <v>133</v>
      </c>
      <c r="C30" t="s" s="2663">
        <v>134</v>
      </c>
      <c r="D30" t="s" s="2664">
        <v>135</v>
      </c>
      <c r="E30" t="s" s="2665">
        <v>46</v>
      </c>
      <c r="F30" t="n" s="4459">
        <v>43115.0</v>
      </c>
      <c r="G30" t="s" s="4460">
        <v>0</v>
      </c>
      <c r="H30" t="n" s="2668">
        <v>1230.0</v>
      </c>
      <c r="I30" t="n" s="2669">
        <v>100.0</v>
      </c>
      <c r="J30" t="n" s="2670">
        <v>0.0</v>
      </c>
      <c r="K30" t="n" s="2671">
        <v>600.0</v>
      </c>
      <c r="L30" t="n" s="2672">
        <v>0.0</v>
      </c>
      <c r="M30" t="n" s="2673">
        <v>0.0</v>
      </c>
      <c r="N30" t="n" s="2674">
        <v>0.0</v>
      </c>
      <c r="O30" t="n" s="2675">
        <v>0.0</v>
      </c>
      <c r="P30" t="n" s="2676">
        <v>0.0</v>
      </c>
      <c r="Q30" t="n" s="2677">
        <v>0.0</v>
      </c>
      <c r="R30" t="n" s="2678">
        <v>8.0</v>
      </c>
      <c r="S30" t="n" s="2679">
        <v>94.64</v>
      </c>
      <c r="T30" t="n" s="2680">
        <v>0.0</v>
      </c>
      <c r="U30" t="n" s="2681">
        <v>0.0</v>
      </c>
      <c r="V30" t="n" s="2682">
        <v>0.0</v>
      </c>
      <c r="W30" t="n" s="2683">
        <f>q30+s30+u30+v30</f>
      </c>
      <c r="X30" t="n" s="2684">
        <v>0.0</v>
      </c>
      <c r="Y30" t="n" s="2685">
        <v>0.0</v>
      </c>
      <c r="Z30" t="n" s="2686">
        <v>0.0</v>
      </c>
      <c r="AA30" t="n" s="2687">
        <f>h30+i30+j30+k30+l30+m30+n30+o30+w30+x30+y30+z30</f>
      </c>
      <c r="AB30" t="n" s="2688">
        <v>253.0</v>
      </c>
      <c r="AC30" t="n" s="2689">
        <v>35.85</v>
      </c>
      <c r="AD30" t="n" s="2690">
        <v>4.1</v>
      </c>
      <c r="AE30" t="n" s="2691">
        <v>80.0</v>
      </c>
      <c r="AF30" t="n" s="2692">
        <f>ROUND((aa30+ab30+ac30+ad30+ae30),2)</f>
      </c>
      <c r="AG30" t="n" s="2693">
        <f>ae30*0.06</f>
      </c>
      <c r="AH30" t="n" s="2694">
        <f>af30+ag30</f>
      </c>
      <c r="AI30" t="s" s="2695">
        <v>0</v>
      </c>
    </row>
    <row r="31">
      <c r="A31" t="s" s="2696">
        <v>136</v>
      </c>
      <c r="B31" t="s" s="2697">
        <v>137</v>
      </c>
      <c r="C31" t="s" s="2698">
        <v>138</v>
      </c>
      <c r="D31" t="s" s="2699">
        <v>139</v>
      </c>
      <c r="E31" t="s" s="2700">
        <v>46</v>
      </c>
      <c r="F31" t="n" s="4461">
        <v>43132.0</v>
      </c>
      <c r="G31" t="s" s="4462">
        <v>0</v>
      </c>
      <c r="H31" t="n" s="2703">
        <v>1230.0</v>
      </c>
      <c r="I31" t="n" s="2704">
        <v>100.0</v>
      </c>
      <c r="J31" t="n" s="2705">
        <v>0.0</v>
      </c>
      <c r="K31" t="n" s="2706">
        <v>600.0</v>
      </c>
      <c r="L31" t="n" s="2707">
        <v>0.0</v>
      </c>
      <c r="M31" t="n" s="2708">
        <v>0.0</v>
      </c>
      <c r="N31" t="n" s="2709">
        <v>0.0</v>
      </c>
      <c r="O31" t="n" s="2710">
        <v>0.0</v>
      </c>
      <c r="P31" t="n" s="2711">
        <v>0.0</v>
      </c>
      <c r="Q31" t="n" s="2712">
        <v>0.0</v>
      </c>
      <c r="R31" t="n" s="2713">
        <v>8.0</v>
      </c>
      <c r="S31" t="n" s="2714">
        <v>94.64</v>
      </c>
      <c r="T31" t="n" s="2715">
        <v>0.0</v>
      </c>
      <c r="U31" t="n" s="2716">
        <v>0.0</v>
      </c>
      <c r="V31" t="n" s="2717">
        <v>0.0</v>
      </c>
      <c r="W31" t="n" s="2718">
        <f>q31+s31+u31+v31</f>
      </c>
      <c r="X31" t="n" s="2719">
        <v>0.0</v>
      </c>
      <c r="Y31" t="n" s="2720">
        <v>0.0</v>
      </c>
      <c r="Z31" t="n" s="2721">
        <v>0.0</v>
      </c>
      <c r="AA31" t="n" s="2722">
        <f>h31+i31+j31+k31+l31+m31+n31+o31+w31+x31+y31+z31</f>
      </c>
      <c r="AB31" t="n" s="2723">
        <v>253.0</v>
      </c>
      <c r="AC31" t="n" s="2724">
        <v>35.85</v>
      </c>
      <c r="AD31" t="n" s="2725">
        <v>4.1</v>
      </c>
      <c r="AE31" t="n" s="2726">
        <v>80.0</v>
      </c>
      <c r="AF31" t="n" s="2727">
        <f>ROUND((aa31+ab31+ac31+ad31+ae31),2)</f>
      </c>
      <c r="AG31" t="n" s="2728">
        <f>ae31*0.06</f>
      </c>
      <c r="AH31" t="n" s="2729">
        <f>af31+ag31</f>
      </c>
      <c r="AI31" t="s" s="2730">
        <v>0</v>
      </c>
    </row>
    <row r="32">
      <c r="A32" t="s" s="2731">
        <v>140</v>
      </c>
      <c r="B32" t="s" s="2732">
        <v>141</v>
      </c>
      <c r="C32" t="s" s="2733">
        <v>142</v>
      </c>
      <c r="D32" t="s" s="2734">
        <v>143</v>
      </c>
      <c r="E32" t="s" s="2735">
        <v>46</v>
      </c>
      <c r="F32" t="n" s="4463">
        <v>43160.0</v>
      </c>
      <c r="G32" t="s" s="4464">
        <v>0</v>
      </c>
      <c r="H32" t="n" s="2738">
        <v>1230.0</v>
      </c>
      <c r="I32" t="n" s="2739">
        <v>100.0</v>
      </c>
      <c r="J32" t="n" s="2740">
        <v>0.0</v>
      </c>
      <c r="K32" t="n" s="2741">
        <v>600.0</v>
      </c>
      <c r="L32" t="n" s="2742">
        <v>0.0</v>
      </c>
      <c r="M32" t="n" s="2743">
        <v>29.3</v>
      </c>
      <c r="N32" t="n" s="2744">
        <v>0.0</v>
      </c>
      <c r="O32" t="n" s="2745">
        <v>0.0</v>
      </c>
      <c r="P32" t="n" s="2746">
        <v>0.0</v>
      </c>
      <c r="Q32" t="n" s="2747">
        <v>0.0</v>
      </c>
      <c r="R32" t="n" s="2748">
        <v>16.0</v>
      </c>
      <c r="S32" t="n" s="2749">
        <v>189.28</v>
      </c>
      <c r="T32" t="n" s="2750">
        <v>0.0</v>
      </c>
      <c r="U32" t="n" s="2751">
        <v>0.0</v>
      </c>
      <c r="V32" t="n" s="2752">
        <v>0.0</v>
      </c>
      <c r="W32" t="n" s="2753">
        <f>q32+s32+u32+v32</f>
      </c>
      <c r="X32" t="n" s="2754">
        <v>0.0</v>
      </c>
      <c r="Y32" t="n" s="2755">
        <v>0.0</v>
      </c>
      <c r="Z32" t="n" s="2756">
        <v>0.0</v>
      </c>
      <c r="AA32" t="n" s="2757">
        <f>h32+i32+j32+k32+l32+m32+n32+o32+w32+x32+y32+z32</f>
      </c>
      <c r="AB32" t="n" s="2758">
        <v>253.0</v>
      </c>
      <c r="AC32" t="n" s="2759">
        <v>37.65</v>
      </c>
      <c r="AD32" t="n" s="2760">
        <v>4.3</v>
      </c>
      <c r="AE32" t="n" s="2761">
        <v>80.0</v>
      </c>
      <c r="AF32" t="n" s="2762">
        <f>ROUND((aa32+ab32+ac32+ad32+ae32),2)</f>
      </c>
      <c r="AG32" t="n" s="2763">
        <f>ae32*0.06</f>
      </c>
      <c r="AH32" t="n" s="2764">
        <f>af32+ag32</f>
      </c>
      <c r="AI32" t="s" s="2765">
        <v>0</v>
      </c>
    </row>
    <row r="33">
      <c r="A33" t="s" s="2766">
        <v>144</v>
      </c>
      <c r="B33" t="s" s="2767">
        <v>145</v>
      </c>
      <c r="C33" t="s" s="2768">
        <v>146</v>
      </c>
      <c r="D33" t="s" s="2769">
        <v>147</v>
      </c>
      <c r="E33" t="s" s="2770">
        <v>46</v>
      </c>
      <c r="F33" t="n" s="4465">
        <v>43539.0</v>
      </c>
      <c r="G33" t="s" s="4466">
        <v>0</v>
      </c>
      <c r="H33" t="n" s="2773">
        <v>1300.0</v>
      </c>
      <c r="I33" t="n" s="2774">
        <v>100.0</v>
      </c>
      <c r="J33" t="n" s="2775">
        <v>0.0</v>
      </c>
      <c r="K33" t="n" s="2776">
        <v>1573.0</v>
      </c>
      <c r="L33" t="n" s="2777">
        <v>0.0</v>
      </c>
      <c r="M33" t="n" s="2778">
        <v>0.0</v>
      </c>
      <c r="N33" t="n" s="2779">
        <v>0.0</v>
      </c>
      <c r="O33" t="n" s="2780">
        <v>0.0</v>
      </c>
      <c r="P33" t="n" s="2781">
        <v>7.0</v>
      </c>
      <c r="Q33" t="n" s="2782">
        <v>65.66</v>
      </c>
      <c r="R33" t="n" s="2783">
        <v>16.0</v>
      </c>
      <c r="S33" t="n" s="2784">
        <v>200.0</v>
      </c>
      <c r="T33" t="n" s="2785">
        <v>0.0</v>
      </c>
      <c r="U33" t="n" s="2786">
        <v>0.0</v>
      </c>
      <c r="V33" t="n" s="2787">
        <v>0.0</v>
      </c>
      <c r="W33" t="n" s="2788">
        <f>q33+s33+u33+v33</f>
      </c>
      <c r="X33" t="n" s="2789">
        <v>0.0</v>
      </c>
      <c r="Y33" t="n" s="2790">
        <v>0.0</v>
      </c>
      <c r="Z33" t="n" s="2791">
        <v>0.0</v>
      </c>
      <c r="AA33" t="n" s="2792">
        <f>h33+i33+j33+k33+l33+m33+n33+o33+w33+x33+y33+z33</f>
      </c>
      <c r="AB33" t="n" s="2793">
        <v>388.0</v>
      </c>
      <c r="AC33" t="n" s="2794">
        <v>56.85</v>
      </c>
      <c r="AD33" t="n" s="2795">
        <v>6.5</v>
      </c>
      <c r="AE33" t="n" s="2796">
        <v>80.0</v>
      </c>
      <c r="AF33" t="n" s="2797">
        <f>ROUND((aa33+ab33+ac33+ad33+ae33),2)</f>
      </c>
      <c r="AG33" t="n" s="2798">
        <f>ae33*0.06</f>
      </c>
      <c r="AH33" t="n" s="2799">
        <f>af33+ag33</f>
      </c>
      <c r="AI33" t="s" s="2800">
        <v>0</v>
      </c>
    </row>
    <row r="34">
      <c r="A34" t="s" s="2801">
        <v>148</v>
      </c>
      <c r="B34" t="s" s="2802">
        <v>149</v>
      </c>
      <c r="C34" t="s" s="2803">
        <v>150</v>
      </c>
      <c r="D34" t="s" s="2804">
        <v>151</v>
      </c>
      <c r="E34" t="s" s="2805">
        <v>46</v>
      </c>
      <c r="F34" t="n" s="4467">
        <v>43314.0</v>
      </c>
      <c r="G34" t="s" s="4468">
        <v>0</v>
      </c>
      <c r="H34" t="n" s="2808">
        <v>1400.0</v>
      </c>
      <c r="I34" t="n" s="2809">
        <v>100.0</v>
      </c>
      <c r="J34" t="n" s="2810">
        <v>0.0</v>
      </c>
      <c r="K34" t="n" s="2811">
        <v>771.68</v>
      </c>
      <c r="L34" t="n" s="2812">
        <v>0.0</v>
      </c>
      <c r="M34" t="n" s="2813">
        <v>100.0</v>
      </c>
      <c r="N34" t="n" s="2814">
        <v>0.0</v>
      </c>
      <c r="O34" t="n" s="2815">
        <v>0.0</v>
      </c>
      <c r="P34" t="n" s="2816">
        <v>38.0</v>
      </c>
      <c r="Q34" t="n" s="2817">
        <v>383.8</v>
      </c>
      <c r="R34" t="n" s="2818">
        <v>16.0</v>
      </c>
      <c r="S34" t="n" s="2819">
        <v>215.36</v>
      </c>
      <c r="T34" t="n" s="2820">
        <v>5.5</v>
      </c>
      <c r="U34" t="n" s="2821">
        <v>111.05</v>
      </c>
      <c r="V34" t="n" s="2822">
        <v>0.0</v>
      </c>
      <c r="W34" t="n" s="2823">
        <f>q34+s34+u34+v34</f>
      </c>
      <c r="X34" t="n" s="2824">
        <v>0.0</v>
      </c>
      <c r="Y34" t="n" s="2825">
        <v>0.0</v>
      </c>
      <c r="Z34" t="n" s="2826">
        <v>0.0</v>
      </c>
      <c r="AA34" t="n" s="2827">
        <f>h34+i34+j34+k34+l34+m34+n34+o34+w34+x34+y34+z34</f>
      </c>
      <c r="AB34" t="n" s="2828">
        <v>297.0</v>
      </c>
      <c r="AC34" t="n" s="2829">
        <v>51.65</v>
      </c>
      <c r="AD34" t="n" s="2830">
        <v>5.9</v>
      </c>
      <c r="AE34" t="n" s="2831">
        <v>80.0</v>
      </c>
      <c r="AF34" t="n" s="2832">
        <f>ROUND((aa34+ab34+ac34+ad34+ae34),2)</f>
      </c>
      <c r="AG34" t="n" s="2833">
        <f>ae34*0.06</f>
      </c>
      <c r="AH34" t="n" s="2834">
        <f>af34+ag34</f>
      </c>
      <c r="AI34" t="s" s="2835">
        <v>0</v>
      </c>
    </row>
    <row r="35">
      <c r="A35" t="s" s="2836">
        <v>152</v>
      </c>
      <c r="B35" t="s" s="2837">
        <v>153</v>
      </c>
      <c r="C35" t="s" s="2838">
        <v>154</v>
      </c>
      <c r="D35" t="s" s="2839">
        <v>155</v>
      </c>
      <c r="E35" t="s" s="2840">
        <v>46</v>
      </c>
      <c r="F35" t="n" s="4469">
        <v>43466.0</v>
      </c>
      <c r="G35" t="s" s="4470">
        <v>0</v>
      </c>
      <c r="H35" t="n" s="2843">
        <v>1300.0</v>
      </c>
      <c r="I35" t="n" s="2844">
        <v>100.0</v>
      </c>
      <c r="J35" t="n" s="2845">
        <v>0.0</v>
      </c>
      <c r="K35" t="n" s="2846">
        <v>1500.0</v>
      </c>
      <c r="L35" t="n" s="2847">
        <v>0.0</v>
      </c>
      <c r="M35" t="n" s="2848">
        <v>0.0</v>
      </c>
      <c r="N35" t="n" s="2849">
        <v>0.0</v>
      </c>
      <c r="O35" t="n" s="2850">
        <v>0.0</v>
      </c>
      <c r="P35" t="n" s="2851">
        <v>18.0</v>
      </c>
      <c r="Q35" t="n" s="2852">
        <v>168.84</v>
      </c>
      <c r="R35" t="n" s="2853">
        <v>16.0</v>
      </c>
      <c r="S35" t="n" s="2854">
        <v>200.0</v>
      </c>
      <c r="T35" t="n" s="2855">
        <v>0.0</v>
      </c>
      <c r="U35" t="n" s="2856">
        <v>0.0</v>
      </c>
      <c r="V35" t="n" s="2857">
        <v>0.0</v>
      </c>
      <c r="W35" t="n" s="2858">
        <f>q35+s35+u35+v35</f>
      </c>
      <c r="X35" t="n" s="2859">
        <v>0.0</v>
      </c>
      <c r="Y35" t="n" s="2860">
        <v>0.0</v>
      </c>
      <c r="Z35" t="n" s="2861">
        <v>0.0</v>
      </c>
      <c r="AA35" t="n" s="2862">
        <f>h35+i35+j35+k35+l35+m35+n35+o35+w35+x35+y35+z35</f>
      </c>
      <c r="AB35" t="n" s="2863">
        <v>377.0</v>
      </c>
      <c r="AC35" t="n" s="2864">
        <v>56.85</v>
      </c>
      <c r="AD35" t="n" s="2865">
        <v>6.5</v>
      </c>
      <c r="AE35" t="n" s="2866">
        <v>80.0</v>
      </c>
      <c r="AF35" t="n" s="2867">
        <f>ROUND((aa35+ab35+ac35+ad35+ae35),2)</f>
      </c>
      <c r="AG35" t="n" s="2868">
        <f>ae35*0.06</f>
      </c>
      <c r="AH35" t="n" s="2869">
        <f>af35+ag35</f>
      </c>
      <c r="AI35" t="s" s="2870">
        <v>0</v>
      </c>
    </row>
    <row r="36">
      <c r="A36" t="s" s="2871">
        <v>156</v>
      </c>
      <c r="B36" t="s" s="2872">
        <v>157</v>
      </c>
      <c r="C36" t="s" s="2873">
        <v>158</v>
      </c>
      <c r="D36" t="s" s="2874">
        <v>159</v>
      </c>
      <c r="E36" t="s" s="2875">
        <v>46</v>
      </c>
      <c r="F36" t="n" s="4471">
        <v>43539.0</v>
      </c>
      <c r="G36" t="s" s="4472">
        <v>0</v>
      </c>
      <c r="H36" t="n" s="2878">
        <v>1400.0</v>
      </c>
      <c r="I36" t="n" s="2879">
        <v>100.0</v>
      </c>
      <c r="J36" t="n" s="2880">
        <v>0.0</v>
      </c>
      <c r="K36" t="n" s="2881">
        <v>324.21</v>
      </c>
      <c r="L36" t="n" s="2882">
        <v>0.0</v>
      </c>
      <c r="M36" t="n" s="2883">
        <v>0.0</v>
      </c>
      <c r="N36" t="n" s="2884">
        <v>0.0</v>
      </c>
      <c r="O36" t="n" s="2885">
        <v>0.0</v>
      </c>
      <c r="P36" t="n" s="2886">
        <v>22.5</v>
      </c>
      <c r="Q36" t="n" s="2887">
        <v>227.25</v>
      </c>
      <c r="R36" t="n" s="2888">
        <v>16.0</v>
      </c>
      <c r="S36" t="n" s="2889">
        <v>215.36</v>
      </c>
      <c r="T36" t="n" s="2890">
        <v>0.0</v>
      </c>
      <c r="U36" t="n" s="2891">
        <v>0.0</v>
      </c>
      <c r="V36" t="n" s="2892">
        <v>0.0</v>
      </c>
      <c r="W36" t="n" s="2893">
        <f>q36+s36+u36+v36</f>
      </c>
      <c r="X36" t="n" s="2894">
        <v>0.0</v>
      </c>
      <c r="Y36" t="n" s="2895">
        <v>0.0</v>
      </c>
      <c r="Z36" t="n" s="2896">
        <v>0.0</v>
      </c>
      <c r="AA36" t="n" s="2897">
        <f>h36+i36+j36+k36+l36+m36+n36+o36+w36+x36+y36+z36</f>
      </c>
      <c r="AB36" t="n" s="2898">
        <v>240.0</v>
      </c>
      <c r="AC36" t="n" s="2899">
        <v>39.35</v>
      </c>
      <c r="AD36" t="n" s="2900">
        <v>4.5</v>
      </c>
      <c r="AE36" t="n" s="2901">
        <v>80.0</v>
      </c>
      <c r="AF36" t="n" s="2902">
        <f>ROUND((aa36+ab36+ac36+ad36+ae36),2)</f>
      </c>
      <c r="AG36" t="n" s="2903">
        <f>ae36*0.06</f>
      </c>
      <c r="AH36" t="n" s="2904">
        <f>af36+ag36</f>
      </c>
      <c r="AI36" t="s" s="2905">
        <v>0</v>
      </c>
    </row>
    <row r="37">
      <c r="A37" t="s" s="2906">
        <v>160</v>
      </c>
      <c r="B37" t="s" s="2907">
        <v>161</v>
      </c>
      <c r="C37" t="s" s="2908">
        <v>162</v>
      </c>
      <c r="D37" t="s" s="2909">
        <v>163</v>
      </c>
      <c r="E37" t="s" s="2910">
        <v>46</v>
      </c>
      <c r="F37" t="n" s="4473">
        <v>43539.0</v>
      </c>
      <c r="G37" t="s" s="4474">
        <v>0</v>
      </c>
      <c r="H37" t="n" s="2913">
        <v>1400.0</v>
      </c>
      <c r="I37" t="n" s="2914">
        <v>100.0</v>
      </c>
      <c r="J37" t="n" s="2915">
        <v>0.0</v>
      </c>
      <c r="K37" t="n" s="2916">
        <v>1200.0</v>
      </c>
      <c r="L37" t="n" s="2917">
        <v>0.0</v>
      </c>
      <c r="M37" t="n" s="2918">
        <v>0.0</v>
      </c>
      <c r="N37" t="n" s="2919">
        <v>0.0</v>
      </c>
      <c r="O37" t="n" s="2920">
        <v>0.0</v>
      </c>
      <c r="P37" t="n" s="2921">
        <v>8.0</v>
      </c>
      <c r="Q37" t="n" s="2922">
        <v>80.8</v>
      </c>
      <c r="R37" t="n" s="2923">
        <v>16.0</v>
      </c>
      <c r="S37" t="n" s="2924">
        <v>215.36</v>
      </c>
      <c r="T37" t="n" s="2925">
        <v>0.0</v>
      </c>
      <c r="U37" t="n" s="2926">
        <v>0.0</v>
      </c>
      <c r="V37" t="n" s="2927">
        <v>0.0</v>
      </c>
      <c r="W37" t="n" s="2928">
        <f>q37+s37+u37+v37</f>
      </c>
      <c r="X37" t="n" s="2929">
        <v>0.0</v>
      </c>
      <c r="Y37" t="n" s="2930">
        <v>0.0</v>
      </c>
      <c r="Z37" t="n" s="2931">
        <v>0.0</v>
      </c>
      <c r="AA37" t="n" s="2932">
        <f>h37+i37+j37+k37+l37+m37+n37+o37+w37+x37+y37+z37</f>
      </c>
      <c r="AB37" t="n" s="2933">
        <v>351.0</v>
      </c>
      <c r="AC37" t="n" s="2934">
        <v>51.65</v>
      </c>
      <c r="AD37" t="n" s="2935">
        <v>5.9</v>
      </c>
      <c r="AE37" t="n" s="2936">
        <v>80.0</v>
      </c>
      <c r="AF37" t="n" s="2937">
        <f>ROUND((aa37+ab37+ac37+ad37+ae37),2)</f>
      </c>
      <c r="AG37" t="n" s="2938">
        <f>ae37*0.06</f>
      </c>
      <c r="AH37" t="n" s="2939">
        <f>af37+ag37</f>
      </c>
      <c r="AI37" t="s" s="2940">
        <v>0</v>
      </c>
    </row>
    <row r="38">
      <c r="A38" t="s" s="2941">
        <v>164</v>
      </c>
      <c r="B38" t="s" s="2942">
        <v>165</v>
      </c>
      <c r="C38" t="s" s="2943">
        <v>166</v>
      </c>
      <c r="D38" t="s" s="2944">
        <v>167</v>
      </c>
      <c r="E38" t="s" s="2945">
        <v>46</v>
      </c>
      <c r="F38" t="n" s="4475">
        <v>43591.0</v>
      </c>
      <c r="G38" t="s" s="4476">
        <v>0</v>
      </c>
      <c r="H38" t="n" s="2948">
        <v>1300.0</v>
      </c>
      <c r="I38" t="n" s="2949">
        <v>100.0</v>
      </c>
      <c r="J38" t="n" s="2950">
        <v>0.0</v>
      </c>
      <c r="K38" t="n" s="2951">
        <v>650.0</v>
      </c>
      <c r="L38" t="n" s="2952">
        <v>0.0</v>
      </c>
      <c r="M38" t="n" s="2953">
        <v>0.0</v>
      </c>
      <c r="N38" t="n" s="2954">
        <v>0.0</v>
      </c>
      <c r="O38" t="n" s="2955">
        <v>0.0</v>
      </c>
      <c r="P38" t="n" s="2956">
        <v>0.0</v>
      </c>
      <c r="Q38" t="n" s="2957">
        <v>0.0</v>
      </c>
      <c r="R38" t="n" s="2958">
        <v>16.0</v>
      </c>
      <c r="S38" t="n" s="2959">
        <v>200.0</v>
      </c>
      <c r="T38" t="n" s="2960">
        <v>0.0</v>
      </c>
      <c r="U38" t="n" s="2961">
        <v>0.0</v>
      </c>
      <c r="V38" t="n" s="2962">
        <v>0.0</v>
      </c>
      <c r="W38" t="n" s="2963">
        <f>q38+s38+u38+v38</f>
      </c>
      <c r="X38" t="n" s="2964">
        <v>0.0</v>
      </c>
      <c r="Y38" t="n" s="2965">
        <v>0.0</v>
      </c>
      <c r="Z38" t="n" s="2966">
        <v>0.0</v>
      </c>
      <c r="AA38" t="n" s="2967">
        <f>h38+i38+j38+k38+l38+m38+n38+o38+w38+x38+y38+z38</f>
      </c>
      <c r="AB38" t="n" s="2968">
        <v>268.0</v>
      </c>
      <c r="AC38" t="n" s="2969">
        <v>39.35</v>
      </c>
      <c r="AD38" t="n" s="2970">
        <v>4.5</v>
      </c>
      <c r="AE38" t="n" s="2971">
        <v>80.0</v>
      </c>
      <c r="AF38" t="n" s="2972">
        <f>ROUND((aa38+ab38+ac38+ad38+ae38),2)</f>
      </c>
      <c r="AG38" t="n" s="2973">
        <f>ae38*0.06</f>
      </c>
      <c r="AH38" t="n" s="2974">
        <f>af38+ag38</f>
      </c>
      <c r="AI38" t="s" s="2975">
        <v>0</v>
      </c>
    </row>
    <row r="39">
      <c r="A39" t="s" s="2976">
        <v>168</v>
      </c>
      <c r="B39" t="s" s="2977">
        <v>169</v>
      </c>
      <c r="C39" t="s" s="2978">
        <v>170</v>
      </c>
      <c r="D39" t="s" s="2979">
        <v>171</v>
      </c>
      <c r="E39" t="s" s="2980">
        <v>46</v>
      </c>
      <c r="F39" t="n" s="4477">
        <v>43631.0</v>
      </c>
      <c r="G39" t="s" s="4478">
        <v>0</v>
      </c>
      <c r="H39" t="n" s="2983">
        <v>1400.0</v>
      </c>
      <c r="I39" t="n" s="2984">
        <v>100.0</v>
      </c>
      <c r="J39" t="n" s="2985">
        <v>0.0</v>
      </c>
      <c r="K39" t="n" s="2986">
        <v>2112.71</v>
      </c>
      <c r="L39" t="n" s="2987">
        <v>0.0</v>
      </c>
      <c r="M39" t="n" s="2988">
        <v>0.0</v>
      </c>
      <c r="N39" t="n" s="2989">
        <v>0.0</v>
      </c>
      <c r="O39" t="n" s="2990">
        <v>0.0</v>
      </c>
      <c r="P39" t="n" s="2991">
        <v>17.0</v>
      </c>
      <c r="Q39" t="n" s="2992">
        <v>171.7</v>
      </c>
      <c r="R39" t="n" s="2993">
        <v>16.0</v>
      </c>
      <c r="S39" t="n" s="2994">
        <v>215.36</v>
      </c>
      <c r="T39" t="n" s="2995">
        <v>0.0</v>
      </c>
      <c r="U39" t="n" s="2996">
        <v>0.0</v>
      </c>
      <c r="V39" t="n" s="2997">
        <v>0.0</v>
      </c>
      <c r="W39" t="n" s="2998">
        <f>q39+s39+u39+v39</f>
      </c>
      <c r="X39" t="n" s="2999">
        <v>0.0</v>
      </c>
      <c r="Y39" t="n" s="3000">
        <v>0.0</v>
      </c>
      <c r="Z39" t="n" s="3001">
        <v>0.0</v>
      </c>
      <c r="AA39" t="n" s="3002">
        <f>h39+i39+j39+k39+l39+m39+n39+o39+w39+x39+y39+z39</f>
      </c>
      <c r="AB39" t="n" s="3003">
        <v>471.0</v>
      </c>
      <c r="AC39" t="n" s="3004">
        <v>69.05</v>
      </c>
      <c r="AD39" t="n" s="3005">
        <v>7.9</v>
      </c>
      <c r="AE39" t="n" s="3006">
        <v>80.0</v>
      </c>
      <c r="AF39" t="n" s="3007">
        <f>ROUND((aa39+ab39+ac39+ad39+ae39),2)</f>
      </c>
      <c r="AG39" t="n" s="3008">
        <f>ae39*0.06</f>
      </c>
      <c r="AH39" t="n" s="3009">
        <f>af39+ag39</f>
      </c>
      <c r="AI39" t="s" s="3010">
        <v>0</v>
      </c>
    </row>
    <row r="40">
      <c r="A40" t="s" s="3011">
        <v>172</v>
      </c>
      <c r="B40" t="s" s="3012">
        <v>173</v>
      </c>
      <c r="C40" t="s" s="3013">
        <v>174</v>
      </c>
      <c r="D40" t="s" s="3014">
        <v>175</v>
      </c>
      <c r="E40" t="s" s="3015">
        <v>46</v>
      </c>
      <c r="F40" t="n" s="4479">
        <v>43690.0</v>
      </c>
      <c r="G40" t="s" s="4480">
        <v>0</v>
      </c>
      <c r="H40" t="n" s="3018">
        <v>1500.0</v>
      </c>
      <c r="I40" t="n" s="3019">
        <v>100.0</v>
      </c>
      <c r="J40" t="n" s="3020">
        <v>0.0</v>
      </c>
      <c r="K40" t="n" s="3021">
        <v>700.0</v>
      </c>
      <c r="L40" t="n" s="3022">
        <v>0.0</v>
      </c>
      <c r="M40" t="n" s="3023">
        <v>0.0</v>
      </c>
      <c r="N40" t="n" s="3024">
        <v>0.0</v>
      </c>
      <c r="O40" t="n" s="3025">
        <v>0.0</v>
      </c>
      <c r="P40" t="n" s="3026">
        <v>0.0</v>
      </c>
      <c r="Q40" t="n" s="3027">
        <v>0.0</v>
      </c>
      <c r="R40" t="n" s="3028">
        <v>16.0</v>
      </c>
      <c r="S40" t="n" s="3029">
        <v>230.72</v>
      </c>
      <c r="T40" t="n" s="3030">
        <v>0.0</v>
      </c>
      <c r="U40" t="n" s="3031">
        <v>0.0</v>
      </c>
      <c r="V40" t="n" s="3032">
        <v>0.0</v>
      </c>
      <c r="W40" t="n" s="3033">
        <f>q40+s40+u40+v40</f>
      </c>
      <c r="X40" t="n" s="3034">
        <v>0.0</v>
      </c>
      <c r="Y40" t="n" s="3035">
        <v>0.0</v>
      </c>
      <c r="Z40" t="n" s="3036">
        <v>0.0</v>
      </c>
      <c r="AA40" t="n" s="3037">
        <f>h40+i40+j40+k40+l40+m40+n40+o40+w40+x40+y40+z40</f>
      </c>
      <c r="AB40" t="n" s="3038">
        <v>299.0</v>
      </c>
      <c r="AC40" t="n" s="3039">
        <v>44.65</v>
      </c>
      <c r="AD40" t="n" s="3040">
        <v>5.1</v>
      </c>
      <c r="AE40" t="n" s="3041">
        <v>80.0</v>
      </c>
      <c r="AF40" t="n" s="3042">
        <f>ROUND((aa40+ab40+ac40+ad40+ae40),2)</f>
      </c>
      <c r="AG40" t="n" s="3043">
        <f>ae40*0.06</f>
      </c>
      <c r="AH40" t="n" s="3044">
        <f>af40+ag40</f>
      </c>
      <c r="AI40" t="s" s="3045">
        <v>0</v>
      </c>
    </row>
    <row r="41">
      <c r="A41" t="s" s="3046">
        <v>176</v>
      </c>
      <c r="B41" t="s" s="3047">
        <v>177</v>
      </c>
      <c r="C41" t="s" s="3048">
        <v>178</v>
      </c>
      <c r="D41" t="s" s="3049">
        <v>179</v>
      </c>
      <c r="E41" t="s" s="3050">
        <v>180</v>
      </c>
      <c r="F41" t="n" s="4481">
        <v>41944.0</v>
      </c>
      <c r="G41" t="s" s="4482">
        <v>0</v>
      </c>
      <c r="H41" t="n" s="3053">
        <v>1460.0</v>
      </c>
      <c r="I41" t="n" s="3054">
        <v>100.0</v>
      </c>
      <c r="J41" t="n" s="3055">
        <v>0.0</v>
      </c>
      <c r="K41" t="n" s="3056">
        <v>1200.0</v>
      </c>
      <c r="L41" t="n" s="3057">
        <v>0.0</v>
      </c>
      <c r="M41" t="n" s="3058">
        <v>0.0</v>
      </c>
      <c r="N41" t="n" s="3059">
        <v>0.0</v>
      </c>
      <c r="O41" t="n" s="3060">
        <v>0.0</v>
      </c>
      <c r="P41" t="n" s="3061">
        <v>0.0</v>
      </c>
      <c r="Q41" t="n" s="3062">
        <v>0.0</v>
      </c>
      <c r="R41" t="n" s="3063">
        <v>16.0</v>
      </c>
      <c r="S41" t="n" s="3064">
        <v>224.64</v>
      </c>
      <c r="T41" t="n" s="3065">
        <v>0.0</v>
      </c>
      <c r="U41" t="n" s="3066">
        <v>0.0</v>
      </c>
      <c r="V41" t="n" s="3067">
        <v>0.0</v>
      </c>
      <c r="W41" t="n" s="3068">
        <f>q41+s41+u41+v41</f>
      </c>
      <c r="X41" t="n" s="3069">
        <v>0.0</v>
      </c>
      <c r="Y41" t="n" s="3070">
        <v>0.0</v>
      </c>
      <c r="Z41" t="n" s="3071">
        <v>0.0</v>
      </c>
      <c r="AA41" t="n" s="3072">
        <f>h41+i41+j41+k41+l41+m41+n41+o41+w41+x41+y41+z41</f>
      </c>
      <c r="AB41" t="n" s="3073">
        <v>359.0</v>
      </c>
      <c r="AC41" t="n" s="3074">
        <v>51.65</v>
      </c>
      <c r="AD41" t="n" s="3075">
        <v>5.9</v>
      </c>
      <c r="AE41" t="n" s="3076">
        <v>80.0</v>
      </c>
      <c r="AF41" t="n" s="3077">
        <f>ROUND((aa41+ab41+ac41+ad41+ae41),2)</f>
      </c>
      <c r="AG41" t="n" s="3078">
        <f>ae41*0.06</f>
      </c>
      <c r="AH41" t="n" s="3079">
        <f>af41+ag41</f>
      </c>
      <c r="AI41" t="s" s="3080">
        <v>0</v>
      </c>
    </row>
    <row r="42">
      <c r="A42" t="s" s="3081">
        <v>181</v>
      </c>
      <c r="B42" t="s" s="3082">
        <v>182</v>
      </c>
      <c r="C42" t="s" s="3083">
        <v>183</v>
      </c>
      <c r="D42" t="s" s="3084">
        <v>184</v>
      </c>
      <c r="E42" t="s" s="3085">
        <v>180</v>
      </c>
      <c r="F42" t="n" s="4483">
        <v>41944.0</v>
      </c>
      <c r="G42" t="s" s="4484">
        <v>0</v>
      </c>
      <c r="H42" t="n" s="3088">
        <v>1390.0</v>
      </c>
      <c r="I42" t="n" s="3089">
        <v>100.0</v>
      </c>
      <c r="J42" t="n" s="3090">
        <v>0.0</v>
      </c>
      <c r="K42" t="n" s="3091">
        <v>1057.0</v>
      </c>
      <c r="L42" t="n" s="3092">
        <v>0.0</v>
      </c>
      <c r="M42" t="n" s="3093">
        <v>0.0</v>
      </c>
      <c r="N42" t="n" s="3094">
        <v>0.0</v>
      </c>
      <c r="O42" t="n" s="3095">
        <v>0.0</v>
      </c>
      <c r="P42" t="n" s="3096">
        <v>3.0</v>
      </c>
      <c r="Q42" t="n" s="3097">
        <v>30.06</v>
      </c>
      <c r="R42" t="n" s="3098">
        <v>16.0</v>
      </c>
      <c r="S42" t="n" s="3099">
        <v>213.92</v>
      </c>
      <c r="T42" t="n" s="3100">
        <v>0.0</v>
      </c>
      <c r="U42" t="n" s="3101">
        <v>0.0</v>
      </c>
      <c r="V42" t="n" s="3102">
        <v>0.0</v>
      </c>
      <c r="W42" t="n" s="3103">
        <f>q42+s42+u42+v42</f>
      </c>
      <c r="X42" t="n" s="3104">
        <v>0.0</v>
      </c>
      <c r="Y42" t="n" s="3105">
        <v>0.0</v>
      </c>
      <c r="Z42" t="n" s="3106">
        <v>0.0</v>
      </c>
      <c r="AA42" t="n" s="3107">
        <f>h42+i42+j42+k42+l42+m42+n42+o42+w42+x42+y42+z42</f>
      </c>
      <c r="AB42" t="n" s="3108">
        <v>333.0</v>
      </c>
      <c r="AC42" t="n" s="3109">
        <v>48.15</v>
      </c>
      <c r="AD42" t="n" s="3110">
        <v>5.5</v>
      </c>
      <c r="AE42" t="n" s="3111">
        <v>80.0</v>
      </c>
      <c r="AF42" t="n" s="3112">
        <f>ROUND((aa42+ab42+ac42+ad42+ae42),2)</f>
      </c>
      <c r="AG42" t="n" s="3113">
        <f>ae42*0.06</f>
      </c>
      <c r="AH42" t="n" s="3114">
        <f>af42+ag42</f>
      </c>
      <c r="AI42" t="s" s="3115">
        <v>0</v>
      </c>
    </row>
    <row r="43">
      <c r="A43" t="s" s="3116">
        <v>185</v>
      </c>
      <c r="B43" t="s" s="3117">
        <v>186</v>
      </c>
      <c r="C43" t="s" s="3118">
        <v>187</v>
      </c>
      <c r="D43" t="s" s="3119">
        <v>188</v>
      </c>
      <c r="E43" t="s" s="3120">
        <v>180</v>
      </c>
      <c r="F43" t="n" s="4485">
        <v>41944.0</v>
      </c>
      <c r="G43" t="s" s="4486">
        <v>0</v>
      </c>
      <c r="H43" t="n" s="3123">
        <v>1410.0</v>
      </c>
      <c r="I43" t="n" s="3124">
        <v>100.0</v>
      </c>
      <c r="J43" t="n" s="3125">
        <v>0.0</v>
      </c>
      <c r="K43" t="n" s="3126">
        <v>850.0</v>
      </c>
      <c r="L43" t="n" s="3127">
        <v>0.0</v>
      </c>
      <c r="M43" t="n" s="3128">
        <v>10.0</v>
      </c>
      <c r="N43" t="n" s="3129">
        <v>0.0</v>
      </c>
      <c r="O43" t="n" s="3130">
        <v>0.0</v>
      </c>
      <c r="P43" t="n" s="3131">
        <v>2.0</v>
      </c>
      <c r="Q43" t="n" s="3132">
        <v>20.34</v>
      </c>
      <c r="R43" t="n" s="3133">
        <v>16.0</v>
      </c>
      <c r="S43" t="n" s="3134">
        <v>216.96</v>
      </c>
      <c r="T43" t="n" s="3135">
        <v>0.0</v>
      </c>
      <c r="U43" t="n" s="3136">
        <v>0.0</v>
      </c>
      <c r="V43" t="n" s="3137">
        <v>0.0</v>
      </c>
      <c r="W43" t="n" s="3138">
        <f>q43+s43+u43+v43</f>
      </c>
      <c r="X43" t="n" s="3139">
        <v>0.0</v>
      </c>
      <c r="Y43" t="n" s="3140">
        <v>0.0</v>
      </c>
      <c r="Z43" t="n" s="3141">
        <v>0.0</v>
      </c>
      <c r="AA43" t="n" s="3142">
        <f>h43+i43+j43+k43+l43+m43+n43+o43+w43+x43+y43+z43</f>
      </c>
      <c r="AB43" t="n" s="3143">
        <v>307.0</v>
      </c>
      <c r="AC43" t="n" s="3144">
        <v>44.65</v>
      </c>
      <c r="AD43" t="n" s="3145">
        <v>5.1</v>
      </c>
      <c r="AE43" t="n" s="3146">
        <v>80.0</v>
      </c>
      <c r="AF43" t="n" s="3147">
        <f>ROUND((aa43+ab43+ac43+ad43+ae43),2)</f>
      </c>
      <c r="AG43" t="n" s="3148">
        <f>ae43*0.06</f>
      </c>
      <c r="AH43" t="n" s="3149">
        <f>af43+ag43</f>
      </c>
      <c r="AI43" t="s" s="3150">
        <v>0</v>
      </c>
    </row>
    <row r="44">
      <c r="A44" t="s" s="3151">
        <v>189</v>
      </c>
      <c r="B44" t="s" s="3152">
        <v>190</v>
      </c>
      <c r="C44" t="s" s="3153">
        <v>191</v>
      </c>
      <c r="D44" t="s" s="3154">
        <v>192</v>
      </c>
      <c r="E44" t="s" s="3155">
        <v>180</v>
      </c>
      <c r="F44" t="n" s="4487">
        <v>41944.0</v>
      </c>
      <c r="G44" t="s" s="4488">
        <v>0</v>
      </c>
      <c r="H44" t="n" s="3158">
        <v>1390.0</v>
      </c>
      <c r="I44" t="n" s="3159">
        <v>100.0</v>
      </c>
      <c r="J44" t="n" s="3160">
        <v>0.0</v>
      </c>
      <c r="K44" t="n" s="3161">
        <v>1000.0</v>
      </c>
      <c r="L44" t="n" s="3162">
        <v>0.0</v>
      </c>
      <c r="M44" t="n" s="3163">
        <v>24.0</v>
      </c>
      <c r="N44" t="n" s="3164">
        <v>0.0</v>
      </c>
      <c r="O44" t="n" s="3165">
        <v>0.0</v>
      </c>
      <c r="P44" t="n" s="3166">
        <v>5.0</v>
      </c>
      <c r="Q44" t="n" s="3167">
        <v>50.1</v>
      </c>
      <c r="R44" t="n" s="3168">
        <v>16.0</v>
      </c>
      <c r="S44" t="n" s="3169">
        <v>213.92</v>
      </c>
      <c r="T44" t="n" s="3170">
        <v>0.0</v>
      </c>
      <c r="U44" t="n" s="3171">
        <v>0.0</v>
      </c>
      <c r="V44" t="n" s="3172">
        <v>0.0</v>
      </c>
      <c r="W44" t="n" s="3173">
        <f>q44+s44+u44+v44</f>
      </c>
      <c r="X44" t="n" s="3174">
        <v>0.0</v>
      </c>
      <c r="Y44" t="n" s="3175">
        <v>0.0</v>
      </c>
      <c r="Z44" t="n" s="3176">
        <v>0.0</v>
      </c>
      <c r="AA44" t="n" s="3177">
        <f>h44+i44+j44+k44+l44+m44+n44+o44+w44+x44+y44+z44</f>
      </c>
      <c r="AB44" t="n" s="3178">
        <v>325.0</v>
      </c>
      <c r="AC44" t="n" s="3179">
        <v>48.15</v>
      </c>
      <c r="AD44" t="n" s="3180">
        <v>5.5</v>
      </c>
      <c r="AE44" t="n" s="3181">
        <v>80.0</v>
      </c>
      <c r="AF44" t="n" s="3182">
        <f>ROUND((aa44+ab44+ac44+ad44+ae44),2)</f>
      </c>
      <c r="AG44" t="n" s="3183">
        <f>ae44*0.06</f>
      </c>
      <c r="AH44" t="n" s="3184">
        <f>af44+ag44</f>
      </c>
      <c r="AI44" t="s" s="3185">
        <v>0</v>
      </c>
    </row>
    <row r="45">
      <c r="A45" t="s" s="3186">
        <v>193</v>
      </c>
      <c r="B45" t="s" s="3187">
        <v>194</v>
      </c>
      <c r="C45" t="s" s="3188">
        <v>195</v>
      </c>
      <c r="D45" t="s" s="3189">
        <v>196</v>
      </c>
      <c r="E45" t="s" s="3190">
        <v>180</v>
      </c>
      <c r="F45" t="n" s="4489">
        <v>42179.0</v>
      </c>
      <c r="G45" t="s" s="4490">
        <v>0</v>
      </c>
      <c r="H45" t="n" s="3193">
        <v>1350.0</v>
      </c>
      <c r="I45" t="n" s="3194">
        <v>100.0</v>
      </c>
      <c r="J45" t="n" s="3195">
        <v>0.0</v>
      </c>
      <c r="K45" t="n" s="3196">
        <v>1140.0</v>
      </c>
      <c r="L45" t="n" s="3197">
        <v>0.0</v>
      </c>
      <c r="M45" t="n" s="3198">
        <v>20.0</v>
      </c>
      <c r="N45" t="n" s="3199">
        <v>0.0</v>
      </c>
      <c r="O45" t="n" s="3200">
        <v>0.0</v>
      </c>
      <c r="P45" t="n" s="3201">
        <v>8.0</v>
      </c>
      <c r="Q45" t="n" s="3202">
        <v>77.92</v>
      </c>
      <c r="R45" t="n" s="3203">
        <v>16.0</v>
      </c>
      <c r="S45" t="n" s="3204">
        <v>207.68</v>
      </c>
      <c r="T45" t="n" s="3205">
        <v>0.0</v>
      </c>
      <c r="U45" t="n" s="3206">
        <v>0.0</v>
      </c>
      <c r="V45" t="n" s="3207">
        <v>0.0</v>
      </c>
      <c r="W45" t="n" s="3208">
        <f>q45+s45+u45+v45</f>
      </c>
      <c r="X45" t="n" s="3209">
        <v>0.0</v>
      </c>
      <c r="Y45" t="n" s="3210">
        <v>0.0</v>
      </c>
      <c r="Z45" t="n" s="3211">
        <v>0.0</v>
      </c>
      <c r="AA45" t="n" s="3212">
        <f>h45+i45+j45+k45+l45+m45+n45+o45+w45+x45+y45+z45</f>
      </c>
      <c r="AB45" t="n" s="3213">
        <v>338.0</v>
      </c>
      <c r="AC45" t="n" s="3214">
        <v>49.85</v>
      </c>
      <c r="AD45" t="n" s="3215">
        <v>5.7</v>
      </c>
      <c r="AE45" t="n" s="3216">
        <v>80.0</v>
      </c>
      <c r="AF45" t="n" s="3217">
        <f>ROUND((aa45+ab45+ac45+ad45+ae45),2)</f>
      </c>
      <c r="AG45" t="n" s="3218">
        <f>ae45*0.06</f>
      </c>
      <c r="AH45" t="n" s="3219">
        <f>af45+ag45</f>
      </c>
      <c r="AI45" t="s" s="3220">
        <v>0</v>
      </c>
    </row>
    <row r="46">
      <c r="A46" t="s" s="3221">
        <v>197</v>
      </c>
      <c r="B46" t="s" s="3222">
        <v>198</v>
      </c>
      <c r="C46" t="s" s="3223">
        <v>199</v>
      </c>
      <c r="D46" t="s" s="3224">
        <v>200</v>
      </c>
      <c r="E46" t="s" s="3225">
        <v>180</v>
      </c>
      <c r="F46" t="n" s="4491">
        <v>42488.0</v>
      </c>
      <c r="G46" t="s" s="4492">
        <v>0</v>
      </c>
      <c r="H46" t="n" s="3228">
        <v>1460.0</v>
      </c>
      <c r="I46" t="n" s="3229">
        <v>100.0</v>
      </c>
      <c r="J46" t="n" s="3230">
        <v>0.0</v>
      </c>
      <c r="K46" t="n" s="3231">
        <v>342.0</v>
      </c>
      <c r="L46" t="n" s="3232">
        <v>0.0</v>
      </c>
      <c r="M46" t="n" s="3233">
        <v>0.0</v>
      </c>
      <c r="N46" t="n" s="3234">
        <v>0.0</v>
      </c>
      <c r="O46" t="n" s="3235">
        <v>0.0</v>
      </c>
      <c r="P46" t="n" s="3236">
        <v>7.0</v>
      </c>
      <c r="Q46" t="n" s="3237">
        <v>73.71</v>
      </c>
      <c r="R46" t="n" s="3238">
        <v>0.0</v>
      </c>
      <c r="S46" t="n" s="3239">
        <v>0.0</v>
      </c>
      <c r="T46" t="n" s="3240">
        <v>0.0</v>
      </c>
      <c r="U46" t="n" s="3241">
        <v>0.0</v>
      </c>
      <c r="V46" t="n" s="3242">
        <v>0.0</v>
      </c>
      <c r="W46" t="n" s="3243">
        <f>q46+s46+u46+v46</f>
      </c>
      <c r="X46" t="n" s="3244">
        <v>0.0</v>
      </c>
      <c r="Y46" t="n" s="3245">
        <v>0.0</v>
      </c>
      <c r="Z46" t="n" s="3246">
        <v>0.0</v>
      </c>
      <c r="AA46" t="n" s="3247">
        <f>h46+i46+j46+k46+l46+m46+n46+o46+w46+x46+y46+z46</f>
      </c>
      <c r="AB46" t="n" s="3248">
        <v>250.0</v>
      </c>
      <c r="AC46" t="n" s="3249">
        <v>34.15</v>
      </c>
      <c r="AD46" t="n" s="3250">
        <v>3.9</v>
      </c>
      <c r="AE46" t="n" s="3251">
        <v>80.0</v>
      </c>
      <c r="AF46" t="n" s="3252">
        <f>ROUND((aa46+ab46+ac46+ad46+ae46),2)</f>
      </c>
      <c r="AG46" t="n" s="3253">
        <f>ae46*0.06</f>
      </c>
      <c r="AH46" t="n" s="3254">
        <f>af46+ag46</f>
      </c>
      <c r="AI46" t="s" s="3255">
        <v>0</v>
      </c>
    </row>
    <row r="47">
      <c r="A47" t="s" s="3256">
        <v>201</v>
      </c>
      <c r="B47" t="s" s="3257">
        <v>202</v>
      </c>
      <c r="C47" t="s" s="3258">
        <v>203</v>
      </c>
      <c r="D47" t="s" s="3259">
        <v>204</v>
      </c>
      <c r="E47" t="s" s="3260">
        <v>180</v>
      </c>
      <c r="F47" t="n" s="4493">
        <v>42583.0</v>
      </c>
      <c r="G47" t="s" s="4494">
        <v>0</v>
      </c>
      <c r="H47" t="n" s="3263">
        <v>1350.0</v>
      </c>
      <c r="I47" t="n" s="3264">
        <v>100.0</v>
      </c>
      <c r="J47" t="n" s="3265">
        <v>0.0</v>
      </c>
      <c r="K47" t="n" s="3266">
        <v>1145.0</v>
      </c>
      <c r="L47" t="n" s="3267">
        <v>0.0</v>
      </c>
      <c r="M47" t="n" s="3268">
        <v>27.78</v>
      </c>
      <c r="N47" t="n" s="3269">
        <v>0.0</v>
      </c>
      <c r="O47" t="n" s="3270">
        <v>0.0</v>
      </c>
      <c r="P47" t="n" s="3271">
        <v>8.0</v>
      </c>
      <c r="Q47" t="n" s="3272">
        <v>77.92</v>
      </c>
      <c r="R47" t="n" s="3273">
        <v>16.0</v>
      </c>
      <c r="S47" t="n" s="3274">
        <v>207.68</v>
      </c>
      <c r="T47" t="n" s="3275">
        <v>0.0</v>
      </c>
      <c r="U47" t="n" s="3276">
        <v>0.0</v>
      </c>
      <c r="V47" t="n" s="3277">
        <v>0.0</v>
      </c>
      <c r="W47" t="n" s="3278">
        <f>q47+s47+u47+v47</f>
      </c>
      <c r="X47" t="n" s="3279">
        <v>0.0</v>
      </c>
      <c r="Y47" t="n" s="3280">
        <v>0.0</v>
      </c>
      <c r="Z47" t="n" s="3281">
        <v>0.0</v>
      </c>
      <c r="AA47" t="n" s="3282">
        <f>h47+i47+j47+k47+l47+m47+n47+o47+w47+x47+y47+z47</f>
      </c>
      <c r="AB47" t="n" s="3283">
        <v>338.0</v>
      </c>
      <c r="AC47" t="n" s="3284">
        <v>49.85</v>
      </c>
      <c r="AD47" t="n" s="3285">
        <v>5.7</v>
      </c>
      <c r="AE47" t="n" s="3286">
        <v>80.0</v>
      </c>
      <c r="AF47" t="n" s="3287">
        <f>ROUND((aa47+ab47+ac47+ad47+ae47),2)</f>
      </c>
      <c r="AG47" t="n" s="3288">
        <f>ae47*0.06</f>
      </c>
      <c r="AH47" t="n" s="3289">
        <f>af47+ag47</f>
      </c>
      <c r="AI47" t="s" s="3290">
        <v>0</v>
      </c>
    </row>
    <row r="48">
      <c r="A48" t="s" s="3291">
        <v>205</v>
      </c>
      <c r="B48" t="s" s="3292">
        <v>206</v>
      </c>
      <c r="C48" t="s" s="3293">
        <v>207</v>
      </c>
      <c r="D48" t="s" s="3294">
        <v>208</v>
      </c>
      <c r="E48" t="s" s="3295">
        <v>180</v>
      </c>
      <c r="F48" t="n" s="4495">
        <v>42761.0</v>
      </c>
      <c r="G48" t="s" s="4496">
        <v>0</v>
      </c>
      <c r="H48" t="n" s="3298">
        <v>1320.0</v>
      </c>
      <c r="I48" t="n" s="3299">
        <v>100.0</v>
      </c>
      <c r="J48" t="n" s="3300">
        <v>0.0</v>
      </c>
      <c r="K48" t="n" s="3301">
        <v>850.0</v>
      </c>
      <c r="L48" t="n" s="3302">
        <v>0.0</v>
      </c>
      <c r="M48" t="n" s="3303">
        <v>33.59</v>
      </c>
      <c r="N48" t="n" s="3304">
        <v>0.0</v>
      </c>
      <c r="O48" t="n" s="3305">
        <v>0.0</v>
      </c>
      <c r="P48" t="n" s="3306">
        <v>8.0</v>
      </c>
      <c r="Q48" t="n" s="3307">
        <v>76.16</v>
      </c>
      <c r="R48" t="n" s="3308">
        <v>8.0</v>
      </c>
      <c r="S48" t="n" s="3309">
        <v>101.52</v>
      </c>
      <c r="T48" t="n" s="3310">
        <v>0.0</v>
      </c>
      <c r="U48" t="n" s="3311">
        <v>0.0</v>
      </c>
      <c r="V48" t="n" s="3312">
        <v>0.0</v>
      </c>
      <c r="W48" t="n" s="3313">
        <f>q48+s48+u48+v48</f>
      </c>
      <c r="X48" t="n" s="3314">
        <v>0.0</v>
      </c>
      <c r="Y48" t="n" s="3315">
        <v>0.0</v>
      </c>
      <c r="Z48" t="n" s="3316">
        <v>0.0</v>
      </c>
      <c r="AA48" t="n" s="3317">
        <f>h48+i48+j48+k48+l48+m48+n48+o48+w48+x48+y48+z48</f>
      </c>
      <c r="AB48" t="n" s="3318">
        <v>297.0</v>
      </c>
      <c r="AC48" t="n" s="3319">
        <v>42.85</v>
      </c>
      <c r="AD48" t="n" s="3320">
        <v>4.9</v>
      </c>
      <c r="AE48" t="n" s="3321">
        <v>80.0</v>
      </c>
      <c r="AF48" t="n" s="3322">
        <f>ROUND((aa48+ab48+ac48+ad48+ae48),2)</f>
      </c>
      <c r="AG48" t="n" s="3323">
        <f>ae48*0.06</f>
      </c>
      <c r="AH48" t="n" s="3324">
        <f>af48+ag48</f>
      </c>
      <c r="AI48" t="s" s="3325">
        <v>0</v>
      </c>
    </row>
    <row r="49">
      <c r="A49" t="s" s="3326">
        <v>209</v>
      </c>
      <c r="B49" t="s" s="3327">
        <v>210</v>
      </c>
      <c r="C49" t="s" s="3328">
        <v>211</v>
      </c>
      <c r="D49" t="s" s="3329">
        <v>212</v>
      </c>
      <c r="E49" t="s" s="3330">
        <v>180</v>
      </c>
      <c r="F49" t="n" s="4497">
        <v>42781.0</v>
      </c>
      <c r="G49" t="s" s="4498">
        <v>0</v>
      </c>
      <c r="H49" t="n" s="3333">
        <v>1320.0</v>
      </c>
      <c r="I49" t="n" s="3334">
        <v>100.0</v>
      </c>
      <c r="J49" t="n" s="3335">
        <v>0.0</v>
      </c>
      <c r="K49" t="n" s="3336">
        <v>1089.0</v>
      </c>
      <c r="L49" t="n" s="3337">
        <v>0.0</v>
      </c>
      <c r="M49" t="n" s="3338">
        <v>10.0</v>
      </c>
      <c r="N49" t="n" s="3339">
        <v>0.0</v>
      </c>
      <c r="O49" t="n" s="3340">
        <v>0.0</v>
      </c>
      <c r="P49" t="n" s="3341">
        <v>8.0</v>
      </c>
      <c r="Q49" t="n" s="3342">
        <v>76.16</v>
      </c>
      <c r="R49" t="n" s="3343">
        <v>8.0</v>
      </c>
      <c r="S49" t="n" s="3344">
        <v>101.52</v>
      </c>
      <c r="T49" t="n" s="3345">
        <v>0.0</v>
      </c>
      <c r="U49" t="n" s="3346">
        <v>0.0</v>
      </c>
      <c r="V49" t="n" s="3347">
        <v>0.0</v>
      </c>
      <c r="W49" t="n" s="3348">
        <f>q49+s49+u49+v49</f>
      </c>
      <c r="X49" t="n" s="3349">
        <v>0.0</v>
      </c>
      <c r="Y49" t="n" s="3350">
        <v>0.0</v>
      </c>
      <c r="Z49" t="n" s="3351">
        <v>0.0</v>
      </c>
      <c r="AA49" t="n" s="3352">
        <f>h49+i49+j49+k49+l49+m49+n49+o49+w49+x49+y49+z49</f>
      </c>
      <c r="AB49" t="n" s="3353">
        <v>328.0</v>
      </c>
      <c r="AC49" t="n" s="3354">
        <v>46.35</v>
      </c>
      <c r="AD49" t="n" s="3355">
        <v>5.3</v>
      </c>
      <c r="AE49" t="n" s="3356">
        <v>80.0</v>
      </c>
      <c r="AF49" t="n" s="3357">
        <f>ROUND((aa49+ab49+ac49+ad49+ae49),2)</f>
      </c>
      <c r="AG49" t="n" s="3358">
        <f>ae49*0.06</f>
      </c>
      <c r="AH49" t="n" s="3359">
        <f>af49+ag49</f>
      </c>
      <c r="AI49" t="s" s="3360">
        <v>0</v>
      </c>
    </row>
    <row r="50">
      <c r="A50" t="s" s="3361">
        <v>213</v>
      </c>
      <c r="B50" t="s" s="3362">
        <v>214</v>
      </c>
      <c r="C50" t="s" s="3363">
        <v>215</v>
      </c>
      <c r="D50" t="s" s="3364">
        <v>216</v>
      </c>
      <c r="E50" t="s" s="3365">
        <v>180</v>
      </c>
      <c r="F50" t="n" s="4499">
        <v>43101.0</v>
      </c>
      <c r="G50" t="s" s="4500">
        <v>0</v>
      </c>
      <c r="H50" t="n" s="3368">
        <v>1290.0</v>
      </c>
      <c r="I50" t="n" s="3369">
        <v>100.0</v>
      </c>
      <c r="J50" t="n" s="3370">
        <v>0.0</v>
      </c>
      <c r="K50" t="n" s="3371">
        <v>1000.0</v>
      </c>
      <c r="L50" t="n" s="3372">
        <v>0.0</v>
      </c>
      <c r="M50" t="n" s="3373">
        <v>10.0</v>
      </c>
      <c r="N50" t="n" s="3374">
        <v>0.0</v>
      </c>
      <c r="O50" t="n" s="3375">
        <v>0.0</v>
      </c>
      <c r="P50" t="n" s="3376">
        <v>8.0</v>
      </c>
      <c r="Q50" t="n" s="3377">
        <v>74.4</v>
      </c>
      <c r="R50" t="n" s="3378">
        <v>16.0</v>
      </c>
      <c r="S50" t="n" s="3379">
        <v>198.4</v>
      </c>
      <c r="T50" t="n" s="3380">
        <v>0.0</v>
      </c>
      <c r="U50" t="n" s="3381">
        <v>0.0</v>
      </c>
      <c r="V50" t="n" s="3382">
        <v>0.0</v>
      </c>
      <c r="W50" t="n" s="3383">
        <f>q50+s50+u50+v50</f>
      </c>
      <c r="X50" t="n" s="3384">
        <v>0.0</v>
      </c>
      <c r="Y50" t="n" s="3385">
        <v>0.0</v>
      </c>
      <c r="Z50" t="n" s="3386">
        <v>0.0</v>
      </c>
      <c r="AA50" t="n" s="3387">
        <f>h50+i50+j50+k50+l50+m50+n50+o50+w50+x50+y50+z50</f>
      </c>
      <c r="AB50" t="n" s="3388">
        <v>312.0</v>
      </c>
      <c r="AC50" t="n" s="3389">
        <v>46.35</v>
      </c>
      <c r="AD50" t="n" s="3390">
        <v>5.3</v>
      </c>
      <c r="AE50" t="n" s="3391">
        <v>80.0</v>
      </c>
      <c r="AF50" t="n" s="3392">
        <f>ROUND((aa50+ab50+ac50+ad50+ae50),2)</f>
      </c>
      <c r="AG50" t="n" s="3393">
        <f>ae50*0.06</f>
      </c>
      <c r="AH50" t="n" s="3394">
        <f>af50+ag50</f>
      </c>
      <c r="AI50" t="s" s="3395">
        <v>0</v>
      </c>
    </row>
    <row r="51">
      <c r="A51" t="s" s="3396">
        <v>217</v>
      </c>
      <c r="B51" t="s" s="3397">
        <v>218</v>
      </c>
      <c r="C51" t="s" s="3398">
        <v>219</v>
      </c>
      <c r="D51" t="s" s="3399">
        <v>220</v>
      </c>
      <c r="E51" t="s" s="3400">
        <v>180</v>
      </c>
      <c r="F51" t="n" s="4501">
        <v>43269.0</v>
      </c>
      <c r="G51" t="s" s="4502">
        <v>0</v>
      </c>
      <c r="H51" t="n" s="3403">
        <v>1250.0</v>
      </c>
      <c r="I51" t="n" s="3404">
        <v>100.0</v>
      </c>
      <c r="J51" t="n" s="3405">
        <v>0.0</v>
      </c>
      <c r="K51" t="n" s="3406">
        <v>966.0</v>
      </c>
      <c r="L51" t="n" s="3407">
        <v>0.0</v>
      </c>
      <c r="M51" t="n" s="3408">
        <v>0.0</v>
      </c>
      <c r="N51" t="n" s="3409">
        <v>0.0</v>
      </c>
      <c r="O51" t="n" s="3410">
        <v>0.0</v>
      </c>
      <c r="P51" t="n" s="3411">
        <v>8.0</v>
      </c>
      <c r="Q51" t="n" s="3412">
        <v>72.08</v>
      </c>
      <c r="R51" t="n" s="3413">
        <v>16.0</v>
      </c>
      <c r="S51" t="n" s="3414">
        <v>192.32</v>
      </c>
      <c r="T51" t="n" s="3415">
        <v>0.0</v>
      </c>
      <c r="U51" t="n" s="3416">
        <v>0.0</v>
      </c>
      <c r="V51" t="n" s="3417">
        <v>0.0</v>
      </c>
      <c r="W51" t="n" s="3418">
        <f>q51+s51+u51+v51</f>
      </c>
      <c r="X51" t="n" s="3419">
        <v>0.0</v>
      </c>
      <c r="Y51" t="n" s="3420">
        <v>0.0</v>
      </c>
      <c r="Z51" t="n" s="3421">
        <v>0.0</v>
      </c>
      <c r="AA51" t="n" s="3422">
        <f>h51+i51+j51+k51+l51+m51+n51+o51+w51+x51+y51+z51</f>
      </c>
      <c r="AB51" t="n" s="3423">
        <v>302.0</v>
      </c>
      <c r="AC51" t="n" s="3424">
        <v>44.65</v>
      </c>
      <c r="AD51" t="n" s="3425">
        <v>5.1</v>
      </c>
      <c r="AE51" t="n" s="3426">
        <v>80.0</v>
      </c>
      <c r="AF51" t="n" s="3427">
        <f>ROUND((aa51+ab51+ac51+ad51+ae51),2)</f>
      </c>
      <c r="AG51" t="n" s="3428">
        <f>ae51*0.06</f>
      </c>
      <c r="AH51" t="n" s="3429">
        <f>af51+ag51</f>
      </c>
      <c r="AI51" t="s" s="3430">
        <v>0</v>
      </c>
    </row>
    <row r="52">
      <c r="A52" t="s" s="3431">
        <v>221</v>
      </c>
      <c r="B52" t="s" s="3432">
        <v>222</v>
      </c>
      <c r="C52" t="s" s="3433">
        <v>223</v>
      </c>
      <c r="D52" t="s" s="3434">
        <v>224</v>
      </c>
      <c r="E52" t="s" s="3435">
        <v>180</v>
      </c>
      <c r="F52" t="n" s="4503">
        <v>43269.0</v>
      </c>
      <c r="G52" t="s" s="4504">
        <v>0</v>
      </c>
      <c r="H52" t="n" s="3438">
        <v>1240.0</v>
      </c>
      <c r="I52" t="n" s="3439">
        <v>100.0</v>
      </c>
      <c r="J52" t="n" s="3440">
        <v>0.0</v>
      </c>
      <c r="K52" t="n" s="3441">
        <v>160.0</v>
      </c>
      <c r="L52" t="n" s="3442">
        <v>0.0</v>
      </c>
      <c r="M52" t="n" s="3443">
        <v>0.0</v>
      </c>
      <c r="N52" t="n" s="3444">
        <v>0.0</v>
      </c>
      <c r="O52" t="n" s="3445">
        <v>0.0</v>
      </c>
      <c r="P52" t="n" s="3446">
        <v>4.0</v>
      </c>
      <c r="Q52" t="n" s="3447">
        <v>35.76</v>
      </c>
      <c r="R52" t="n" s="3448">
        <v>16.0</v>
      </c>
      <c r="S52" t="n" s="3449">
        <v>190.72</v>
      </c>
      <c r="T52" t="n" s="3450">
        <v>0.0</v>
      </c>
      <c r="U52" t="n" s="3451">
        <v>0.0</v>
      </c>
      <c r="V52" t="n" s="3452">
        <v>0.0</v>
      </c>
      <c r="W52" t="n" s="3453">
        <f>q52+s52+u52+v52</f>
      </c>
      <c r="X52" t="n" s="3454">
        <v>0.0</v>
      </c>
      <c r="Y52" t="n" s="3455">
        <v>0.0</v>
      </c>
      <c r="Z52" t="n" s="3456">
        <v>0.0</v>
      </c>
      <c r="AA52" t="n" s="3457">
        <f>h52+i52+j52+k52+l52+m52+n52+o52+w52+x52+y52+z52</f>
      </c>
      <c r="AB52" t="n" s="3458">
        <v>195.0</v>
      </c>
      <c r="AC52" t="n" s="3459">
        <v>30.65</v>
      </c>
      <c r="AD52" t="n" s="3460">
        <v>3.5</v>
      </c>
      <c r="AE52" t="n" s="3461">
        <v>80.0</v>
      </c>
      <c r="AF52" t="n" s="3462">
        <f>ROUND((aa52+ab52+ac52+ad52+ae52),2)</f>
      </c>
      <c r="AG52" t="n" s="3463">
        <f>ae52*0.06</f>
      </c>
      <c r="AH52" t="n" s="3464">
        <f>af52+ag52</f>
      </c>
      <c r="AI52" t="s" s="3465">
        <v>0</v>
      </c>
    </row>
    <row r="53">
      <c r="A53" t="s" s="3466">
        <v>225</v>
      </c>
      <c r="B53" t="s" s="3467">
        <v>226</v>
      </c>
      <c r="C53" t="s" s="3468">
        <v>227</v>
      </c>
      <c r="D53" t="s" s="3469">
        <v>228</v>
      </c>
      <c r="E53" t="s" s="3470">
        <v>180</v>
      </c>
      <c r="F53" t="n" s="4505">
        <v>43323.0</v>
      </c>
      <c r="G53" t="s" s="4506">
        <v>0</v>
      </c>
      <c r="H53" t="n" s="3473">
        <v>1200.0</v>
      </c>
      <c r="I53" t="n" s="3474">
        <v>100.0</v>
      </c>
      <c r="J53" t="n" s="3475">
        <v>0.0</v>
      </c>
      <c r="K53" t="n" s="3476">
        <v>1000.0</v>
      </c>
      <c r="L53" t="n" s="3477">
        <v>0.0</v>
      </c>
      <c r="M53" t="n" s="3478">
        <v>0.0</v>
      </c>
      <c r="N53" t="n" s="3479">
        <v>0.0</v>
      </c>
      <c r="O53" t="n" s="3480">
        <v>0.0</v>
      </c>
      <c r="P53" t="n" s="3481">
        <v>1.0</v>
      </c>
      <c r="Q53" t="n" s="3482">
        <v>8.65</v>
      </c>
      <c r="R53" t="n" s="3483">
        <v>16.0</v>
      </c>
      <c r="S53" t="n" s="3484">
        <v>184.64</v>
      </c>
      <c r="T53" t="n" s="3485">
        <v>0.0</v>
      </c>
      <c r="U53" t="n" s="3486">
        <v>0.0</v>
      </c>
      <c r="V53" t="n" s="3487">
        <v>0.0</v>
      </c>
      <c r="W53" t="n" s="3488">
        <f>q53+s53+u53+v53</f>
      </c>
      <c r="X53" t="n" s="3489">
        <v>0.0</v>
      </c>
      <c r="Y53" t="n" s="3490">
        <v>0.0</v>
      </c>
      <c r="Z53" t="n" s="3491">
        <v>0.0</v>
      </c>
      <c r="AA53" t="n" s="3492">
        <f>h53+i53+j53+k53+l53+m53+n53+o53+w53+x53+y53+z53</f>
      </c>
      <c r="AB53" t="n" s="3493">
        <v>299.0</v>
      </c>
      <c r="AC53" t="n" s="3494">
        <v>42.85</v>
      </c>
      <c r="AD53" t="n" s="3495">
        <v>4.9</v>
      </c>
      <c r="AE53" t="n" s="3496">
        <v>80.0</v>
      </c>
      <c r="AF53" t="n" s="3497">
        <f>ROUND((aa53+ab53+ac53+ad53+ae53),2)</f>
      </c>
      <c r="AG53" t="n" s="3498">
        <f>ae53*0.06</f>
      </c>
      <c r="AH53" t="n" s="3499">
        <f>af53+ag53</f>
      </c>
      <c r="AI53" t="s" s="3500">
        <v>0</v>
      </c>
    </row>
    <row r="54">
      <c r="A54" t="s" s="3501">
        <v>229</v>
      </c>
      <c r="B54" t="s" s="3502">
        <v>230</v>
      </c>
      <c r="C54" t="s" s="3503">
        <v>231</v>
      </c>
      <c r="D54" t="s" s="3504">
        <v>232</v>
      </c>
      <c r="E54" t="s" s="3505">
        <v>180</v>
      </c>
      <c r="F54" t="n" s="4507">
        <v>43323.0</v>
      </c>
      <c r="G54" t="s" s="4508">
        <v>0</v>
      </c>
      <c r="H54" t="n" s="3508">
        <v>1500.0</v>
      </c>
      <c r="I54" t="n" s="3509">
        <v>100.0</v>
      </c>
      <c r="J54" t="n" s="3510">
        <v>0.0</v>
      </c>
      <c r="K54" t="n" s="3511">
        <v>1109.0</v>
      </c>
      <c r="L54" t="n" s="3512">
        <v>0.0</v>
      </c>
      <c r="M54" t="n" s="3513">
        <v>10.0</v>
      </c>
      <c r="N54" t="n" s="3514">
        <v>0.0</v>
      </c>
      <c r="O54" t="n" s="3515">
        <v>0.0</v>
      </c>
      <c r="P54" t="n" s="3516">
        <v>4.0</v>
      </c>
      <c r="Q54" t="n" s="3517">
        <v>43.28</v>
      </c>
      <c r="R54" t="n" s="3518">
        <v>16.0</v>
      </c>
      <c r="S54" t="n" s="3519">
        <v>230.72</v>
      </c>
      <c r="T54" t="n" s="3520">
        <v>0.0</v>
      </c>
      <c r="U54" t="n" s="3521">
        <v>0.0</v>
      </c>
      <c r="V54" t="n" s="3522">
        <v>0.0</v>
      </c>
      <c r="W54" t="n" s="3523">
        <f>q54+s54+u54+v54</f>
      </c>
      <c r="X54" t="n" s="3524">
        <v>0.0</v>
      </c>
      <c r="Y54" t="n" s="3525">
        <v>0.0</v>
      </c>
      <c r="Z54" t="n" s="3526">
        <v>0.0</v>
      </c>
      <c r="AA54" t="n" s="3527">
        <f>h54+i54+j54+k54+l54+m54+n54+o54+w54+x54+y54+z54</f>
      </c>
      <c r="AB54" t="n" s="3528">
        <v>354.0</v>
      </c>
      <c r="AC54" t="n" s="3529">
        <v>51.65</v>
      </c>
      <c r="AD54" t="n" s="3530">
        <v>5.9</v>
      </c>
      <c r="AE54" t="n" s="3531">
        <v>80.0</v>
      </c>
      <c r="AF54" t="n" s="3532">
        <f>ROUND((aa54+ab54+ac54+ad54+ae54),2)</f>
      </c>
      <c r="AG54" t="n" s="3533">
        <f>ae54*0.06</f>
      </c>
      <c r="AH54" t="n" s="3534">
        <f>af54+ag54</f>
      </c>
      <c r="AI54" t="s" s="3535">
        <v>0</v>
      </c>
    </row>
    <row r="55">
      <c r="A55" t="s" s="3536">
        <v>233</v>
      </c>
      <c r="B55" t="s" s="3537">
        <v>234</v>
      </c>
      <c r="C55" t="s" s="3538">
        <v>235</v>
      </c>
      <c r="D55" t="s" s="3539">
        <v>236</v>
      </c>
      <c r="E55" t="s" s="3540">
        <v>180</v>
      </c>
      <c r="F55" t="n" s="4509">
        <v>43539.0</v>
      </c>
      <c r="G55" t="s" s="4510">
        <v>0</v>
      </c>
      <c r="H55" t="n" s="3543">
        <v>1100.0</v>
      </c>
      <c r="I55" t="n" s="3544">
        <v>100.0</v>
      </c>
      <c r="J55" t="n" s="3545">
        <v>0.0</v>
      </c>
      <c r="K55" t="n" s="3546">
        <v>979.0</v>
      </c>
      <c r="L55" t="n" s="3547">
        <v>0.0</v>
      </c>
      <c r="M55" t="n" s="3548">
        <v>0.0</v>
      </c>
      <c r="N55" t="n" s="3549">
        <v>0.0</v>
      </c>
      <c r="O55" t="n" s="3550">
        <v>0.0</v>
      </c>
      <c r="P55" t="n" s="3551">
        <v>2.0</v>
      </c>
      <c r="Q55" t="n" s="3552">
        <v>15.86</v>
      </c>
      <c r="R55" t="n" s="3553">
        <v>16.0</v>
      </c>
      <c r="S55" t="n" s="3554">
        <v>169.28</v>
      </c>
      <c r="T55" t="n" s="3555">
        <v>0.0</v>
      </c>
      <c r="U55" t="n" s="3556">
        <v>0.0</v>
      </c>
      <c r="V55" t="n" s="3557">
        <v>0.0</v>
      </c>
      <c r="W55" t="n" s="3558">
        <f>q55+s55+u55+v55</f>
      </c>
      <c r="X55" t="n" s="3559">
        <v>0.0</v>
      </c>
      <c r="Y55" t="n" s="3560">
        <v>0.0</v>
      </c>
      <c r="Z55" t="n" s="3561">
        <v>0.0</v>
      </c>
      <c r="AA55" t="n" s="3562">
        <f>h55+i55+j55+k55+l55+m55+n55+o55+w55+x55+y55+z55</f>
      </c>
      <c r="AB55" t="n" s="3563">
        <v>284.0</v>
      </c>
      <c r="AC55" t="n" s="3564">
        <v>41.15</v>
      </c>
      <c r="AD55" t="n" s="3565">
        <v>4.7</v>
      </c>
      <c r="AE55" t="n" s="3566">
        <v>80.0</v>
      </c>
      <c r="AF55" t="n" s="3567">
        <f>ROUND((aa55+ab55+ac55+ad55+ae55),2)</f>
      </c>
      <c r="AG55" t="n" s="3568">
        <f>ae55*0.06</f>
      </c>
      <c r="AH55" t="n" s="3569">
        <f>af55+ag55</f>
      </c>
      <c r="AI55" t="s" s="3570">
        <v>0</v>
      </c>
    </row>
    <row r="56">
      <c r="A56" t="s" s="3571">
        <v>237</v>
      </c>
      <c r="B56" t="s" s="3572">
        <v>238</v>
      </c>
      <c r="C56" t="s" s="3573">
        <v>239</v>
      </c>
      <c r="D56" t="s" s="3574">
        <v>240</v>
      </c>
      <c r="E56" t="s" s="3575">
        <v>180</v>
      </c>
      <c r="F56" t="n" s="4511">
        <v>43617.0</v>
      </c>
      <c r="G56" t="n" s="4512">
        <v>43756.0</v>
      </c>
      <c r="H56" t="n" s="3578">
        <v>638.71</v>
      </c>
      <c r="I56" t="n" s="3579">
        <v>58.06</v>
      </c>
      <c r="J56" t="n" s="3580">
        <v>0.0</v>
      </c>
      <c r="K56" t="n" s="3581">
        <v>850.0</v>
      </c>
      <c r="L56" t="n" s="3582">
        <v>0.0</v>
      </c>
      <c r="M56" t="n" s="3583">
        <v>0.0</v>
      </c>
      <c r="N56" t="n" s="3584">
        <v>0.0</v>
      </c>
      <c r="O56" t="n" s="3585">
        <v>0.0</v>
      </c>
      <c r="P56" t="n" s="3586">
        <v>7.0</v>
      </c>
      <c r="Q56" t="n" s="3587">
        <v>55.51</v>
      </c>
      <c r="R56" t="n" s="3588">
        <v>16.0</v>
      </c>
      <c r="S56" t="n" s="3589">
        <v>169.28</v>
      </c>
      <c r="T56" t="n" s="3590">
        <v>0.0</v>
      </c>
      <c r="U56" t="n" s="3591">
        <v>0.0</v>
      </c>
      <c r="V56" t="n" s="3592">
        <v>0.0</v>
      </c>
      <c r="W56" t="n" s="3593">
        <f>q56+s56+u56+v56</f>
      </c>
      <c r="X56" t="n" s="3594">
        <v>0.0</v>
      </c>
      <c r="Y56" t="n" s="3595">
        <v>0.0</v>
      </c>
      <c r="Z56" t="n" s="3596">
        <v>0.0</v>
      </c>
      <c r="AA56" t="n" s="3597">
        <f>h56+i56+j56+k56+l56+m56+n56+o56+w56+x56+y56+z56</f>
      </c>
      <c r="AB56" t="n" s="3598">
        <v>203.0</v>
      </c>
      <c r="AC56" t="n" s="3599">
        <v>30.65</v>
      </c>
      <c r="AD56" t="n" s="3600">
        <v>3.5</v>
      </c>
      <c r="AE56" t="n" s="3601">
        <v>80.0</v>
      </c>
      <c r="AF56" t="n" s="3602">
        <f>ROUND((aa56+ab56+ac56+ad56+ae56),2)</f>
      </c>
      <c r="AG56" t="n" s="3603">
        <f>ae56*0.06</f>
      </c>
      <c r="AH56" t="n" s="3604">
        <f>af56+ag56</f>
      </c>
      <c r="AI56" t="s" s="3605">
        <v>0</v>
      </c>
    </row>
    <row r="57">
      <c r="A57" t="s" s="3606">
        <v>241</v>
      </c>
      <c r="B57" t="s" s="3607">
        <v>242</v>
      </c>
      <c r="C57" t="s" s="3608">
        <v>243</v>
      </c>
      <c r="D57" t="s" s="3609">
        <v>244</v>
      </c>
      <c r="E57" t="s" s="3610">
        <v>180</v>
      </c>
      <c r="F57" t="n" s="4513">
        <v>43661.0</v>
      </c>
      <c r="G57" t="s" s="4514">
        <v>0</v>
      </c>
      <c r="H57" t="n" s="3613">
        <v>1200.0</v>
      </c>
      <c r="I57" t="n" s="3614">
        <v>100.0</v>
      </c>
      <c r="J57" t="n" s="3615">
        <v>0.0</v>
      </c>
      <c r="K57" t="n" s="3616">
        <v>1200.0</v>
      </c>
      <c r="L57" t="n" s="3617">
        <v>0.0</v>
      </c>
      <c r="M57" t="n" s="3618">
        <v>0.0</v>
      </c>
      <c r="N57" t="n" s="3619">
        <v>0.0</v>
      </c>
      <c r="O57" t="n" s="3620">
        <v>0.0</v>
      </c>
      <c r="P57" t="n" s="3621">
        <v>5.0</v>
      </c>
      <c r="Q57" t="n" s="3622">
        <v>43.25</v>
      </c>
      <c r="R57" t="n" s="3623">
        <v>16.0</v>
      </c>
      <c r="S57" t="n" s="3624">
        <v>184.64</v>
      </c>
      <c r="T57" t="n" s="3625">
        <v>0.0</v>
      </c>
      <c r="U57" t="n" s="3626">
        <v>0.0</v>
      </c>
      <c r="V57" t="n" s="3627">
        <v>0.0</v>
      </c>
      <c r="W57" t="n" s="3628">
        <f>q57+s57+u57+v57</f>
      </c>
      <c r="X57" t="n" s="3629">
        <v>0.0</v>
      </c>
      <c r="Y57" t="n" s="3630">
        <v>0.0</v>
      </c>
      <c r="Z57" t="n" s="3631">
        <v>0.0</v>
      </c>
      <c r="AA57" t="n" s="3632">
        <f>h57+i57+j57+k57+l57+m57+n57+o57+w57+x57+y57+z57</f>
      </c>
      <c r="AB57" t="n" s="3633">
        <v>325.0</v>
      </c>
      <c r="AC57" t="n" s="3634">
        <v>48.15</v>
      </c>
      <c r="AD57" t="n" s="3635">
        <v>5.5</v>
      </c>
      <c r="AE57" t="n" s="3636">
        <v>80.0</v>
      </c>
      <c r="AF57" t="n" s="3637">
        <f>ROUND((aa57+ab57+ac57+ad57+ae57),2)</f>
      </c>
      <c r="AG57" t="n" s="3638">
        <f>ae57*0.06</f>
      </c>
      <c r="AH57" t="n" s="3639">
        <f>af57+ag57</f>
      </c>
      <c r="AI57" t="s" s="3640">
        <v>0</v>
      </c>
    </row>
    <row r="58">
      <c r="A58" t="s" s="3641">
        <v>245</v>
      </c>
      <c r="B58" t="s" s="3642">
        <v>246</v>
      </c>
      <c r="C58" t="s" s="3643">
        <v>247</v>
      </c>
      <c r="D58" t="s" s="3644">
        <v>248</v>
      </c>
      <c r="E58" t="s" s="3645">
        <v>249</v>
      </c>
      <c r="F58" t="n" s="4515">
        <v>41944.0</v>
      </c>
      <c r="G58" t="s" s="4516">
        <v>0</v>
      </c>
      <c r="H58" t="n" s="3648">
        <v>1590.0</v>
      </c>
      <c r="I58" t="n" s="3649">
        <v>100.0</v>
      </c>
      <c r="J58" t="n" s="3650">
        <v>0.0</v>
      </c>
      <c r="K58" t="n" s="3651">
        <v>0.0</v>
      </c>
      <c r="L58" t="n" s="3652">
        <v>0.0</v>
      </c>
      <c r="M58" t="n" s="3653">
        <v>0.0</v>
      </c>
      <c r="N58" t="n" s="3654">
        <v>0.0</v>
      </c>
      <c r="O58" t="n" s="3655">
        <v>0.0</v>
      </c>
      <c r="P58" t="n" s="3656">
        <v>0.0</v>
      </c>
      <c r="Q58" t="n" s="3657">
        <v>0.0</v>
      </c>
      <c r="R58" t="n" s="3658">
        <v>0.0</v>
      </c>
      <c r="S58" t="n" s="3659">
        <v>0.0</v>
      </c>
      <c r="T58" t="n" s="3660">
        <v>0.0</v>
      </c>
      <c r="U58" t="n" s="3661">
        <v>0.0</v>
      </c>
      <c r="V58" t="n" s="3662">
        <v>0.0</v>
      </c>
      <c r="W58" t="n" s="3663">
        <f>q58+s58+u58+v58</f>
      </c>
      <c r="X58" t="n" s="3664">
        <v>0.0</v>
      </c>
      <c r="Y58" t="n" s="3665">
        <v>0.0</v>
      </c>
      <c r="Z58" t="n" s="3666">
        <v>0.0</v>
      </c>
      <c r="AA58" t="n" s="3667">
        <f>h58+i58+j58+k58+l58+m58+n58+o58+w58+x58+y58+z58</f>
      </c>
      <c r="AB58" t="n" s="3668">
        <v>221.0</v>
      </c>
      <c r="AC58" t="n" s="3669">
        <v>28.85</v>
      </c>
      <c r="AD58" t="n" s="3670">
        <v>3.3</v>
      </c>
      <c r="AE58" t="n" s="3671">
        <v>80.0</v>
      </c>
      <c r="AF58" t="n" s="3672">
        <f>ROUND((aa58+ab58+ac58+ad58+ae58),2)</f>
      </c>
      <c r="AG58" t="n" s="3673">
        <f>ae58*0.06</f>
      </c>
      <c r="AH58" t="n" s="3674">
        <f>af58+ag58</f>
      </c>
      <c r="AI58" t="s" s="3675">
        <v>0</v>
      </c>
    </row>
    <row r="59">
      <c r="A59" t="s" s="3676">
        <v>250</v>
      </c>
      <c r="B59" t="s" s="3677">
        <v>251</v>
      </c>
      <c r="C59" t="s" s="3678">
        <v>252</v>
      </c>
      <c r="D59" t="s" s="3679">
        <v>253</v>
      </c>
      <c r="E59" t="s" s="3680">
        <v>249</v>
      </c>
      <c r="F59" t="n" s="4517">
        <v>43556.0</v>
      </c>
      <c r="G59" t="s" s="4518">
        <v>0</v>
      </c>
      <c r="H59" t="n" s="3683">
        <v>1300.0</v>
      </c>
      <c r="I59" t="n" s="3684">
        <v>100.0</v>
      </c>
      <c r="J59" t="n" s="3685">
        <v>0.0</v>
      </c>
      <c r="K59" t="n" s="3686">
        <v>800.0</v>
      </c>
      <c r="L59" t="n" s="3687">
        <v>0.0</v>
      </c>
      <c r="M59" t="n" s="3688">
        <v>0.0</v>
      </c>
      <c r="N59" t="n" s="3689">
        <v>0.0</v>
      </c>
      <c r="O59" t="n" s="3690">
        <v>0.0</v>
      </c>
      <c r="P59" t="n" s="3691">
        <v>0.0</v>
      </c>
      <c r="Q59" t="n" s="3692">
        <v>0.0</v>
      </c>
      <c r="R59" t="n" s="3693">
        <v>16.0</v>
      </c>
      <c r="S59" t="n" s="3694">
        <v>200.0</v>
      </c>
      <c r="T59" t="n" s="3695">
        <v>0.0</v>
      </c>
      <c r="U59" t="n" s="3696">
        <v>0.0</v>
      </c>
      <c r="V59" t="n" s="3697">
        <v>0.0</v>
      </c>
      <c r="W59" t="n" s="3698">
        <f>q59+s59+u59+v59</f>
      </c>
      <c r="X59" t="n" s="3699">
        <v>0.0</v>
      </c>
      <c r="Y59" t="n" s="3700">
        <v>0.0</v>
      </c>
      <c r="Z59" t="n" s="3701">
        <v>0.0</v>
      </c>
      <c r="AA59" t="n" s="3702">
        <f>h59+i59+j59+k59+l59+m59+n59+o59+w59+x59+y59+z59</f>
      </c>
      <c r="AB59" t="n" s="3703">
        <v>286.0</v>
      </c>
      <c r="AC59" t="n" s="3704">
        <v>41.15</v>
      </c>
      <c r="AD59" t="n" s="3705">
        <v>4.7</v>
      </c>
      <c r="AE59" t="n" s="3706">
        <v>80.0</v>
      </c>
      <c r="AF59" t="n" s="3707">
        <f>ROUND((aa59+ab59+ac59+ad59+ae59),2)</f>
      </c>
      <c r="AG59" t="n" s="3708">
        <f>ae59*0.06</f>
      </c>
      <c r="AH59" t="n" s="3709">
        <f>af59+ag59</f>
      </c>
      <c r="AI59" t="s" s="3710">
        <v>0</v>
      </c>
    </row>
    <row r="60">
      <c r="A60" t="s" s="3711">
        <v>254</v>
      </c>
      <c r="B60" t="s" s="3712">
        <v>255</v>
      </c>
      <c r="C60" t="s" s="3713">
        <v>256</v>
      </c>
      <c r="D60" t="s" s="3714">
        <v>257</v>
      </c>
      <c r="E60" t="s" s="3715">
        <v>249</v>
      </c>
      <c r="F60" t="n" s="4519">
        <v>41944.0</v>
      </c>
      <c r="G60" t="s" s="4520">
        <v>0</v>
      </c>
      <c r="H60" t="n" s="3718">
        <v>1910.0</v>
      </c>
      <c r="I60" t="n" s="3719">
        <v>100.0</v>
      </c>
      <c r="J60" t="n" s="3720">
        <v>0.0</v>
      </c>
      <c r="K60" t="n" s="3721">
        <v>1970.0</v>
      </c>
      <c r="L60" t="n" s="3722">
        <v>0.0</v>
      </c>
      <c r="M60" t="n" s="3723">
        <v>10.0</v>
      </c>
      <c r="N60" t="n" s="3724">
        <v>0.0</v>
      </c>
      <c r="O60" t="n" s="3725">
        <v>0.0</v>
      </c>
      <c r="P60" t="n" s="3726">
        <v>0.0</v>
      </c>
      <c r="Q60" t="n" s="3727">
        <v>0.0</v>
      </c>
      <c r="R60" t="n" s="3728">
        <v>16.0</v>
      </c>
      <c r="S60" t="n" s="3729">
        <v>293.92</v>
      </c>
      <c r="T60" t="n" s="3730">
        <v>0.0</v>
      </c>
      <c r="U60" t="n" s="3731">
        <v>0.0</v>
      </c>
      <c r="V60" t="n" s="3732">
        <v>0.0</v>
      </c>
      <c r="W60" t="n" s="3733">
        <f>q60+s60+u60+v60</f>
      </c>
      <c r="X60" t="n" s="3734">
        <v>0.0</v>
      </c>
      <c r="Y60" t="n" s="3735">
        <v>0.0</v>
      </c>
      <c r="Z60" t="n" s="3736">
        <v>0.0</v>
      </c>
      <c r="AA60" t="n" s="3737">
        <f>h60+i60+j60+k60+l60+m60+n60+o60+w60+x60+y60+z60</f>
      </c>
      <c r="AB60" t="n" s="3738">
        <v>518.0</v>
      </c>
      <c r="AC60" t="n" s="3739">
        <v>69.05</v>
      </c>
      <c r="AD60" t="n" s="3740">
        <v>7.9</v>
      </c>
      <c r="AE60" t="n" s="3741">
        <v>80.0</v>
      </c>
      <c r="AF60" t="n" s="3742">
        <f>ROUND((aa60+ab60+ac60+ad60+ae60),2)</f>
      </c>
      <c r="AG60" t="n" s="3743">
        <f>ae60*0.06</f>
      </c>
      <c r="AH60" t="n" s="3744">
        <f>af60+ag60</f>
      </c>
      <c r="AI60" t="s" s="3745">
        <v>0</v>
      </c>
    </row>
    <row r="61">
      <c r="A61" t="s" s="3746">
        <v>258</v>
      </c>
      <c r="B61" t="s" s="3747">
        <v>259</v>
      </c>
      <c r="C61" t="s" s="3748">
        <v>260</v>
      </c>
      <c r="D61" t="s" s="3749">
        <v>261</v>
      </c>
      <c r="E61" t="s" s="3750">
        <v>249</v>
      </c>
      <c r="F61" t="n" s="4521">
        <v>41944.0</v>
      </c>
      <c r="G61" t="s" s="4522">
        <v>0</v>
      </c>
      <c r="H61" t="n" s="3753">
        <v>1610.0</v>
      </c>
      <c r="I61" t="n" s="3754">
        <v>100.0</v>
      </c>
      <c r="J61" t="n" s="3755">
        <v>0.0</v>
      </c>
      <c r="K61" t="n" s="3756">
        <v>1650.0</v>
      </c>
      <c r="L61" t="n" s="3757">
        <v>0.0</v>
      </c>
      <c r="M61" t="n" s="3758">
        <v>0.0</v>
      </c>
      <c r="N61" t="n" s="3759">
        <v>0.0</v>
      </c>
      <c r="O61" t="n" s="3760">
        <v>0.0</v>
      </c>
      <c r="P61" t="n" s="3761">
        <v>0.0</v>
      </c>
      <c r="Q61" t="n" s="3762">
        <v>0.0</v>
      </c>
      <c r="R61" t="n" s="3763">
        <v>16.0</v>
      </c>
      <c r="S61" t="n" s="3764">
        <v>247.68</v>
      </c>
      <c r="T61" t="n" s="3765">
        <v>0.0</v>
      </c>
      <c r="U61" t="n" s="3766">
        <v>0.0</v>
      </c>
      <c r="V61" t="n" s="3767">
        <v>0.0</v>
      </c>
      <c r="W61" t="n" s="3768">
        <f>q61+s61+u61+v61</f>
      </c>
      <c r="X61" t="n" s="3769">
        <v>0.0</v>
      </c>
      <c r="Y61" t="n" s="3770">
        <v>0.0</v>
      </c>
      <c r="Z61" t="n" s="3771">
        <v>0.0</v>
      </c>
      <c r="AA61" t="n" s="3772">
        <f>h61+i61+j61+k61+l61+m61+n61+o61+w61+x61+y61+z61</f>
      </c>
      <c r="AB61" t="n" s="3773">
        <v>437.0</v>
      </c>
      <c r="AC61" t="n" s="3774">
        <v>63.85</v>
      </c>
      <c r="AD61" t="n" s="3775">
        <v>7.3</v>
      </c>
      <c r="AE61" t="n" s="3776">
        <v>80.0</v>
      </c>
      <c r="AF61" t="n" s="3777">
        <f>ROUND((aa61+ab61+ac61+ad61+ae61),2)</f>
      </c>
      <c r="AG61" t="n" s="3778">
        <f>ae61*0.06</f>
      </c>
      <c r="AH61" t="n" s="3779">
        <f>af61+ag61</f>
      </c>
      <c r="AI61" t="s" s="3780">
        <v>0</v>
      </c>
    </row>
    <row r="62">
      <c r="A62" t="s" s="3781">
        <v>262</v>
      </c>
      <c r="B62" t="s" s="3782">
        <v>263</v>
      </c>
      <c r="C62" t="s" s="3783">
        <v>264</v>
      </c>
      <c r="D62" t="s" s="3784">
        <v>265</v>
      </c>
      <c r="E62" t="s" s="3785">
        <v>249</v>
      </c>
      <c r="F62" t="n" s="4523">
        <v>41944.0</v>
      </c>
      <c r="G62" t="s" s="4524">
        <v>0</v>
      </c>
      <c r="H62" t="n" s="3788">
        <v>1460.0</v>
      </c>
      <c r="I62" t="n" s="3789">
        <v>100.0</v>
      </c>
      <c r="J62" t="n" s="3790">
        <v>0.0</v>
      </c>
      <c r="K62" t="n" s="3791">
        <v>59.0</v>
      </c>
      <c r="L62" t="n" s="3792">
        <v>0.0</v>
      </c>
      <c r="M62" t="n" s="3793">
        <v>10.0</v>
      </c>
      <c r="N62" t="n" s="3794">
        <v>0.0</v>
      </c>
      <c r="O62" t="n" s="3795">
        <v>0.0</v>
      </c>
      <c r="P62" t="n" s="3796">
        <v>0.0</v>
      </c>
      <c r="Q62" t="n" s="3797">
        <v>0.0</v>
      </c>
      <c r="R62" t="n" s="3798">
        <v>16.0</v>
      </c>
      <c r="S62" t="n" s="3799">
        <v>224.64</v>
      </c>
      <c r="T62" t="n" s="3800">
        <v>12.0</v>
      </c>
      <c r="U62" t="n" s="3801">
        <v>252.72</v>
      </c>
      <c r="V62" t="n" s="3802">
        <v>0.0</v>
      </c>
      <c r="W62" t="n" s="3803">
        <f>q62+s62+u62+v62</f>
      </c>
      <c r="X62" t="n" s="3804">
        <v>0.0</v>
      </c>
      <c r="Y62" t="n" s="3805">
        <v>0.0</v>
      </c>
      <c r="Z62" t="n" s="3806">
        <v>0.0</v>
      </c>
      <c r="AA62" t="n" s="3807">
        <f>h62+i62+j62+k62+l62+m62+n62+o62+w62+x62+y62+z62</f>
      </c>
      <c r="AB62" t="n" s="3808">
        <v>211.0</v>
      </c>
      <c r="AC62" t="n" s="3809">
        <v>35.85</v>
      </c>
      <c r="AD62" t="n" s="3810">
        <v>4.1</v>
      </c>
      <c r="AE62" t="n" s="3811">
        <v>80.0</v>
      </c>
      <c r="AF62" t="n" s="3812">
        <f>ROUND((aa62+ab62+ac62+ad62+ae62),2)</f>
      </c>
      <c r="AG62" t="n" s="3813">
        <f>ae62*0.06</f>
      </c>
      <c r="AH62" t="n" s="3814">
        <f>af62+ag62</f>
      </c>
      <c r="AI62" t="s" s="3815">
        <v>0</v>
      </c>
    </row>
    <row r="63">
      <c r="A63" t="s" s="3816">
        <v>266</v>
      </c>
      <c r="B63" t="s" s="3817">
        <v>267</v>
      </c>
      <c r="C63" t="s" s="3818">
        <v>268</v>
      </c>
      <c r="D63" t="s" s="3819">
        <v>269</v>
      </c>
      <c r="E63" t="s" s="3820">
        <v>249</v>
      </c>
      <c r="F63" t="n" s="4525">
        <v>42005.0</v>
      </c>
      <c r="G63" t="s" s="4526">
        <v>0</v>
      </c>
      <c r="H63" t="n" s="3823">
        <v>1930.0</v>
      </c>
      <c r="I63" t="n" s="3824">
        <v>100.0</v>
      </c>
      <c r="J63" t="n" s="3825">
        <v>0.0</v>
      </c>
      <c r="K63" t="n" s="3826">
        <v>800.0</v>
      </c>
      <c r="L63" t="n" s="3827">
        <v>0.0</v>
      </c>
      <c r="M63" t="n" s="3828">
        <v>12.0</v>
      </c>
      <c r="N63" t="n" s="3829">
        <v>0.0</v>
      </c>
      <c r="O63" t="n" s="3830">
        <v>0.0</v>
      </c>
      <c r="P63" t="n" s="3831">
        <v>0.0</v>
      </c>
      <c r="Q63" t="n" s="3832">
        <v>0.0</v>
      </c>
      <c r="R63" t="n" s="3833">
        <v>16.0</v>
      </c>
      <c r="S63" t="n" s="3834">
        <v>296.96</v>
      </c>
      <c r="T63" t="n" s="3835">
        <v>0.0</v>
      </c>
      <c r="U63" t="n" s="3836">
        <v>0.0</v>
      </c>
      <c r="V63" t="n" s="3837">
        <v>0.0</v>
      </c>
      <c r="W63" t="n" s="3838">
        <f>q63+s63+u63+v63</f>
      </c>
      <c r="X63" t="n" s="3839">
        <v>0.0</v>
      </c>
      <c r="Y63" t="n" s="3840">
        <v>0.0</v>
      </c>
      <c r="Z63" t="n" s="3841">
        <v>0.0</v>
      </c>
      <c r="AA63" t="n" s="3842">
        <f>h63+i63+j63+k63+l63+m63+n63+o63+w63+x63+y63+z63</f>
      </c>
      <c r="AB63" t="n" s="3843">
        <v>370.0</v>
      </c>
      <c r="AC63" t="n" s="3844">
        <v>55.15</v>
      </c>
      <c r="AD63" t="n" s="3845">
        <v>6.3</v>
      </c>
      <c r="AE63" t="n" s="3846">
        <v>80.0</v>
      </c>
      <c r="AF63" t="n" s="3847">
        <f>ROUND((aa63+ab63+ac63+ad63+ae63),2)</f>
      </c>
      <c r="AG63" t="n" s="3848">
        <f>ae63*0.06</f>
      </c>
      <c r="AH63" t="n" s="3849">
        <f>af63+ag63</f>
      </c>
      <c r="AI63" t="s" s="3850">
        <v>0</v>
      </c>
    </row>
    <row r="64">
      <c r="A64" t="s" s="3851">
        <v>270</v>
      </c>
      <c r="B64" t="s" s="3852">
        <v>271</v>
      </c>
      <c r="C64" t="s" s="3853">
        <v>272</v>
      </c>
      <c r="D64" t="s" s="3854">
        <v>273</v>
      </c>
      <c r="E64" t="s" s="3855">
        <v>249</v>
      </c>
      <c r="F64" t="n" s="4527">
        <v>41944.0</v>
      </c>
      <c r="G64" t="s" s="4528">
        <v>0</v>
      </c>
      <c r="H64" t="n" s="3858">
        <v>1660.0</v>
      </c>
      <c r="I64" t="n" s="3859">
        <v>100.0</v>
      </c>
      <c r="J64" t="n" s="3860">
        <v>0.0</v>
      </c>
      <c r="K64" t="n" s="3861">
        <v>1530.0</v>
      </c>
      <c r="L64" t="n" s="3862">
        <v>0.0</v>
      </c>
      <c r="M64" t="n" s="3863">
        <v>10.0</v>
      </c>
      <c r="N64" t="n" s="3864">
        <v>0.0</v>
      </c>
      <c r="O64" t="n" s="3865">
        <v>0.0</v>
      </c>
      <c r="P64" t="n" s="3866">
        <v>4.0</v>
      </c>
      <c r="Q64" t="n" s="3867">
        <v>47.88</v>
      </c>
      <c r="R64" t="n" s="3868">
        <v>16.0</v>
      </c>
      <c r="S64" t="n" s="3869">
        <v>255.36</v>
      </c>
      <c r="T64" t="n" s="3870">
        <v>4.0</v>
      </c>
      <c r="U64" t="n" s="3871">
        <v>95.76</v>
      </c>
      <c r="V64" t="n" s="3872">
        <v>0.0</v>
      </c>
      <c r="W64" t="n" s="3873">
        <f>q64+s64+u64+v64</f>
      </c>
      <c r="X64" t="n" s="3874">
        <v>0.0</v>
      </c>
      <c r="Y64" t="n" s="3875">
        <v>0.0</v>
      </c>
      <c r="Z64" t="n" s="3876">
        <v>0.0</v>
      </c>
      <c r="AA64" t="n" s="3877">
        <f>h64+i64+j64+k64+l64+m64+n64+o64+w64+x64+y64+z64</f>
      </c>
      <c r="AB64" t="n" s="3878">
        <v>429.0</v>
      </c>
      <c r="AC64" t="n" s="3879">
        <v>63.85</v>
      </c>
      <c r="AD64" t="n" s="3880">
        <v>7.3</v>
      </c>
      <c r="AE64" t="n" s="3881">
        <v>80.0</v>
      </c>
      <c r="AF64" t="n" s="3882">
        <f>ROUND((aa64+ab64+ac64+ad64+ae64),2)</f>
      </c>
      <c r="AG64" t="n" s="3883">
        <f>ae64*0.06</f>
      </c>
      <c r="AH64" t="n" s="3884">
        <f>af64+ag64</f>
      </c>
      <c r="AI64" t="s" s="3885">
        <v>0</v>
      </c>
    </row>
    <row r="65">
      <c r="A65" t="s" s="3886">
        <v>274</v>
      </c>
      <c r="B65" t="s" s="3887">
        <v>275</v>
      </c>
      <c r="C65" t="s" s="3888">
        <v>276</v>
      </c>
      <c r="D65" t="s" s="3889">
        <v>277</v>
      </c>
      <c r="E65" t="s" s="3890">
        <v>249</v>
      </c>
      <c r="F65" t="n" s="4529">
        <v>42905.0</v>
      </c>
      <c r="G65" t="s" s="4530">
        <v>0</v>
      </c>
      <c r="H65" t="n" s="3893">
        <v>1230.0</v>
      </c>
      <c r="I65" t="n" s="3894">
        <v>100.0</v>
      </c>
      <c r="J65" t="n" s="3895">
        <v>0.0</v>
      </c>
      <c r="K65" t="n" s="3896">
        <v>1300.0</v>
      </c>
      <c r="L65" t="n" s="3897">
        <v>0.0</v>
      </c>
      <c r="M65" t="n" s="3898">
        <v>0.0</v>
      </c>
      <c r="N65" t="n" s="3899">
        <v>0.0</v>
      </c>
      <c r="O65" t="n" s="3900">
        <v>0.0</v>
      </c>
      <c r="P65" t="n" s="3901">
        <v>0.0</v>
      </c>
      <c r="Q65" t="n" s="3902">
        <v>0.0</v>
      </c>
      <c r="R65" t="n" s="3903">
        <v>16.0</v>
      </c>
      <c r="S65" t="n" s="3904">
        <v>189.28</v>
      </c>
      <c r="T65" t="n" s="3905">
        <v>0.0</v>
      </c>
      <c r="U65" t="n" s="3906">
        <v>0.0</v>
      </c>
      <c r="V65" t="n" s="3907">
        <v>0.0</v>
      </c>
      <c r="W65" t="n" s="3908">
        <f>q65+s65+u65+v65</f>
      </c>
      <c r="X65" t="n" s="3909">
        <v>0.0</v>
      </c>
      <c r="Y65" t="n" s="3910">
        <v>0.0</v>
      </c>
      <c r="Z65" t="n" s="3911">
        <v>0.0</v>
      </c>
      <c r="AA65" t="n" s="3912">
        <f>h65+i65+j65+k65+l65+m65+n65+o65+w65+x65+y65+z65</f>
      </c>
      <c r="AB65" t="n" s="3913">
        <v>344.0</v>
      </c>
      <c r="AC65" t="n" s="3914">
        <v>49.85</v>
      </c>
      <c r="AD65" t="n" s="3915">
        <v>5.7</v>
      </c>
      <c r="AE65" t="n" s="3916">
        <v>80.0</v>
      </c>
      <c r="AF65" t="n" s="3917">
        <f>ROUND((aa65+ab65+ac65+ad65+ae65),2)</f>
      </c>
      <c r="AG65" t="n" s="3918">
        <f>ae65*0.06</f>
      </c>
      <c r="AH65" t="n" s="3919">
        <f>af65+ag65</f>
      </c>
      <c r="AI65" t="s" s="3920">
        <v>0</v>
      </c>
    </row>
    <row r="66">
      <c r="A66" t="s" s="3921">
        <v>278</v>
      </c>
      <c r="B66" t="s" s="3922">
        <v>279</v>
      </c>
      <c r="C66" t="s" s="3923">
        <v>280</v>
      </c>
      <c r="D66" t="s" s="3924">
        <v>281</v>
      </c>
      <c r="E66" t="s" s="3925">
        <v>249</v>
      </c>
      <c r="F66" t="n" s="4531">
        <v>43054.0</v>
      </c>
      <c r="G66" t="s" s="4532">
        <v>0</v>
      </c>
      <c r="H66" t="n" s="3928">
        <v>1370.0</v>
      </c>
      <c r="I66" t="n" s="3929">
        <v>100.0</v>
      </c>
      <c r="J66" t="n" s="3930">
        <v>0.0</v>
      </c>
      <c r="K66" t="n" s="3931">
        <v>170.0</v>
      </c>
      <c r="L66" t="n" s="3932">
        <v>0.0</v>
      </c>
      <c r="M66" t="n" s="3933">
        <v>10.0</v>
      </c>
      <c r="N66" t="n" s="3934">
        <v>0.0</v>
      </c>
      <c r="O66" t="n" s="3935">
        <v>0.0</v>
      </c>
      <c r="P66" t="n" s="3936">
        <v>0.0</v>
      </c>
      <c r="Q66" t="n" s="3937">
        <v>0.0</v>
      </c>
      <c r="R66" t="n" s="3938">
        <v>16.0</v>
      </c>
      <c r="S66" t="n" s="3939">
        <v>210.72</v>
      </c>
      <c r="T66" t="n" s="3940">
        <v>0.0</v>
      </c>
      <c r="U66" t="n" s="3941">
        <v>0.0</v>
      </c>
      <c r="V66" t="n" s="3942">
        <v>0.0</v>
      </c>
      <c r="W66" t="n" s="3943">
        <f>q66+s66+u66+v66</f>
      </c>
      <c r="X66" t="n" s="3944">
        <v>0.0</v>
      </c>
      <c r="Y66" t="n" s="3945">
        <v>0.0</v>
      </c>
      <c r="Z66" t="n" s="3946">
        <v>0.0</v>
      </c>
      <c r="AA66" t="n" s="3947">
        <f>h66+i66+j66+k66+l66+m66+n66+o66+w66+x66+y66+z66</f>
      </c>
      <c r="AB66" t="n" s="3948">
        <v>214.0</v>
      </c>
      <c r="AC66" t="n" s="3949">
        <v>32.35</v>
      </c>
      <c r="AD66" t="n" s="3950">
        <v>3.7</v>
      </c>
      <c r="AE66" t="n" s="3951">
        <v>80.0</v>
      </c>
      <c r="AF66" t="n" s="3952">
        <f>ROUND((aa66+ab66+ac66+ad66+ae66),2)</f>
      </c>
      <c r="AG66" t="n" s="3953">
        <f>ae66*0.06</f>
      </c>
      <c r="AH66" t="n" s="3954">
        <f>af66+ag66</f>
      </c>
      <c r="AI66" t="s" s="3955">
        <v>0</v>
      </c>
    </row>
    <row r="67">
      <c r="A67" t="s" s="3956">
        <v>282</v>
      </c>
      <c r="B67" t="s" s="3957">
        <v>283</v>
      </c>
      <c r="C67" t="s" s="3958">
        <v>284</v>
      </c>
      <c r="D67" t="s" s="3959">
        <v>285</v>
      </c>
      <c r="E67" t="s" s="3960">
        <v>249</v>
      </c>
      <c r="F67" t="n" s="4533">
        <v>43221.0</v>
      </c>
      <c r="G67" t="s" s="4534">
        <v>0</v>
      </c>
      <c r="H67" t="n" s="3963">
        <v>1800.0</v>
      </c>
      <c r="I67" t="n" s="3964">
        <v>100.0</v>
      </c>
      <c r="J67" t="n" s="3965">
        <v>0.0</v>
      </c>
      <c r="K67" t="n" s="3966">
        <v>0.0</v>
      </c>
      <c r="L67" t="n" s="3967">
        <v>0.0</v>
      </c>
      <c r="M67" t="n" s="3968">
        <v>0.0</v>
      </c>
      <c r="N67" t="n" s="3969">
        <v>0.0</v>
      </c>
      <c r="O67" t="n" s="3970">
        <v>0.0</v>
      </c>
      <c r="P67" t="n" s="3971">
        <v>0.0</v>
      </c>
      <c r="Q67" t="n" s="3972">
        <v>0.0</v>
      </c>
      <c r="R67" t="n" s="3973">
        <v>16.0</v>
      </c>
      <c r="S67" t="n" s="3974">
        <v>276.96</v>
      </c>
      <c r="T67" t="n" s="3975">
        <v>0.0</v>
      </c>
      <c r="U67" t="n" s="3976">
        <v>0.0</v>
      </c>
      <c r="V67" t="n" s="3977">
        <v>0.0</v>
      </c>
      <c r="W67" t="n" s="3978">
        <f>q67+s67+u67+v67</f>
      </c>
      <c r="X67" t="n" s="3979">
        <v>0.0</v>
      </c>
      <c r="Y67" t="n" s="3980">
        <v>0.0</v>
      </c>
      <c r="Z67" t="n" s="3981">
        <v>0.0</v>
      </c>
      <c r="AA67" t="n" s="3982">
        <f>h67+i67+j67+k67+l67+m67+n67+o67+w67+x67+y67+z67</f>
      </c>
      <c r="AB67" t="n" s="3983">
        <v>247.0</v>
      </c>
      <c r="AC67" t="n" s="3984">
        <v>37.65</v>
      </c>
      <c r="AD67" t="n" s="3985">
        <v>4.3</v>
      </c>
      <c r="AE67" t="n" s="3986">
        <v>80.0</v>
      </c>
      <c r="AF67" t="n" s="3987">
        <f>ROUND((aa67+ab67+ac67+ad67+ae67),2)</f>
      </c>
      <c r="AG67" t="n" s="3988">
        <f>ae67*0.06</f>
      </c>
      <c r="AH67" t="n" s="3989">
        <f>af67+ag67</f>
      </c>
      <c r="AI67" t="s" s="3990">
        <v>0</v>
      </c>
    </row>
    <row r="68">
      <c r="A68" t="s" s="3991">
        <v>286</v>
      </c>
      <c r="B68" t="s" s="3992">
        <v>287</v>
      </c>
      <c r="C68" t="s" s="3993">
        <v>288</v>
      </c>
      <c r="D68" t="s" s="3994">
        <v>289</v>
      </c>
      <c r="E68" t="s" s="3995">
        <v>249</v>
      </c>
      <c r="F68" t="n" s="4535">
        <v>43572.0</v>
      </c>
      <c r="G68" t="s" s="4536">
        <v>0</v>
      </c>
      <c r="H68" t="n" s="3998">
        <v>1100.0</v>
      </c>
      <c r="I68" t="n" s="3999">
        <v>100.0</v>
      </c>
      <c r="J68" t="n" s="4000">
        <v>0.0</v>
      </c>
      <c r="K68" t="n" s="4001">
        <v>1250.0</v>
      </c>
      <c r="L68" t="n" s="4002">
        <v>0.0</v>
      </c>
      <c r="M68" t="n" s="4003">
        <v>0.0</v>
      </c>
      <c r="N68" t="n" s="4004">
        <v>0.0</v>
      </c>
      <c r="O68" t="n" s="4005">
        <v>0.0</v>
      </c>
      <c r="P68" t="n" s="4006">
        <v>0.0</v>
      </c>
      <c r="Q68" t="n" s="4007">
        <v>0.0</v>
      </c>
      <c r="R68" t="n" s="4008">
        <v>16.0</v>
      </c>
      <c r="S68" t="n" s="4009">
        <v>169.28</v>
      </c>
      <c r="T68" t="n" s="4010">
        <v>0.0</v>
      </c>
      <c r="U68" t="n" s="4011">
        <v>0.0</v>
      </c>
      <c r="V68" t="n" s="4012">
        <v>0.0</v>
      </c>
      <c r="W68" t="n" s="4013">
        <f>q68+s68+u68+v68</f>
      </c>
      <c r="X68" t="n" s="4014">
        <v>0.0</v>
      </c>
      <c r="Y68" t="n" s="4015">
        <v>0.0</v>
      </c>
      <c r="Z68" t="n" s="4016">
        <v>0.0</v>
      </c>
      <c r="AA68" t="n" s="4017">
        <f>h68+i68+j68+k68+l68+m68+n68+o68+w68+x68+y68+z68</f>
      </c>
      <c r="AB68" t="n" s="4018">
        <v>320.0</v>
      </c>
      <c r="AC68" t="n" s="4019">
        <v>46.35</v>
      </c>
      <c r="AD68" t="n" s="4020">
        <v>5.3</v>
      </c>
      <c r="AE68" t="n" s="4021">
        <v>80.0</v>
      </c>
      <c r="AF68" t="n" s="4022">
        <f>ROUND((aa68+ab68+ac68+ad68+ae68),2)</f>
      </c>
      <c r="AG68" t="n" s="4023">
        <f>ae68*0.06</f>
      </c>
      <c r="AH68" t="n" s="4024">
        <f>af68+ag68</f>
      </c>
      <c r="AI68" t="s" s="4025">
        <v>0</v>
      </c>
    </row>
    <row r="69">
      <c r="A69" t="s" s="4026">
        <v>290</v>
      </c>
      <c r="B69" t="s" s="4027">
        <v>291</v>
      </c>
      <c r="C69" t="s" s="4028">
        <v>292</v>
      </c>
      <c r="D69" t="s" s="4029">
        <v>293</v>
      </c>
      <c r="E69" t="s" s="4030">
        <v>249</v>
      </c>
      <c r="F69" t="n" s="4537">
        <v>43671.0</v>
      </c>
      <c r="G69" t="s" s="4538">
        <v>0</v>
      </c>
      <c r="H69" t="n" s="4033">
        <v>1300.0</v>
      </c>
      <c r="I69" t="n" s="4034">
        <v>100.0</v>
      </c>
      <c r="J69" t="n" s="4035">
        <v>0.0</v>
      </c>
      <c r="K69" t="n" s="4036">
        <v>170.0</v>
      </c>
      <c r="L69" t="n" s="4037">
        <v>0.0</v>
      </c>
      <c r="M69" t="n" s="4038">
        <v>0.0</v>
      </c>
      <c r="N69" t="n" s="4039">
        <v>0.0</v>
      </c>
      <c r="O69" t="n" s="4040">
        <v>0.0</v>
      </c>
      <c r="P69" t="n" s="4041">
        <v>0.0</v>
      </c>
      <c r="Q69" t="n" s="4042">
        <v>0.0</v>
      </c>
      <c r="R69" t="n" s="4043">
        <v>16.0</v>
      </c>
      <c r="S69" t="n" s="4044">
        <v>200.0</v>
      </c>
      <c r="T69" t="n" s="4045">
        <v>0.0</v>
      </c>
      <c r="U69" t="n" s="4046">
        <v>0.0</v>
      </c>
      <c r="V69" t="n" s="4047">
        <v>0.0</v>
      </c>
      <c r="W69" t="n" s="4048">
        <f>q69+s69+u69+v69</f>
      </c>
      <c r="X69" t="n" s="4049">
        <v>0.0</v>
      </c>
      <c r="Y69" t="n" s="4050">
        <v>0.0</v>
      </c>
      <c r="Z69" t="n" s="4051">
        <v>0.0</v>
      </c>
      <c r="AA69" t="n" s="4052">
        <f>h69+i69+j69+k69+l69+m69+n69+o69+w69+x69+y69+z69</f>
      </c>
      <c r="AB69" t="n" s="4053">
        <v>206.0</v>
      </c>
      <c r="AC69" t="n" s="4054">
        <v>30.65</v>
      </c>
      <c r="AD69" t="n" s="4055">
        <v>3.5</v>
      </c>
      <c r="AE69" t="n" s="4056">
        <v>80.0</v>
      </c>
      <c r="AF69" t="n" s="4057">
        <f>ROUND((aa69+ab69+ac69+ad69+ae69),2)</f>
      </c>
      <c r="AG69" t="n" s="4058">
        <f>ae69*0.06</f>
      </c>
      <c r="AH69" t="n" s="4059">
        <f>af69+ag69</f>
      </c>
      <c r="AI69" t="s" s="4060">
        <v>0</v>
      </c>
    </row>
    <row r="70">
      <c r="A70" t="s" s="4061">
        <v>294</v>
      </c>
      <c r="B70" t="s" s="4062">
        <v>295</v>
      </c>
      <c r="C70" t="s" s="4063">
        <v>296</v>
      </c>
      <c r="D70" t="s" s="4064">
        <v>297</v>
      </c>
      <c r="E70" t="s" s="4065">
        <v>249</v>
      </c>
      <c r="F70" t="n" s="4539">
        <v>43703.0</v>
      </c>
      <c r="G70" t="s" s="4540">
        <v>0</v>
      </c>
      <c r="H70" t="n" s="4068">
        <v>1200.0</v>
      </c>
      <c r="I70" t="n" s="4069">
        <v>100.0</v>
      </c>
      <c r="J70" t="n" s="4070">
        <v>0.0</v>
      </c>
      <c r="K70" t="n" s="4071">
        <v>450.0</v>
      </c>
      <c r="L70" t="n" s="4072">
        <v>0.0</v>
      </c>
      <c r="M70" t="n" s="4073">
        <v>0.0</v>
      </c>
      <c r="N70" t="n" s="4074">
        <v>0.0</v>
      </c>
      <c r="O70" t="n" s="4075">
        <v>0.0</v>
      </c>
      <c r="P70" t="n" s="4076">
        <v>0.0</v>
      </c>
      <c r="Q70" t="n" s="4077">
        <v>0.0</v>
      </c>
      <c r="R70" t="n" s="4078">
        <v>16.0</v>
      </c>
      <c r="S70" t="n" s="4079">
        <v>184.64</v>
      </c>
      <c r="T70" t="n" s="4080">
        <v>0.0</v>
      </c>
      <c r="U70" t="n" s="4081">
        <v>0.0</v>
      </c>
      <c r="V70" t="n" s="4082">
        <v>0.0</v>
      </c>
      <c r="W70" t="n" s="4083">
        <f>q70+s70+u70+v70</f>
      </c>
      <c r="X70" t="n" s="4084">
        <v>0.0</v>
      </c>
      <c r="Y70" t="n" s="4085">
        <v>0.0</v>
      </c>
      <c r="Z70" t="n" s="4086">
        <v>0.0</v>
      </c>
      <c r="AA70" t="n" s="4087">
        <f>h70+i70+j70+k70+l70+m70+n70+o70+w70+x70+y70+z70</f>
      </c>
      <c r="AB70" t="n" s="4088">
        <v>229.0</v>
      </c>
      <c r="AC70" t="n" s="4089">
        <v>34.15</v>
      </c>
      <c r="AD70" t="n" s="4090">
        <v>3.9</v>
      </c>
      <c r="AE70" t="n" s="4091">
        <v>80.0</v>
      </c>
      <c r="AF70" t="n" s="4092">
        <f>ROUND((aa70+ab70+ac70+ad70+ae70),2)</f>
      </c>
      <c r="AG70" t="n" s="4093">
        <f>ae70*0.06</f>
      </c>
      <c r="AH70" t="n" s="4094">
        <f>af70+ag70</f>
      </c>
      <c r="AI70" t="s" s="4095">
        <v>0</v>
      </c>
    </row>
    <row r="71">
      <c r="A71" t="s" s="4096">
        <v>298</v>
      </c>
      <c r="B71" t="s" s="4097">
        <v>299</v>
      </c>
      <c r="C71" t="s" s="4098">
        <v>300</v>
      </c>
      <c r="D71" t="s" s="4099">
        <v>301</v>
      </c>
      <c r="E71" t="s" s="4100">
        <v>302</v>
      </c>
      <c r="F71" t="n" s="4541">
        <v>41944.0</v>
      </c>
      <c r="G71" t="s" s="4542">
        <v>0</v>
      </c>
      <c r="H71" t="n" s="4103">
        <v>1680.0</v>
      </c>
      <c r="I71" t="n" s="4104">
        <v>100.0</v>
      </c>
      <c r="J71" t="n" s="4105">
        <v>0.0</v>
      </c>
      <c r="K71" t="n" s="4106">
        <v>0.0</v>
      </c>
      <c r="L71" t="n" s="4107">
        <v>0.0</v>
      </c>
      <c r="M71" t="n" s="4108">
        <v>22.0</v>
      </c>
      <c r="N71" t="n" s="4109">
        <v>0.0</v>
      </c>
      <c r="O71" t="n" s="4110">
        <v>0.0</v>
      </c>
      <c r="P71" t="n" s="4111">
        <v>8.0</v>
      </c>
      <c r="Q71" t="n" s="4112">
        <v>96.96</v>
      </c>
      <c r="R71" t="n" s="4113">
        <v>16.0</v>
      </c>
      <c r="S71" t="n" s="4114">
        <v>258.4</v>
      </c>
      <c r="T71" t="n" s="4115">
        <v>0.0</v>
      </c>
      <c r="U71" t="n" s="4116">
        <v>0.0</v>
      </c>
      <c r="V71" t="n" s="4117">
        <v>0.0</v>
      </c>
      <c r="W71" t="n" s="4118">
        <f>q71+s71+u71+v71</f>
      </c>
      <c r="X71" t="n" s="4119">
        <v>0.0</v>
      </c>
      <c r="Y71" t="n" s="4120">
        <v>0.0</v>
      </c>
      <c r="Z71" t="n" s="4121">
        <v>0.0</v>
      </c>
      <c r="AA71" t="n" s="4122">
        <f>h71+i71+j71+k71+l71+m71+n71+o71+w71+x71+y71+z71</f>
      </c>
      <c r="AB71" t="n" s="4123">
        <v>232.0</v>
      </c>
      <c r="AC71" t="n" s="4124">
        <v>37.65</v>
      </c>
      <c r="AD71" t="n" s="4125">
        <v>4.3</v>
      </c>
      <c r="AE71" t="n" s="4126">
        <v>80.0</v>
      </c>
      <c r="AF71" t="n" s="4127">
        <f>ROUND((aa71+ab71+ac71+ad71+ae71),2)</f>
      </c>
      <c r="AG71" t="n" s="4128">
        <f>ae71*0.06</f>
      </c>
      <c r="AH71" t="n" s="4129">
        <f>af71+ag71</f>
      </c>
      <c r="AI71" t="s" s="4130">
        <v>0</v>
      </c>
    </row>
    <row r="72">
      <c r="A72" t="s" s="4131">
        <v>303</v>
      </c>
      <c r="B72" t="s" s="4132">
        <v>304</v>
      </c>
      <c r="C72" t="s" s="4133">
        <v>305</v>
      </c>
      <c r="D72" t="s" s="4134">
        <v>306</v>
      </c>
      <c r="E72" t="s" s="4135">
        <v>302</v>
      </c>
      <c r="F72" t="n" s="4543">
        <v>41944.0</v>
      </c>
      <c r="G72" t="s" s="4544">
        <v>0</v>
      </c>
      <c r="H72" t="n" s="4138">
        <v>1350.0</v>
      </c>
      <c r="I72" t="n" s="4139">
        <v>100.0</v>
      </c>
      <c r="J72" t="n" s="4140">
        <v>0.0</v>
      </c>
      <c r="K72" t="n" s="4141">
        <v>251.0</v>
      </c>
      <c r="L72" t="n" s="4142">
        <v>0.0</v>
      </c>
      <c r="M72" t="n" s="4143">
        <v>18.9</v>
      </c>
      <c r="N72" t="n" s="4144">
        <v>0.0</v>
      </c>
      <c r="O72" t="n" s="4145">
        <v>0.0</v>
      </c>
      <c r="P72" t="n" s="4146">
        <v>8.0</v>
      </c>
      <c r="Q72" t="n" s="4147">
        <v>77.92</v>
      </c>
      <c r="R72" t="n" s="4148">
        <v>16.0</v>
      </c>
      <c r="S72" t="n" s="4149">
        <v>207.68</v>
      </c>
      <c r="T72" t="n" s="4150">
        <v>0.0</v>
      </c>
      <c r="U72" t="n" s="4151">
        <v>0.0</v>
      </c>
      <c r="V72" t="n" s="4152">
        <v>0.0</v>
      </c>
      <c r="W72" t="n" s="4153">
        <f>q72+s72+u72+v72</f>
      </c>
      <c r="X72" t="n" s="4154">
        <v>0.0</v>
      </c>
      <c r="Y72" t="n" s="4155">
        <v>0.0</v>
      </c>
      <c r="Z72" t="n" s="4156">
        <v>0.0</v>
      </c>
      <c r="AA72" t="n" s="4157">
        <f>h72+i72+j72+k72+l72+m72+n72+o72+w72+x72+y72+z72</f>
      </c>
      <c r="AB72" t="n" s="4158">
        <v>224.0</v>
      </c>
      <c r="AC72" t="n" s="4159">
        <v>34.15</v>
      </c>
      <c r="AD72" t="n" s="4160">
        <v>3.9</v>
      </c>
      <c r="AE72" t="n" s="4161">
        <v>80.0</v>
      </c>
      <c r="AF72" t="n" s="4162">
        <f>ROUND((aa72+ab72+ac72+ad72+ae72),2)</f>
      </c>
      <c r="AG72" t="n" s="4163">
        <f>ae72*0.06</f>
      </c>
      <c r="AH72" t="n" s="4164">
        <f>af72+ag72</f>
      </c>
      <c r="AI72" t="s" s="4165">
        <v>0</v>
      </c>
    </row>
    <row r="73">
      <c r="A73" t="s" s="4166">
        <v>307</v>
      </c>
      <c r="B73" t="s" s="4167">
        <v>308</v>
      </c>
      <c r="C73" t="s" s="4168">
        <v>309</v>
      </c>
      <c r="D73" t="s" s="4169">
        <v>310</v>
      </c>
      <c r="E73" t="s" s="4170">
        <v>302</v>
      </c>
      <c r="F73" t="n" s="4545">
        <v>41944.0</v>
      </c>
      <c r="G73" t="s" s="4546">
        <v>0</v>
      </c>
      <c r="H73" t="n" s="4173">
        <v>1740.0</v>
      </c>
      <c r="I73" t="n" s="4174">
        <v>100.0</v>
      </c>
      <c r="J73" t="n" s="4175">
        <v>0.0</v>
      </c>
      <c r="K73" t="n" s="4176">
        <v>264.0</v>
      </c>
      <c r="L73" t="n" s="4177">
        <v>0.0</v>
      </c>
      <c r="M73" t="n" s="4178">
        <v>10.0</v>
      </c>
      <c r="N73" t="n" s="4179">
        <v>0.0</v>
      </c>
      <c r="O73" t="n" s="4180">
        <v>0.0</v>
      </c>
      <c r="P73" t="n" s="4181">
        <v>8.0</v>
      </c>
      <c r="Q73" t="n" s="4182">
        <v>100.4</v>
      </c>
      <c r="R73" t="n" s="4183">
        <v>16.0</v>
      </c>
      <c r="S73" t="n" s="4184">
        <v>267.68</v>
      </c>
      <c r="T73" t="n" s="4185">
        <v>0.0</v>
      </c>
      <c r="U73" t="n" s="4186">
        <v>0.0</v>
      </c>
      <c r="V73" t="n" s="4187">
        <v>0.0</v>
      </c>
      <c r="W73" t="n" s="4188">
        <f>q73+s73+u73+v73</f>
      </c>
      <c r="X73" t="n" s="4189">
        <v>0.0</v>
      </c>
      <c r="Y73" t="n" s="4190">
        <v>0.0</v>
      </c>
      <c r="Z73" t="n" s="4191">
        <v>0.0</v>
      </c>
      <c r="AA73" t="n" s="4192">
        <f>h73+i73+j73+k73+l73+m73+n73+o73+w73+x73+y73+z73</f>
      </c>
      <c r="AB73" t="n" s="4193">
        <v>276.0</v>
      </c>
      <c r="AC73" t="n" s="4194">
        <v>42.85</v>
      </c>
      <c r="AD73" t="n" s="4195">
        <v>4.9</v>
      </c>
      <c r="AE73" t="n" s="4196">
        <v>80.0</v>
      </c>
      <c r="AF73" t="n" s="4197">
        <f>ROUND((aa73+ab73+ac73+ad73+ae73),2)</f>
      </c>
      <c r="AG73" t="n" s="4198">
        <f>ae73*0.06</f>
      </c>
      <c r="AH73" t="n" s="4199">
        <f>af73+ag73</f>
      </c>
      <c r="AI73" t="s" s="4200">
        <v>0</v>
      </c>
    </row>
    <row r="74">
      <c r="A74" t="s" s="4201">
        <v>311</v>
      </c>
      <c r="B74" t="s" s="4202">
        <v>312</v>
      </c>
      <c r="C74" t="s" s="4203">
        <v>313</v>
      </c>
      <c r="D74" t="s" s="4204">
        <v>314</v>
      </c>
      <c r="E74" t="s" s="4205">
        <v>302</v>
      </c>
      <c r="F74" t="n" s="4547">
        <v>41944.0</v>
      </c>
      <c r="G74" t="s" s="4548">
        <v>0</v>
      </c>
      <c r="H74" t="n" s="4208">
        <v>1350.0</v>
      </c>
      <c r="I74" t="n" s="4209">
        <v>100.0</v>
      </c>
      <c r="J74" t="n" s="4210">
        <v>0.0</v>
      </c>
      <c r="K74" t="n" s="4211">
        <v>0.0</v>
      </c>
      <c r="L74" t="n" s="4212">
        <v>0.0</v>
      </c>
      <c r="M74" t="n" s="4213">
        <v>10.0</v>
      </c>
      <c r="N74" t="n" s="4214">
        <v>0.0</v>
      </c>
      <c r="O74" t="n" s="4215">
        <v>0.0</v>
      </c>
      <c r="P74" t="n" s="4216">
        <v>8.0</v>
      </c>
      <c r="Q74" t="n" s="4217">
        <v>77.92</v>
      </c>
      <c r="R74" t="n" s="4218">
        <v>16.0</v>
      </c>
      <c r="S74" t="n" s="4219">
        <v>207.68</v>
      </c>
      <c r="T74" t="n" s="4220">
        <v>0.0</v>
      </c>
      <c r="U74" t="n" s="4221">
        <v>0.0</v>
      </c>
      <c r="V74" t="n" s="4222">
        <v>0.0</v>
      </c>
      <c r="W74" t="n" s="4223">
        <f>q74+s74+u74+v74</f>
      </c>
      <c r="X74" t="n" s="4224">
        <v>0.0</v>
      </c>
      <c r="Y74" t="n" s="4225">
        <v>0.0</v>
      </c>
      <c r="Z74" t="n" s="4226">
        <v>0.0</v>
      </c>
      <c r="AA74" t="n" s="4227">
        <f>h74+i74+j74+k74+l74+m74+n74+o74+w74+x74+y74+z74</f>
      </c>
      <c r="AB74" t="n" s="4228">
        <v>190.0</v>
      </c>
      <c r="AC74" t="n" s="4229">
        <v>30.65</v>
      </c>
      <c r="AD74" t="n" s="4230">
        <v>3.5</v>
      </c>
      <c r="AE74" t="n" s="4231">
        <v>80.0</v>
      </c>
      <c r="AF74" t="n" s="4232">
        <f>ROUND((aa74+ab74+ac74+ad74+ae74),2)</f>
      </c>
      <c r="AG74" t="n" s="4233">
        <f>ae74*0.06</f>
      </c>
      <c r="AH74" t="n" s="4234">
        <f>af74+ag74</f>
      </c>
      <c r="AI74" t="s" s="4235">
        <v>0</v>
      </c>
    </row>
    <row r="75">
      <c r="A75" t="s" s="4236">
        <v>315</v>
      </c>
      <c r="B75" t="s" s="4237">
        <v>316</v>
      </c>
      <c r="C75" t="s" s="4238">
        <v>317</v>
      </c>
      <c r="D75" t="s" s="4239">
        <v>318</v>
      </c>
      <c r="E75" t="s" s="4240">
        <v>302</v>
      </c>
      <c r="F75" t="n" s="4549">
        <v>42614.0</v>
      </c>
      <c r="G75" t="s" s="4550">
        <v>0</v>
      </c>
      <c r="H75" t="n" s="4243">
        <v>1400.0</v>
      </c>
      <c r="I75" t="n" s="4244">
        <v>100.0</v>
      </c>
      <c r="J75" t="n" s="4245">
        <v>0.0</v>
      </c>
      <c r="K75" t="n" s="4246">
        <v>0.0</v>
      </c>
      <c r="L75" t="n" s="4247">
        <v>0.0</v>
      </c>
      <c r="M75" t="n" s="4248">
        <v>10.0</v>
      </c>
      <c r="N75" t="n" s="4249">
        <v>0.0</v>
      </c>
      <c r="O75" t="n" s="4250">
        <v>0.0</v>
      </c>
      <c r="P75" t="n" s="4251">
        <v>8.0</v>
      </c>
      <c r="Q75" t="n" s="4252">
        <v>80.8</v>
      </c>
      <c r="R75" t="n" s="4253">
        <v>16.0</v>
      </c>
      <c r="S75" t="n" s="4254">
        <v>215.36</v>
      </c>
      <c r="T75" t="n" s="4255">
        <v>0.0</v>
      </c>
      <c r="U75" t="n" s="4256">
        <v>0.0</v>
      </c>
      <c r="V75" t="n" s="4257">
        <v>0.0</v>
      </c>
      <c r="W75" t="n" s="4258">
        <f>q75+s75+u75+v75</f>
      </c>
      <c r="X75" t="n" s="4259">
        <v>0.0</v>
      </c>
      <c r="Y75" t="n" s="4260">
        <v>0.0</v>
      </c>
      <c r="Z75" t="n" s="4261">
        <v>0.0</v>
      </c>
      <c r="AA75" t="n" s="4262">
        <f>h75+i75+j75+k75+l75+m75+n75+o75+w75+x75+y75+z75</f>
      </c>
      <c r="AB75" t="n" s="4263">
        <v>195.0</v>
      </c>
      <c r="AC75" t="n" s="4264">
        <v>30.65</v>
      </c>
      <c r="AD75" t="n" s="4265">
        <v>3.5</v>
      </c>
      <c r="AE75" t="n" s="4266">
        <v>80.0</v>
      </c>
      <c r="AF75" t="n" s="4267">
        <f>ROUND((aa75+ab75+ac75+ad75+ae75),2)</f>
      </c>
      <c r="AG75" t="n" s="4268">
        <f>ae75*0.06</f>
      </c>
      <c r="AH75" t="n" s="4269">
        <f>af75+ag75</f>
      </c>
      <c r="AI75" t="s" s="4270">
        <v>0</v>
      </c>
    </row>
    <row r="76">
      <c r="A76" t="s" s="4271">
        <v>319</v>
      </c>
      <c r="B76" t="s" s="4272">
        <v>320</v>
      </c>
      <c r="C76" t="s" s="4273">
        <v>321</v>
      </c>
      <c r="D76" t="s" s="4274">
        <v>322</v>
      </c>
      <c r="E76" t="s" s="4275">
        <v>302</v>
      </c>
      <c r="F76" t="n" s="4551">
        <v>42795.0</v>
      </c>
      <c r="G76" t="s" s="4552">
        <v>0</v>
      </c>
      <c r="H76" t="n" s="4278">
        <v>1350.0</v>
      </c>
      <c r="I76" t="n" s="4279">
        <v>100.0</v>
      </c>
      <c r="J76" t="n" s="4280">
        <v>0.0</v>
      </c>
      <c r="K76" t="n" s="4281">
        <v>1400.0</v>
      </c>
      <c r="L76" t="n" s="4282">
        <v>0.0</v>
      </c>
      <c r="M76" t="n" s="4283">
        <v>10.0</v>
      </c>
      <c r="N76" t="n" s="4284">
        <v>0.0</v>
      </c>
      <c r="O76" t="n" s="4285">
        <v>0.0</v>
      </c>
      <c r="P76" t="n" s="4286">
        <v>7.0</v>
      </c>
      <c r="Q76" t="n" s="4287">
        <v>68.18</v>
      </c>
      <c r="R76" t="n" s="4288">
        <v>16.0</v>
      </c>
      <c r="S76" t="n" s="4289">
        <v>207.68</v>
      </c>
      <c r="T76" t="n" s="4290">
        <v>0.0</v>
      </c>
      <c r="U76" t="n" s="4291">
        <v>0.0</v>
      </c>
      <c r="V76" t="n" s="4292">
        <v>0.0</v>
      </c>
      <c r="W76" t="n" s="4293">
        <f>q76+s76+u76+v76</f>
      </c>
      <c r="X76" t="n" s="4294">
        <v>0.0</v>
      </c>
      <c r="Y76" t="n" s="4295">
        <v>0.0</v>
      </c>
      <c r="Z76" t="n" s="4296">
        <v>0.0</v>
      </c>
      <c r="AA76" t="n" s="4297">
        <f>h76+i76+j76+k76+l76+m76+n76+o76+w76+x76+y76+z76</f>
      </c>
      <c r="AB76" t="n" s="4298">
        <v>372.0</v>
      </c>
      <c r="AC76" t="n" s="4299">
        <v>55.15</v>
      </c>
      <c r="AD76" t="n" s="4300">
        <v>6.3</v>
      </c>
      <c r="AE76" t="n" s="4301">
        <v>80.0</v>
      </c>
      <c r="AF76" t="n" s="4302">
        <f>ROUND((aa76+ab76+ac76+ad76+ae76),2)</f>
      </c>
      <c r="AG76" t="n" s="4303">
        <f>ae76*0.06</f>
      </c>
      <c r="AH76" t="n" s="4304">
        <f>af76+ag76</f>
      </c>
      <c r="AI76" t="s" s="4305">
        <v>0</v>
      </c>
    </row>
    <row r="77">
      <c r="A77" s="4376"/>
      <c r="B77" s="4377"/>
      <c r="C77" s="4378"/>
      <c r="D77" s="4379"/>
      <c r="E77" s="4380"/>
      <c r="F77" s="4553"/>
      <c r="G77" s="4554"/>
      <c r="H77" s="4383">
        <f>SUM(h8:h76)</f>
      </c>
      <c r="I77" s="4384">
        <f>SUM(i8:i76)</f>
      </c>
      <c r="J77" s="4385">
        <f>SUM(j8:j76)</f>
      </c>
      <c r="K77" s="4386">
        <f>SUM(k8:k76)</f>
      </c>
      <c r="L77" s="4387">
        <f>SUM(l8:l76)</f>
      </c>
      <c r="M77" s="4388">
        <f>SUM(m8:m76)</f>
      </c>
      <c r="N77" s="4389">
        <f>SUM(n8:n76)</f>
      </c>
      <c r="O77" s="4390">
        <f>SUM(o8:o76)</f>
      </c>
      <c r="P77" s="4391">
        <f>SUM(p8:p76)</f>
      </c>
      <c r="Q77" s="4392">
        <f>SUM(q8:q76)</f>
      </c>
      <c r="R77" s="4393">
        <f>SUM(r8:r76)</f>
      </c>
      <c r="S77" s="4394">
        <f>SUM(s8:s76)</f>
      </c>
      <c r="T77" s="4395">
        <f>SUM(t8:t76)</f>
      </c>
      <c r="U77" s="4396">
        <f>SUM(u8:u76)</f>
      </c>
      <c r="V77" s="4397">
        <f>SUM(v8:v76)</f>
      </c>
      <c r="W77" s="4398">
        <f>SUM(w8:w76)</f>
      </c>
      <c r="X77" s="4399">
        <f>SUM(x8:x76)</f>
      </c>
      <c r="Y77" s="4400">
        <f>SUM(y8:y76)</f>
      </c>
      <c r="Z77" s="4401">
        <f>SUM(z8:z76)</f>
      </c>
      <c r="AA77" s="4402">
        <f>SUM(aa8:aa76)</f>
      </c>
      <c r="AB77" s="4403">
        <f>SUM(ab8:ab76)</f>
      </c>
      <c r="AC77" s="4404">
        <f>SUM(ac8:ac76)</f>
      </c>
      <c r="AD77" s="4405">
        <f>SUM(ad8:ad76)</f>
      </c>
      <c r="AE77" s="4406">
        <f>SUM(ae8:ae76)</f>
      </c>
      <c r="AF77" s="4407">
        <f>SUM(af8:af76)</f>
      </c>
      <c r="AG77" s="4408">
        <f>SUM(ag8:ag76)</f>
      </c>
      <c r="AH77" s="4409">
        <f>SUM(ah8:ah76)</f>
      </c>
      <c r="AI77" s="4410"/>
    </row>
    <row r="78"/>
    <row r="79">
      <c r="A79" t="s">
        <v>0</v>
      </c>
      <c r="B79" t="s">
        <v>0</v>
      </c>
      <c r="C79" t="s">
        <v>323</v>
      </c>
    </row>
    <row r="80">
      <c r="C80">
        <f>COUNTA(A8:A76)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4555">
        <v>0</v>
      </c>
      <c r="B1" t="s" s="4556">
        <v>0</v>
      </c>
      <c r="C1" t="s" s="4557">
        <v>1</v>
      </c>
    </row>
    <row r="2" ht="15.0" customHeight="true">
      <c r="A2" t="s" s="4558">
        <v>0</v>
      </c>
      <c r="B2" t="s" s="4559">
        <v>0</v>
      </c>
      <c r="C2" t="s" s="4560">
        <v>2</v>
      </c>
    </row>
    <row r="3" ht="15.0" customHeight="true">
      <c r="A3" t="s" s="4561">
        <v>0</v>
      </c>
      <c r="B3" t="s" s="4562">
        <v>0</v>
      </c>
      <c r="C3" t="s" s="4563">
        <v>3</v>
      </c>
    </row>
    <row r="4" ht="15.0" customHeight="true">
      <c r="A4" t="s" s="4564">
        <v>0</v>
      </c>
      <c r="B4" t="s" s="4565">
        <v>0</v>
      </c>
      <c r="C4" t="s" s="4566">
        <v>4</v>
      </c>
      <c r="D4" t="s" s="4567">
        <v>0</v>
      </c>
      <c r="E4" t="s" s="4568">
        <v>0</v>
      </c>
      <c r="F4" t="s" s="4569">
        <v>0</v>
      </c>
      <c r="G4" t="s" s="4570">
        <v>0</v>
      </c>
      <c r="H4" t="s" s="4571">
        <v>0</v>
      </c>
      <c r="I4" t="s" s="4572">
        <v>0</v>
      </c>
      <c r="J4" t="s" s="4573">
        <v>0</v>
      </c>
      <c r="K4" t="s" s="4574">
        <v>0</v>
      </c>
      <c r="L4" t="s" s="4575">
        <v>0</v>
      </c>
      <c r="M4" t="s" s="4576">
        <v>0</v>
      </c>
      <c r="N4" t="s" s="4577">
        <v>0</v>
      </c>
      <c r="O4" t="s" s="4578">
        <v>0</v>
      </c>
      <c r="P4" t="s" s="4579">
        <v>0</v>
      </c>
      <c r="Q4" t="s" s="4580">
        <v>0</v>
      </c>
      <c r="R4" t="s" s="4581">
        <v>0</v>
      </c>
      <c r="S4" t="s" s="4582">
        <v>0</v>
      </c>
      <c r="T4" t="s" s="4583">
        <v>0</v>
      </c>
      <c r="U4" t="s" s="4584">
        <v>0</v>
      </c>
      <c r="V4" t="s" s="4585">
        <v>0</v>
      </c>
      <c r="W4" t="s" s="4586">
        <v>0</v>
      </c>
      <c r="X4" t="s" s="4587">
        <v>0</v>
      </c>
      <c r="Y4" t="s" s="4588">
        <v>0</v>
      </c>
      <c r="Z4" t="s" s="4589">
        <v>0</v>
      </c>
      <c r="AA4" t="s" s="4590">
        <v>0</v>
      </c>
      <c r="AB4" t="s" s="4591">
        <v>0</v>
      </c>
      <c r="AC4" t="s" s="4592">
        <v>5</v>
      </c>
      <c r="AD4" t="n" s="4593">
        <v>2019.0</v>
      </c>
    </row>
    <row r="5" ht="15.0" customHeight="true">
      <c r="A5" t="s" s="4594">
        <v>0</v>
      </c>
      <c r="B5" t="s" s="4595">
        <v>0</v>
      </c>
      <c r="C5" t="s" s="4596">
        <v>0</v>
      </c>
      <c r="D5" t="s" s="4597">
        <v>0</v>
      </c>
      <c r="E5" t="s" s="4598">
        <v>0</v>
      </c>
      <c r="F5" t="s" s="4599">
        <v>0</v>
      </c>
      <c r="G5" t="s" s="4600">
        <v>0</v>
      </c>
      <c r="H5" t="s" s="4601">
        <v>0</v>
      </c>
      <c r="I5" t="s" s="4602">
        <v>0</v>
      </c>
      <c r="J5" t="s" s="4603">
        <v>0</v>
      </c>
      <c r="K5" t="s" s="4604">
        <v>0</v>
      </c>
      <c r="L5" t="s" s="4605">
        <v>0</v>
      </c>
      <c r="M5" t="s" s="4606">
        <v>0</v>
      </c>
      <c r="N5" t="s" s="4607">
        <v>0</v>
      </c>
      <c r="O5" t="s" s="4608">
        <v>0</v>
      </c>
      <c r="P5" t="s" s="4609">
        <v>0</v>
      </c>
      <c r="Q5" t="s" s="4610">
        <v>0</v>
      </c>
      <c r="R5" t="s" s="4611">
        <v>0</v>
      </c>
      <c r="S5" t="s" s="4612">
        <v>0</v>
      </c>
      <c r="T5" t="s" s="4613">
        <v>0</v>
      </c>
      <c r="U5" t="s" s="4614">
        <v>0</v>
      </c>
      <c r="V5" t="s" s="4615">
        <v>0</v>
      </c>
      <c r="W5" t="s" s="4616">
        <v>0</v>
      </c>
      <c r="X5" t="s" s="4617">
        <v>0</v>
      </c>
      <c r="Y5" t="s" s="4618">
        <v>0</v>
      </c>
      <c r="Z5" t="s" s="4619">
        <v>0</v>
      </c>
      <c r="AA5" t="s" s="4620">
        <v>0</v>
      </c>
      <c r="AB5" t="s" s="4621">
        <v>0</v>
      </c>
      <c r="AC5" t="s" s="4622">
        <v>6</v>
      </c>
      <c r="AD5" t="n" s="4623">
        <v>2019.0</v>
      </c>
    </row>
    <row r="6" ht="15.0" customHeight="true"/>
    <row r="7" ht="35.0" customHeight="true">
      <c r="A7" t="s" s="4624">
        <v>7</v>
      </c>
      <c r="B7" t="s" s="4625">
        <v>8</v>
      </c>
      <c r="C7" t="s" s="4626">
        <v>9</v>
      </c>
      <c r="D7" t="s" s="4627">
        <v>10</v>
      </c>
      <c r="E7" t="s" s="4628">
        <v>11</v>
      </c>
      <c r="F7" t="s" s="4629">
        <v>12</v>
      </c>
      <c r="G7" t="s" s="4630">
        <v>13</v>
      </c>
      <c r="H7" t="s" s="4631">
        <v>14</v>
      </c>
      <c r="I7" t="s" s="4632">
        <v>15</v>
      </c>
      <c r="J7" t="s" s="4633">
        <v>16</v>
      </c>
      <c r="K7" t="s" s="4634">
        <v>17</v>
      </c>
      <c r="L7" t="s" s="4635">
        <v>18</v>
      </c>
      <c r="M7" t="s" s="4636">
        <v>19</v>
      </c>
      <c r="N7" t="s" s="4637">
        <v>20</v>
      </c>
      <c r="O7" t="s" s="4638">
        <v>21</v>
      </c>
      <c r="P7" t="s" s="4639">
        <v>22</v>
      </c>
      <c r="Q7" t="s" s="4640">
        <v>23</v>
      </c>
      <c r="R7" t="s" s="4641">
        <v>24</v>
      </c>
      <c r="S7" t="s" s="4642">
        <v>25</v>
      </c>
      <c r="T7" t="s" s="4643">
        <v>26</v>
      </c>
      <c r="U7" t="s" s="4644">
        <v>27</v>
      </c>
      <c r="V7" t="s" s="4645">
        <v>28</v>
      </c>
      <c r="W7" t="s" s="4646">
        <v>29</v>
      </c>
      <c r="X7" t="s" s="4647">
        <v>30</v>
      </c>
      <c r="Y7" t="s" s="4648">
        <v>31</v>
      </c>
      <c r="Z7" t="s" s="4649">
        <v>32</v>
      </c>
      <c r="AA7" t="s" s="4650">
        <v>33</v>
      </c>
      <c r="AB7" t="s" s="4651">
        <v>34</v>
      </c>
      <c r="AC7" t="s" s="4652">
        <v>35</v>
      </c>
      <c r="AD7" t="s" s="4653">
        <v>36</v>
      </c>
      <c r="AE7" t="s" s="4654">
        <v>37</v>
      </c>
      <c r="AF7" t="s" s="4655">
        <v>38</v>
      </c>
      <c r="AG7" t="s" s="4656">
        <v>39</v>
      </c>
      <c r="AH7" t="s" s="4657">
        <v>40</v>
      </c>
      <c r="AI7" t="s" s="4658">
        <v>41</v>
      </c>
    </row>
    <row r="8" ht="15.0" customHeight="true">
      <c r="A8" t="s" s="4659">
        <v>42</v>
      </c>
      <c r="B8" t="s" s="4660">
        <v>43</v>
      </c>
      <c r="C8" t="s" s="4661">
        <v>44</v>
      </c>
      <c r="D8" t="s" s="4662">
        <v>45</v>
      </c>
      <c r="E8" t="s" s="4663">
        <v>46</v>
      </c>
      <c r="F8" t="n" s="4664">
        <v>41944.0</v>
      </c>
      <c r="G8" t="s" s="4665">
        <v>0</v>
      </c>
      <c r="H8" t="n" s="4666">
        <v>1470.0</v>
      </c>
      <c r="I8" t="n" s="4667">
        <v>100.0</v>
      </c>
      <c r="J8" t="n" s="4668">
        <v>0.0</v>
      </c>
      <c r="K8" t="n" s="4669">
        <v>1911.86</v>
      </c>
      <c r="L8" t="n" s="4670">
        <v>0.0</v>
      </c>
      <c r="M8" t="n" s="4671">
        <v>10.0</v>
      </c>
      <c r="N8" t="n" s="4672">
        <v>0.0</v>
      </c>
      <c r="O8" t="n" s="4673">
        <v>0.0</v>
      </c>
      <c r="P8" t="n" s="4674">
        <v>38.5</v>
      </c>
      <c r="Q8" t="n" s="4675">
        <v>408.1</v>
      </c>
      <c r="R8" t="n" s="4676">
        <v>16.0</v>
      </c>
      <c r="S8" t="n" s="4677">
        <v>226.08</v>
      </c>
      <c r="T8" t="n" s="4678">
        <v>5.5</v>
      </c>
      <c r="U8" t="n" s="4679">
        <v>116.6</v>
      </c>
      <c r="V8" t="n" s="4680">
        <v>0.0</v>
      </c>
      <c r="W8" s="4681">
        <f>q8+s8+u8+v8</f>
      </c>
      <c r="X8" t="n" s="4682">
        <v>0.0</v>
      </c>
      <c r="Y8" t="n" s="4683">
        <v>0.0</v>
      </c>
      <c r="Z8" t="n" s="4684">
        <v>0.0</v>
      </c>
      <c r="AA8" s="4685">
        <f>h8+i8+j8+k8+l8+m8+n8+o8+w8+x8+y8+z8</f>
      </c>
      <c r="AB8" t="n" s="4686">
        <v>455.0</v>
      </c>
      <c r="AC8" t="n" s="4687">
        <v>69.05</v>
      </c>
      <c r="AD8" t="n" s="4688">
        <v>7.9</v>
      </c>
      <c r="AE8" t="n" s="4689">
        <v>80.0</v>
      </c>
      <c r="AF8" s="4690">
        <f>ROUND((aa8+ab8+ac8+ad8+ae8),2)</f>
      </c>
      <c r="AG8" s="4691">
        <f>ae8*0.06</f>
      </c>
      <c r="AH8" s="4692">
        <f>af8+ag8</f>
      </c>
      <c r="AI8" t="s" s="4693">
        <v>0</v>
      </c>
    </row>
    <row r="9" ht="15.0" customHeight="true">
      <c r="A9" t="s" s="4694">
        <v>47</v>
      </c>
      <c r="B9" t="s" s="4695">
        <v>48</v>
      </c>
      <c r="C9" t="s" s="4696">
        <v>49</v>
      </c>
      <c r="D9" t="s" s="4697">
        <v>50</v>
      </c>
      <c r="E9" t="s" s="4698">
        <v>46</v>
      </c>
      <c r="F9" t="n" s="4699">
        <v>42700.0</v>
      </c>
      <c r="G9" t="s" s="4700">
        <v>0</v>
      </c>
      <c r="H9" t="n" s="4701">
        <v>1420.0</v>
      </c>
      <c r="I9" t="n" s="4702">
        <v>100.0</v>
      </c>
      <c r="J9" t="n" s="4703">
        <v>0.0</v>
      </c>
      <c r="K9" t="n" s="4704">
        <v>600.0</v>
      </c>
      <c r="L9" t="n" s="4705">
        <v>0.0</v>
      </c>
      <c r="M9" t="n" s="4706">
        <v>10.0</v>
      </c>
      <c r="N9" t="n" s="4707">
        <v>0.0</v>
      </c>
      <c r="O9" t="n" s="4708">
        <v>0.0</v>
      </c>
      <c r="P9" t="n" s="4709">
        <v>0.0</v>
      </c>
      <c r="Q9" t="n" s="4710">
        <v>0.0</v>
      </c>
      <c r="R9" t="n" s="4711">
        <v>16.0</v>
      </c>
      <c r="S9" t="n" s="4712">
        <v>218.4</v>
      </c>
      <c r="T9" t="n" s="4713">
        <v>0.0</v>
      </c>
      <c r="U9" t="n" s="4714">
        <v>0.0</v>
      </c>
      <c r="V9" t="n" s="4715">
        <v>0.0</v>
      </c>
      <c r="W9" s="4716">
        <f>q9+s9+u9+v9</f>
      </c>
      <c r="X9" t="n" s="4717">
        <v>0.0</v>
      </c>
      <c r="Y9" t="n" s="4718">
        <v>0.0</v>
      </c>
      <c r="Z9" t="n" s="4719">
        <v>0.0</v>
      </c>
      <c r="AA9" s="4720">
        <f>h9+i9+j9+k9+l9+m9+n9+o9+w9+x9+y9+z9</f>
      </c>
      <c r="AB9" t="n" s="4721">
        <v>276.0</v>
      </c>
      <c r="AC9" t="n" s="4722">
        <v>41.15</v>
      </c>
      <c r="AD9" t="n" s="4723">
        <v>4.7</v>
      </c>
      <c r="AE9" t="n" s="4724">
        <v>80.0</v>
      </c>
      <c r="AF9" s="4725">
        <f>ROUND((aa9+ab9+ac9+ad9+ae9),2)</f>
      </c>
      <c r="AG9" s="4726">
        <f>ae9*0.06</f>
      </c>
      <c r="AH9" s="4727">
        <f>af9+ag9</f>
      </c>
      <c r="AI9" t="s" s="4728">
        <v>0</v>
      </c>
    </row>
    <row r="10" ht="15.0" customHeight="true">
      <c r="A10" t="s" s="4729">
        <v>51</v>
      </c>
      <c r="B10" t="s" s="4730">
        <v>52</v>
      </c>
      <c r="C10" t="s" s="4731">
        <v>53</v>
      </c>
      <c r="D10" t="s" s="4732">
        <v>54</v>
      </c>
      <c r="E10" t="s" s="4733">
        <v>46</v>
      </c>
      <c r="F10" t="n" s="4734">
        <v>41944.0</v>
      </c>
      <c r="G10" t="s" s="4735">
        <v>0</v>
      </c>
      <c r="H10" t="n" s="4736">
        <v>1350.0</v>
      </c>
      <c r="I10" t="n" s="4737">
        <v>96.62</v>
      </c>
      <c r="J10" t="n" s="4738">
        <v>0.0</v>
      </c>
      <c r="K10" t="n" s="4739">
        <v>650.0</v>
      </c>
      <c r="L10" t="n" s="4740">
        <v>0.0</v>
      </c>
      <c r="M10" t="n" s="4741">
        <v>0.0</v>
      </c>
      <c r="N10" t="n" s="4742">
        <v>0.0</v>
      </c>
      <c r="O10" t="n" s="4743">
        <v>0.0</v>
      </c>
      <c r="P10" t="n" s="4744">
        <v>5.0</v>
      </c>
      <c r="Q10" t="n" s="4745">
        <v>48.7</v>
      </c>
      <c r="R10" t="n" s="4746">
        <v>16.0</v>
      </c>
      <c r="S10" t="n" s="4747">
        <v>207.68</v>
      </c>
      <c r="T10" t="n" s="4748">
        <v>0.0</v>
      </c>
      <c r="U10" t="n" s="4749">
        <v>0.0</v>
      </c>
      <c r="V10" t="n" s="4750">
        <v>0.0</v>
      </c>
      <c r="W10" s="4751">
        <f>q10+s10+u10+v10</f>
      </c>
      <c r="X10" t="n" s="4752">
        <v>-45.0</v>
      </c>
      <c r="Y10" t="n" s="4753">
        <v>0.0</v>
      </c>
      <c r="Z10" t="n" s="4754">
        <v>0.0</v>
      </c>
      <c r="AA10" s="4755">
        <f>h10+i10+j10+k10+l10+m10+n10+o10+w10+x10+y10+z10</f>
      </c>
      <c r="AB10" t="n" s="4756">
        <v>268.0</v>
      </c>
      <c r="AC10" t="n" s="4757">
        <v>41.15</v>
      </c>
      <c r="AD10" t="n" s="4758">
        <v>4.7</v>
      </c>
      <c r="AE10" t="n" s="4759">
        <v>80.0</v>
      </c>
      <c r="AF10" s="4760">
        <f>ROUND((aa10+ab10+ac10+ad10+ae10),2)</f>
      </c>
      <c r="AG10" s="4761">
        <f>ae10*0.06</f>
      </c>
      <c r="AH10" s="4762">
        <f>af10+ag10</f>
      </c>
      <c r="AI10" t="s" s="4763">
        <v>55</v>
      </c>
    </row>
    <row r="11" ht="15.0" customHeight="true">
      <c r="A11" t="s" s="4764">
        <v>56</v>
      </c>
      <c r="B11" t="s" s="4765">
        <v>57</v>
      </c>
      <c r="C11" t="s" s="4766">
        <v>58</v>
      </c>
      <c r="D11" t="s" s="4767">
        <v>59</v>
      </c>
      <c r="E11" t="s" s="4768">
        <v>46</v>
      </c>
      <c r="F11" t="n" s="4769">
        <v>41944.0</v>
      </c>
      <c r="G11" t="s" s="4770">
        <v>0</v>
      </c>
      <c r="H11" t="n" s="4771">
        <v>1280.0</v>
      </c>
      <c r="I11" t="n" s="4772">
        <v>100.0</v>
      </c>
      <c r="J11" t="n" s="4773">
        <v>0.0</v>
      </c>
      <c r="K11" t="n" s="4774">
        <v>433.35</v>
      </c>
      <c r="L11" t="n" s="4775">
        <v>0.0</v>
      </c>
      <c r="M11" t="n" s="4776">
        <v>0.0</v>
      </c>
      <c r="N11" t="n" s="4777">
        <v>0.0</v>
      </c>
      <c r="O11" t="n" s="4778">
        <v>0.0</v>
      </c>
      <c r="P11" t="n" s="4779">
        <v>0.0</v>
      </c>
      <c r="Q11" t="n" s="4780">
        <v>0.0</v>
      </c>
      <c r="R11" t="n" s="4781">
        <v>0.0</v>
      </c>
      <c r="S11" t="n" s="4782">
        <v>0.0</v>
      </c>
      <c r="T11" t="n" s="4783">
        <v>0.0</v>
      </c>
      <c r="U11" t="n" s="4784">
        <v>0.0</v>
      </c>
      <c r="V11" t="n" s="4785">
        <v>0.0</v>
      </c>
      <c r="W11" s="4786">
        <f>q11+s11+u11+v11</f>
      </c>
      <c r="X11" t="n" s="4787">
        <v>0.0</v>
      </c>
      <c r="Y11" t="n" s="4788">
        <v>0.0</v>
      </c>
      <c r="Z11" t="n" s="4789">
        <v>0.0</v>
      </c>
      <c r="AA11" s="4790">
        <f>h11+i11+j11+k11+l11+m11+n11+o11+w11+x11+y11+z11</f>
      </c>
      <c r="AB11" t="n" s="4791">
        <v>237.0</v>
      </c>
      <c r="AC11" t="n" s="4792">
        <v>32.35</v>
      </c>
      <c r="AD11" t="n" s="4793">
        <v>3.7</v>
      </c>
      <c r="AE11" t="n" s="4794">
        <v>80.0</v>
      </c>
      <c r="AF11" s="4795">
        <f>ROUND((aa11+ab11+ac11+ad11+ae11),2)</f>
      </c>
      <c r="AG11" s="4796">
        <f>ae11*0.06</f>
      </c>
      <c r="AH11" s="4797">
        <f>af11+ag11</f>
      </c>
      <c r="AI11" t="s" s="4798">
        <v>0</v>
      </c>
    </row>
    <row r="12" ht="15.0" customHeight="true">
      <c r="A12" t="s" s="4799">
        <v>60</v>
      </c>
      <c r="B12" t="s" s="4800">
        <v>61</v>
      </c>
      <c r="C12" t="s" s="4801">
        <v>62</v>
      </c>
      <c r="D12" t="s" s="4802">
        <v>63</v>
      </c>
      <c r="E12" t="s" s="4803">
        <v>46</v>
      </c>
      <c r="F12" t="n" s="4804">
        <v>41944.0</v>
      </c>
      <c r="G12" t="s" s="4805">
        <v>0</v>
      </c>
      <c r="H12" t="n" s="4806">
        <v>1710.0</v>
      </c>
      <c r="I12" t="n" s="4807">
        <v>100.0</v>
      </c>
      <c r="J12" t="n" s="4808">
        <v>0.0</v>
      </c>
      <c r="K12" t="n" s="4809">
        <v>1801.52</v>
      </c>
      <c r="L12" t="n" s="4810">
        <v>0.0</v>
      </c>
      <c r="M12" t="n" s="4811">
        <v>53.84</v>
      </c>
      <c r="N12" t="n" s="4812">
        <v>0.0</v>
      </c>
      <c r="O12" t="n" s="4813">
        <v>0.0</v>
      </c>
      <c r="P12" t="n" s="4814">
        <v>35.5</v>
      </c>
      <c r="Q12" t="n" s="4815">
        <v>437.72</v>
      </c>
      <c r="R12" t="n" s="4816">
        <v>16.0</v>
      </c>
      <c r="S12" t="n" s="4817">
        <v>263.04</v>
      </c>
      <c r="T12" t="n" s="4818">
        <v>5.5</v>
      </c>
      <c r="U12" t="n" s="4819">
        <v>135.63</v>
      </c>
      <c r="V12" t="n" s="4820">
        <v>0.0</v>
      </c>
      <c r="W12" s="4821">
        <f>q12+s12+u12+v12</f>
      </c>
      <c r="X12" t="n" s="4822">
        <v>0.0</v>
      </c>
      <c r="Y12" t="n" s="4823">
        <v>0.0</v>
      </c>
      <c r="Z12" t="n" s="4824">
        <v>0.0</v>
      </c>
      <c r="AA12" s="4825">
        <f>h12+i12+j12+k12+l12+m12+n12+o12+w12+x12+y12+z12</f>
      </c>
      <c r="AB12" t="n" s="4826">
        <v>474.0</v>
      </c>
      <c r="AC12" t="n" s="4827">
        <v>69.05</v>
      </c>
      <c r="AD12" t="n" s="4828">
        <v>7.9</v>
      </c>
      <c r="AE12" t="n" s="4829">
        <v>80.0</v>
      </c>
      <c r="AF12" s="4830">
        <f>ROUND((aa12+ab12+ac12+ad12+ae12),2)</f>
      </c>
      <c r="AG12" s="4831">
        <f>ae12*0.06</f>
      </c>
      <c r="AH12" s="4832">
        <f>af12+ag12</f>
      </c>
      <c r="AI12" t="s" s="4833">
        <v>0</v>
      </c>
    </row>
    <row r="13" ht="15.0" customHeight="true">
      <c r="A13" t="s" s="4834">
        <v>64</v>
      </c>
      <c r="B13" t="s" s="4835">
        <v>65</v>
      </c>
      <c r="C13" t="s" s="4836">
        <v>66</v>
      </c>
      <c r="D13" t="s" s="4837">
        <v>67</v>
      </c>
      <c r="E13" t="s" s="4838">
        <v>46</v>
      </c>
      <c r="F13" t="n" s="4839">
        <v>41944.0</v>
      </c>
      <c r="G13" t="s" s="4840">
        <v>0</v>
      </c>
      <c r="H13" t="n" s="4841">
        <v>1430.0</v>
      </c>
      <c r="I13" t="n" s="4842">
        <v>100.0</v>
      </c>
      <c r="J13" t="n" s="4843">
        <v>0.0</v>
      </c>
      <c r="K13" t="n" s="4844">
        <v>1454.0</v>
      </c>
      <c r="L13" t="n" s="4845">
        <v>0.0</v>
      </c>
      <c r="M13" t="n" s="4846">
        <v>39.89</v>
      </c>
      <c r="N13" t="n" s="4847">
        <v>0.0</v>
      </c>
      <c r="O13" t="n" s="4848">
        <v>0.0</v>
      </c>
      <c r="P13" t="n" s="4849">
        <v>9.0</v>
      </c>
      <c r="Q13" t="n" s="4850">
        <v>92.79</v>
      </c>
      <c r="R13" t="n" s="4851">
        <v>8.0</v>
      </c>
      <c r="S13" t="n" s="4852">
        <v>110.0</v>
      </c>
      <c r="T13" t="n" s="4853">
        <v>5.5</v>
      </c>
      <c r="U13" t="n" s="4854">
        <v>113.47</v>
      </c>
      <c r="V13" t="n" s="4855">
        <v>0.0</v>
      </c>
      <c r="W13" s="4856">
        <f>q13+s13+u13+v13</f>
      </c>
      <c r="X13" t="n" s="4857">
        <v>0.0</v>
      </c>
      <c r="Y13" t="n" s="4858">
        <v>0.0</v>
      </c>
      <c r="Z13" t="n" s="4859">
        <v>0.0</v>
      </c>
      <c r="AA13" s="4860">
        <f>h13+i13+j13+k13+l13+m13+n13+o13+w13+x13+y13+z13</f>
      </c>
      <c r="AB13" t="n" s="4861">
        <v>390.0</v>
      </c>
      <c r="AC13" t="n" s="4862">
        <v>58.65</v>
      </c>
      <c r="AD13" t="n" s="4863">
        <v>6.7</v>
      </c>
      <c r="AE13" t="n" s="4864">
        <v>80.0</v>
      </c>
      <c r="AF13" s="4865">
        <f>ROUND((aa13+ab13+ac13+ad13+ae13),2)</f>
      </c>
      <c r="AG13" s="4866">
        <f>ae13*0.06</f>
      </c>
      <c r="AH13" s="4867">
        <f>af13+ag13</f>
      </c>
      <c r="AI13" t="s" s="4868">
        <v>0</v>
      </c>
    </row>
    <row r="14" ht="15.0" customHeight="true">
      <c r="A14" t="s" s="4869">
        <v>68</v>
      </c>
      <c r="B14" t="s" s="4870">
        <v>69</v>
      </c>
      <c r="C14" t="s" s="4871">
        <v>70</v>
      </c>
      <c r="D14" t="s" s="4872">
        <v>71</v>
      </c>
      <c r="E14" t="s" s="4873">
        <v>46</v>
      </c>
      <c r="F14" t="n" s="4874">
        <v>41944.0</v>
      </c>
      <c r="G14" t="s" s="4875">
        <v>0</v>
      </c>
      <c r="H14" t="n" s="4876">
        <v>1510.0</v>
      </c>
      <c r="I14" t="n" s="4877">
        <v>100.0</v>
      </c>
      <c r="J14" t="n" s="4878">
        <v>0.0</v>
      </c>
      <c r="K14" t="n" s="4879">
        <v>10840.55</v>
      </c>
      <c r="L14" t="n" s="4880">
        <v>0.0</v>
      </c>
      <c r="M14" t="n" s="4881">
        <v>76.15</v>
      </c>
      <c r="N14" t="n" s="4882">
        <v>0.0</v>
      </c>
      <c r="O14" t="n" s="4883">
        <v>0.0</v>
      </c>
      <c r="P14" t="n" s="4884">
        <v>0.0</v>
      </c>
      <c r="Q14" t="n" s="4885">
        <v>0.0</v>
      </c>
      <c r="R14" t="n" s="4886">
        <v>0.0</v>
      </c>
      <c r="S14" t="n" s="4887">
        <v>0.0</v>
      </c>
      <c r="T14" t="n" s="4888">
        <v>0.0</v>
      </c>
      <c r="U14" t="n" s="4889">
        <v>0.0</v>
      </c>
      <c r="V14" t="n" s="4890">
        <v>0.0</v>
      </c>
      <c r="W14" s="4891">
        <f>q14+s14+u14+v14</f>
      </c>
      <c r="X14" t="n" s="4892">
        <v>0.0</v>
      </c>
      <c r="Y14" t="n" s="4893">
        <v>0.0</v>
      </c>
      <c r="Z14" t="n" s="4894">
        <v>0.0</v>
      </c>
      <c r="AA14" s="4895">
        <f>h14+i14+j14+k14+l14+m14+n14+o14+w14+x14+y14+z14</f>
      </c>
      <c r="AB14" t="n" s="4896">
        <v>1625.0</v>
      </c>
      <c r="AC14" t="n" s="4897">
        <v>69.05</v>
      </c>
      <c r="AD14" t="n" s="4898">
        <v>7.9</v>
      </c>
      <c r="AE14" t="n" s="4899">
        <v>80.0</v>
      </c>
      <c r="AF14" s="4900">
        <f>ROUND((aa14+ab14+ac14+ad14+ae14),2)</f>
      </c>
      <c r="AG14" s="4901">
        <f>ae14*0.06</f>
      </c>
      <c r="AH14" s="4902">
        <f>af14+ag14</f>
      </c>
      <c r="AI14" t="s" s="4903">
        <v>0</v>
      </c>
    </row>
    <row r="15" ht="15.0" customHeight="true">
      <c r="A15" t="s" s="4904">
        <v>72</v>
      </c>
      <c r="B15" t="s" s="4905">
        <v>73</v>
      </c>
      <c r="C15" t="s" s="4906">
        <v>74</v>
      </c>
      <c r="D15" t="s" s="4907">
        <v>75</v>
      </c>
      <c r="E15" t="s" s="4908">
        <v>46</v>
      </c>
      <c r="F15" t="n" s="4909">
        <v>42811.0</v>
      </c>
      <c r="G15" t="s" s="4910">
        <v>0</v>
      </c>
      <c r="H15" t="n" s="4911">
        <v>1390.0</v>
      </c>
      <c r="I15" t="n" s="4912">
        <v>100.0</v>
      </c>
      <c r="J15" t="n" s="4913">
        <v>0.0</v>
      </c>
      <c r="K15" t="n" s="4914">
        <v>800.0</v>
      </c>
      <c r="L15" t="n" s="4915">
        <v>0.0</v>
      </c>
      <c r="M15" t="n" s="4916">
        <v>0.0</v>
      </c>
      <c r="N15" t="n" s="4917">
        <v>0.0</v>
      </c>
      <c r="O15" t="n" s="4918">
        <v>0.0</v>
      </c>
      <c r="P15" t="n" s="4919">
        <v>5.0</v>
      </c>
      <c r="Q15" t="n" s="4920">
        <v>50.1</v>
      </c>
      <c r="R15" t="n" s="4921">
        <v>16.0</v>
      </c>
      <c r="S15" t="n" s="4922">
        <v>213.92</v>
      </c>
      <c r="T15" t="n" s="4923">
        <v>0.0</v>
      </c>
      <c r="U15" t="n" s="4924">
        <v>0.0</v>
      </c>
      <c r="V15" t="n" s="4925">
        <v>0.0</v>
      </c>
      <c r="W15" s="4926">
        <f>q15+s15+u15+v15</f>
      </c>
      <c r="X15" t="n" s="4927">
        <v>0.0</v>
      </c>
      <c r="Y15" t="n" s="4928">
        <v>0.0</v>
      </c>
      <c r="Z15" t="n" s="4929">
        <v>0.0</v>
      </c>
      <c r="AA15" s="4930">
        <f>h15+i15+j15+k15+l15+m15+n15+o15+w15+x15+y15+z15</f>
      </c>
      <c r="AB15" t="n" s="4931">
        <v>299.0</v>
      </c>
      <c r="AC15" t="n" s="4932">
        <v>44.65</v>
      </c>
      <c r="AD15" t="n" s="4933">
        <v>5.1</v>
      </c>
      <c r="AE15" t="n" s="4934">
        <v>80.0</v>
      </c>
      <c r="AF15" s="4935">
        <f>ROUND((aa15+ab15+ac15+ad15+ae15),2)</f>
      </c>
      <c r="AG15" s="4936">
        <f>ae15*0.06</f>
      </c>
      <c r="AH15" s="4937">
        <f>af15+ag15</f>
      </c>
      <c r="AI15" t="s" s="4938">
        <v>0</v>
      </c>
    </row>
    <row r="16" ht="15.0" customHeight="true">
      <c r="A16" t="s" s="4939">
        <v>76</v>
      </c>
      <c r="B16" t="s" s="4940">
        <v>77</v>
      </c>
      <c r="C16" t="s" s="4941">
        <v>78</v>
      </c>
      <c r="D16" t="s" s="4942">
        <v>79</v>
      </c>
      <c r="E16" t="s" s="4943">
        <v>46</v>
      </c>
      <c r="F16" t="n" s="4944">
        <v>41944.0</v>
      </c>
      <c r="G16" t="s" s="4945">
        <v>0</v>
      </c>
      <c r="H16" t="n" s="4946">
        <v>1450.0</v>
      </c>
      <c r="I16" t="n" s="4947">
        <v>100.0</v>
      </c>
      <c r="J16" t="n" s="4948">
        <v>0.0</v>
      </c>
      <c r="K16" t="n" s="4949">
        <v>850.0</v>
      </c>
      <c r="L16" t="n" s="4950">
        <v>0.0</v>
      </c>
      <c r="M16" t="n" s="4951">
        <v>0.0</v>
      </c>
      <c r="N16" t="n" s="4952">
        <v>0.0</v>
      </c>
      <c r="O16" t="n" s="4953">
        <v>0.0</v>
      </c>
      <c r="P16" t="n" s="4954">
        <v>2.0</v>
      </c>
      <c r="Q16" t="n" s="4955">
        <v>20.92</v>
      </c>
      <c r="R16" t="n" s="4956">
        <v>16.0</v>
      </c>
      <c r="S16" t="n" s="4957">
        <v>223.04</v>
      </c>
      <c r="T16" t="n" s="4958">
        <v>0.0</v>
      </c>
      <c r="U16" t="n" s="4959">
        <v>0.0</v>
      </c>
      <c r="V16" t="n" s="4960">
        <v>0.0</v>
      </c>
      <c r="W16" s="4961">
        <f>q16+s16+u16+v16</f>
      </c>
      <c r="X16" t="n" s="4962">
        <v>0.0</v>
      </c>
      <c r="Y16" t="n" s="4963">
        <v>0.0</v>
      </c>
      <c r="Z16" t="n" s="4964">
        <v>0.0</v>
      </c>
      <c r="AA16" s="4965">
        <f>h16+i16+j16+k16+l16+m16+n16+o16+w16+x16+y16+z16</f>
      </c>
      <c r="AB16" t="n" s="4966">
        <v>312.0</v>
      </c>
      <c r="AC16" t="n" s="4967">
        <v>46.35</v>
      </c>
      <c r="AD16" t="n" s="4968">
        <v>5.3</v>
      </c>
      <c r="AE16" t="n" s="4969">
        <v>80.0</v>
      </c>
      <c r="AF16" s="4970">
        <f>ROUND((aa16+ab16+ac16+ad16+ae16),2)</f>
      </c>
      <c r="AG16" s="4971">
        <f>ae16*0.06</f>
      </c>
      <c r="AH16" s="4972">
        <f>af16+ag16</f>
      </c>
      <c r="AI16" t="s" s="4973">
        <v>0</v>
      </c>
    </row>
    <row r="17" ht="15.0" customHeight="true">
      <c r="A17" t="s" s="4974">
        <v>80</v>
      </c>
      <c r="B17" t="s" s="4975">
        <v>81</v>
      </c>
      <c r="C17" t="s" s="4976">
        <v>82</v>
      </c>
      <c r="D17" t="s" s="4977">
        <v>83</v>
      </c>
      <c r="E17" t="s" s="4978">
        <v>46</v>
      </c>
      <c r="F17" t="n" s="4979">
        <v>43539.0</v>
      </c>
      <c r="G17" t="s" s="4980">
        <v>0</v>
      </c>
      <c r="H17" t="n" s="4981">
        <v>1450.0</v>
      </c>
      <c r="I17" t="n" s="4982">
        <v>100.0</v>
      </c>
      <c r="J17" t="n" s="4983">
        <v>0.0</v>
      </c>
      <c r="K17" t="n" s="4984">
        <v>1500.0</v>
      </c>
      <c r="L17" t="n" s="4985">
        <v>0.0</v>
      </c>
      <c r="M17" t="n" s="4986">
        <v>0.0</v>
      </c>
      <c r="N17" t="n" s="4987">
        <v>0.0</v>
      </c>
      <c r="O17" t="n" s="4988">
        <v>0.0</v>
      </c>
      <c r="P17" t="n" s="4989">
        <v>28.0</v>
      </c>
      <c r="Q17" t="n" s="4990">
        <v>292.88</v>
      </c>
      <c r="R17" t="n" s="4991">
        <v>8.0</v>
      </c>
      <c r="S17" t="n" s="4992">
        <v>111.52</v>
      </c>
      <c r="T17" t="n" s="4993">
        <v>0.0</v>
      </c>
      <c r="U17" t="n" s="4994">
        <v>0.0</v>
      </c>
      <c r="V17" t="n" s="4995">
        <v>0.0</v>
      </c>
      <c r="W17" s="4996">
        <f>q17+s17+u17+v17</f>
      </c>
      <c r="X17" t="n" s="4997">
        <v>0.0</v>
      </c>
      <c r="Y17" t="n" s="4998">
        <v>0.0</v>
      </c>
      <c r="Z17" t="n" s="4999">
        <v>0.0</v>
      </c>
      <c r="AA17" s="5000">
        <f>h17+i17+j17+k17+l17+m17+n17+o17+w17+x17+y17+z17</f>
      </c>
      <c r="AB17" t="n" s="5001">
        <v>398.0</v>
      </c>
      <c r="AC17" t="n" s="5002">
        <v>60.35</v>
      </c>
      <c r="AD17" t="n" s="5003">
        <v>6.9</v>
      </c>
      <c r="AE17" t="n" s="5004">
        <v>80.0</v>
      </c>
      <c r="AF17" s="5005">
        <f>ROUND((aa17+ab17+ac17+ad17+ae17),2)</f>
      </c>
      <c r="AG17" s="5006">
        <f>ae17*0.06</f>
      </c>
      <c r="AH17" s="5007">
        <f>af17+ag17</f>
      </c>
      <c r="AI17" t="s" s="5008">
        <v>0</v>
      </c>
    </row>
    <row r="18" ht="15.0" customHeight="true">
      <c r="A18" t="s" s="5009">
        <v>84</v>
      </c>
      <c r="B18" t="s" s="5010">
        <v>85</v>
      </c>
      <c r="C18" t="s" s="5011">
        <v>86</v>
      </c>
      <c r="D18" t="s" s="5012">
        <v>87</v>
      </c>
      <c r="E18" t="s" s="5013">
        <v>46</v>
      </c>
      <c r="F18" t="n" s="5014">
        <v>42005.0</v>
      </c>
      <c r="G18" t="s" s="5015">
        <v>0</v>
      </c>
      <c r="H18" t="n" s="5016">
        <v>1620.0</v>
      </c>
      <c r="I18" t="n" s="5017">
        <v>100.0</v>
      </c>
      <c r="J18" t="n" s="5018">
        <v>0.0</v>
      </c>
      <c r="K18" t="n" s="5019">
        <v>1871.5</v>
      </c>
      <c r="L18" t="n" s="5020">
        <v>0.0</v>
      </c>
      <c r="M18" t="n" s="5021">
        <v>20.98</v>
      </c>
      <c r="N18" t="n" s="5022">
        <v>0.0</v>
      </c>
      <c r="O18" t="n" s="5023">
        <v>0.0</v>
      </c>
      <c r="P18" t="n" s="5024">
        <v>13.0</v>
      </c>
      <c r="Q18" t="n" s="5025">
        <v>151.84</v>
      </c>
      <c r="R18" t="n" s="5026">
        <v>16.0</v>
      </c>
      <c r="S18" t="n" s="5027">
        <v>249.28</v>
      </c>
      <c r="T18" t="n" s="5028">
        <v>0.0</v>
      </c>
      <c r="U18" t="n" s="5029">
        <v>0.0</v>
      </c>
      <c r="V18" t="n" s="5030">
        <v>0.0</v>
      </c>
      <c r="W18" s="5031">
        <f>q18+s18+u18+v18</f>
      </c>
      <c r="X18" t="n" s="5032">
        <v>0.0</v>
      </c>
      <c r="Y18" t="n" s="5033">
        <v>0.0</v>
      </c>
      <c r="Z18" t="n" s="5034">
        <v>0.0</v>
      </c>
      <c r="AA18" s="5035">
        <f>h18+i18+j18+k18+l18+m18+n18+o18+w18+x18+y18+z18</f>
      </c>
      <c r="AB18" t="n" s="5036">
        <v>468.0</v>
      </c>
      <c r="AC18" t="n" s="5037">
        <v>69.05</v>
      </c>
      <c r="AD18" t="n" s="5038">
        <v>7.9</v>
      </c>
      <c r="AE18" t="n" s="5039">
        <v>80.0</v>
      </c>
      <c r="AF18" s="5040">
        <f>ROUND((aa18+ab18+ac18+ad18+ae18),2)</f>
      </c>
      <c r="AG18" s="5041">
        <f>ae18*0.06</f>
      </c>
      <c r="AH18" s="5042">
        <f>af18+ag18</f>
      </c>
      <c r="AI18" t="s" s="5043">
        <v>0</v>
      </c>
    </row>
    <row r="19" ht="15.0" customHeight="true">
      <c r="A19" t="s" s="5044">
        <v>88</v>
      </c>
      <c r="B19" t="s" s="5045">
        <v>89</v>
      </c>
      <c r="C19" t="s" s="5046">
        <v>90</v>
      </c>
      <c r="D19" t="s" s="5047">
        <v>91</v>
      </c>
      <c r="E19" t="s" s="5048">
        <v>46</v>
      </c>
      <c r="F19" t="n" s="5049">
        <v>41944.0</v>
      </c>
      <c r="G19" t="s" s="5050">
        <v>0</v>
      </c>
      <c r="H19" t="n" s="5051">
        <v>1650.0</v>
      </c>
      <c r="I19" t="n" s="5052">
        <v>100.0</v>
      </c>
      <c r="J19" t="n" s="5053">
        <v>0.0</v>
      </c>
      <c r="K19" t="n" s="5054">
        <v>2193.17</v>
      </c>
      <c r="L19" t="n" s="5055">
        <v>0.0</v>
      </c>
      <c r="M19" t="n" s="5056">
        <v>40.0</v>
      </c>
      <c r="N19" t="n" s="5057">
        <v>0.0</v>
      </c>
      <c r="O19" t="n" s="5058">
        <v>0.0</v>
      </c>
      <c r="P19" t="n" s="5059">
        <v>43.0</v>
      </c>
      <c r="Q19" t="n" s="5060">
        <v>511.7</v>
      </c>
      <c r="R19" t="n" s="5061">
        <v>16.0</v>
      </c>
      <c r="S19" t="n" s="5062">
        <v>253.92</v>
      </c>
      <c r="T19" t="n" s="5063">
        <v>5.5</v>
      </c>
      <c r="U19" t="n" s="5064">
        <v>130.9</v>
      </c>
      <c r="V19" t="n" s="5065">
        <v>0.0</v>
      </c>
      <c r="W19" s="5066">
        <f>q19+s19+u19+v19</f>
      </c>
      <c r="X19" t="n" s="5067">
        <v>0.0</v>
      </c>
      <c r="Y19" t="n" s="5068">
        <v>0.0</v>
      </c>
      <c r="Z19" t="n" s="5069">
        <v>0.0</v>
      </c>
      <c r="AA19" s="5070">
        <f>h19+i19+j19+k19+l19+m19+n19+o19+w19+x19+y19+z19</f>
      </c>
      <c r="AB19" t="n" s="5071">
        <v>515.0</v>
      </c>
      <c r="AC19" t="n" s="5072">
        <v>69.05</v>
      </c>
      <c r="AD19" t="n" s="5073">
        <v>7.9</v>
      </c>
      <c r="AE19" t="n" s="5074">
        <v>80.0</v>
      </c>
      <c r="AF19" s="5075">
        <f>ROUND((aa19+ab19+ac19+ad19+ae19),2)</f>
      </c>
      <c r="AG19" s="5076">
        <f>ae19*0.06</f>
      </c>
      <c r="AH19" s="5077">
        <f>af19+ag19</f>
      </c>
      <c r="AI19" t="s" s="5078">
        <v>0</v>
      </c>
    </row>
    <row r="20" ht="15.0" customHeight="true">
      <c r="A20" t="s" s="5079">
        <v>92</v>
      </c>
      <c r="B20" t="s" s="5080">
        <v>93</v>
      </c>
      <c r="C20" t="s" s="5081">
        <v>94</v>
      </c>
      <c r="D20" t="s" s="5082">
        <v>95</v>
      </c>
      <c r="E20" t="s" s="5083">
        <v>46</v>
      </c>
      <c r="F20" t="n" s="5084">
        <v>41944.0</v>
      </c>
      <c r="G20" t="s" s="5085">
        <v>0</v>
      </c>
      <c r="H20" t="n" s="5086">
        <v>1340.0</v>
      </c>
      <c r="I20" t="n" s="5087">
        <v>100.0</v>
      </c>
      <c r="J20" t="n" s="5088">
        <v>0.0</v>
      </c>
      <c r="K20" t="n" s="5089">
        <v>1600.0</v>
      </c>
      <c r="L20" t="n" s="5090">
        <v>0.0</v>
      </c>
      <c r="M20" t="n" s="5091">
        <v>10.0</v>
      </c>
      <c r="N20" t="n" s="5092">
        <v>0.0</v>
      </c>
      <c r="O20" t="n" s="5093">
        <v>0.0</v>
      </c>
      <c r="P20" t="n" s="5094">
        <v>0.0</v>
      </c>
      <c r="Q20" t="n" s="5095">
        <v>0.0</v>
      </c>
      <c r="R20" t="n" s="5096">
        <v>16.0</v>
      </c>
      <c r="S20" t="n" s="5097">
        <v>206.08</v>
      </c>
      <c r="T20" t="n" s="5098">
        <v>0.0</v>
      </c>
      <c r="U20" t="n" s="5099">
        <v>0.0</v>
      </c>
      <c r="V20" t="n" s="5100">
        <v>0.0</v>
      </c>
      <c r="W20" s="5101">
        <f>q20+s20+u20+v20</f>
      </c>
      <c r="X20" t="n" s="5102">
        <v>0.0</v>
      </c>
      <c r="Y20" t="n" s="5103">
        <v>0.0</v>
      </c>
      <c r="Z20" t="n" s="5104">
        <v>0.0</v>
      </c>
      <c r="AA20" s="5105">
        <f>h20+i20+j20+k20+l20+m20+n20+o20+w20+x20+y20+z20</f>
      </c>
      <c r="AB20" t="n" s="5106">
        <v>396.0</v>
      </c>
      <c r="AC20" t="n" s="5107">
        <v>56.85</v>
      </c>
      <c r="AD20" t="n" s="5108">
        <v>6.5</v>
      </c>
      <c r="AE20" t="n" s="5109">
        <v>80.0</v>
      </c>
      <c r="AF20" s="5110">
        <f>ROUND((aa20+ab20+ac20+ad20+ae20),2)</f>
      </c>
      <c r="AG20" s="5111">
        <f>ae20*0.06</f>
      </c>
      <c r="AH20" s="5112">
        <f>af20+ag20</f>
      </c>
      <c r="AI20" t="s" s="5113">
        <v>0</v>
      </c>
    </row>
    <row r="21" ht="15.0" customHeight="true">
      <c r="A21" t="s" s="5114">
        <v>96</v>
      </c>
      <c r="B21" t="s" s="5115">
        <v>97</v>
      </c>
      <c r="C21" t="s" s="5116">
        <v>98</v>
      </c>
      <c r="D21" t="s" s="5117">
        <v>99</v>
      </c>
      <c r="E21" t="s" s="5118">
        <v>46</v>
      </c>
      <c r="F21" t="n" s="5119">
        <v>41944.0</v>
      </c>
      <c r="G21" t="s" s="5120">
        <v>0</v>
      </c>
      <c r="H21" t="n" s="5121">
        <v>1440.0</v>
      </c>
      <c r="I21" t="n" s="5122">
        <v>100.0</v>
      </c>
      <c r="J21" t="n" s="5123">
        <v>0.0</v>
      </c>
      <c r="K21" t="n" s="5124">
        <v>1450.0</v>
      </c>
      <c r="L21" t="n" s="5125">
        <v>0.0</v>
      </c>
      <c r="M21" t="n" s="5126">
        <v>25.0</v>
      </c>
      <c r="N21" t="n" s="5127">
        <v>0.0</v>
      </c>
      <c r="O21" t="n" s="5128">
        <v>0.0</v>
      </c>
      <c r="P21" t="n" s="5129">
        <v>2.0</v>
      </c>
      <c r="Q21" t="n" s="5130">
        <v>20.76</v>
      </c>
      <c r="R21" t="n" s="5131">
        <v>16.0</v>
      </c>
      <c r="S21" t="n" s="5132">
        <v>221.6</v>
      </c>
      <c r="T21" t="n" s="5133">
        <v>0.0</v>
      </c>
      <c r="U21" t="n" s="5134">
        <v>0.0</v>
      </c>
      <c r="V21" t="n" s="5135">
        <v>0.0</v>
      </c>
      <c r="W21" s="5136">
        <f>q21+s21+u21+v21</f>
      </c>
      <c r="X21" t="n" s="5137">
        <v>0.0</v>
      </c>
      <c r="Y21" t="n" s="5138">
        <v>0.0</v>
      </c>
      <c r="Z21" t="n" s="5139">
        <v>0.0</v>
      </c>
      <c r="AA21" s="5140">
        <f>h21+i21+j21+k21+l21+m21+n21+o21+w21+x21+y21+z21</f>
      </c>
      <c r="AB21" t="n" s="5141">
        <v>390.0</v>
      </c>
      <c r="AC21" t="n" s="5142">
        <v>56.85</v>
      </c>
      <c r="AD21" t="n" s="5143">
        <v>6.5</v>
      </c>
      <c r="AE21" t="n" s="5144">
        <v>80.0</v>
      </c>
      <c r="AF21" s="5145">
        <f>ROUND((aa21+ab21+ac21+ad21+ae21),2)</f>
      </c>
      <c r="AG21" s="5146">
        <f>ae21*0.06</f>
      </c>
      <c r="AH21" s="5147">
        <f>af21+ag21</f>
      </c>
      <c r="AI21" t="s" s="5148">
        <v>0</v>
      </c>
    </row>
    <row r="22" ht="15.0" customHeight="true">
      <c r="A22" t="s" s="5149">
        <v>100</v>
      </c>
      <c r="B22" t="s" s="5150">
        <v>101</v>
      </c>
      <c r="C22" t="s" s="5151">
        <v>102</v>
      </c>
      <c r="D22" t="s" s="5152">
        <v>103</v>
      </c>
      <c r="E22" t="s" s="5153">
        <v>46</v>
      </c>
      <c r="F22" t="n" s="5154">
        <v>41944.0</v>
      </c>
      <c r="G22" t="s" s="5155">
        <v>0</v>
      </c>
      <c r="H22" t="n" s="5156">
        <v>1370.0</v>
      </c>
      <c r="I22" t="n" s="5157">
        <v>100.0</v>
      </c>
      <c r="J22" t="n" s="5158">
        <v>0.0</v>
      </c>
      <c r="K22" t="n" s="5159">
        <v>300.0</v>
      </c>
      <c r="L22" t="n" s="5160">
        <v>0.0</v>
      </c>
      <c r="M22" t="n" s="5161">
        <v>0.0</v>
      </c>
      <c r="N22" t="n" s="5162">
        <v>0.0</v>
      </c>
      <c r="O22" t="n" s="5163">
        <v>0.0</v>
      </c>
      <c r="P22" t="n" s="5164">
        <v>0.0</v>
      </c>
      <c r="Q22" t="n" s="5165">
        <v>0.0</v>
      </c>
      <c r="R22" t="n" s="5166">
        <v>16.0</v>
      </c>
      <c r="S22" t="n" s="5167">
        <v>210.72</v>
      </c>
      <c r="T22" t="n" s="5168">
        <v>0.0</v>
      </c>
      <c r="U22" t="n" s="5169">
        <v>0.0</v>
      </c>
      <c r="V22" t="n" s="5170">
        <v>0.0</v>
      </c>
      <c r="W22" s="5171">
        <f>q22+s22+u22+v22</f>
      </c>
      <c r="X22" t="n" s="5172">
        <v>0.0</v>
      </c>
      <c r="Y22" t="n" s="5173">
        <v>0.0</v>
      </c>
      <c r="Z22" t="n" s="5174">
        <v>0.0</v>
      </c>
      <c r="AA22" s="5175">
        <f>h22+i22+j22+k22+l22+m22+n22+o22+w22+x22+y22+z22</f>
      </c>
      <c r="AB22" t="n" s="5176">
        <v>232.0</v>
      </c>
      <c r="AC22" t="n" s="5177">
        <v>34.15</v>
      </c>
      <c r="AD22" t="n" s="5178">
        <v>3.9</v>
      </c>
      <c r="AE22" t="n" s="5179">
        <v>80.0</v>
      </c>
      <c r="AF22" s="5180">
        <f>ROUND((aa22+ab22+ac22+ad22+ae22),2)</f>
      </c>
      <c r="AG22" s="5181">
        <f>ae22*0.06</f>
      </c>
      <c r="AH22" s="5182">
        <f>af22+ag22</f>
      </c>
      <c r="AI22" t="s" s="5183">
        <v>0</v>
      </c>
    </row>
    <row r="23" ht="15.0" customHeight="true">
      <c r="A23" t="s" s="5184">
        <v>104</v>
      </c>
      <c r="B23" t="s" s="5185">
        <v>105</v>
      </c>
      <c r="C23" t="s" s="5186">
        <v>106</v>
      </c>
      <c r="D23" t="s" s="5187">
        <v>107</v>
      </c>
      <c r="E23" t="s" s="5188">
        <v>46</v>
      </c>
      <c r="F23" t="n" s="5189">
        <v>41944.0</v>
      </c>
      <c r="G23" t="s" s="5190">
        <v>0</v>
      </c>
      <c r="H23" t="n" s="5191">
        <v>1540.0</v>
      </c>
      <c r="I23" t="n" s="5192">
        <v>100.0</v>
      </c>
      <c r="J23" t="n" s="5193">
        <v>0.0</v>
      </c>
      <c r="K23" t="n" s="5194">
        <v>1614.09</v>
      </c>
      <c r="L23" t="n" s="5195">
        <v>0.0</v>
      </c>
      <c r="M23" t="n" s="5196">
        <v>129.15</v>
      </c>
      <c r="N23" t="n" s="5197">
        <v>0.0</v>
      </c>
      <c r="O23" t="n" s="5198">
        <v>0.0</v>
      </c>
      <c r="P23" t="n" s="5199">
        <v>39.5</v>
      </c>
      <c r="Q23" t="n" s="5200">
        <v>438.85</v>
      </c>
      <c r="R23" t="n" s="5201">
        <v>16.0</v>
      </c>
      <c r="S23" t="n" s="5202">
        <v>236.96</v>
      </c>
      <c r="T23" t="n" s="5203">
        <v>5.5</v>
      </c>
      <c r="U23" t="n" s="5204">
        <v>122.16</v>
      </c>
      <c r="V23" t="n" s="5205">
        <v>0.0</v>
      </c>
      <c r="W23" s="5206">
        <f>q23+s23+u23+v23</f>
      </c>
      <c r="X23" t="n" s="5207">
        <v>0.0</v>
      </c>
      <c r="Y23" t="n" s="5208">
        <v>0.0</v>
      </c>
      <c r="Z23" t="n" s="5209">
        <v>0.0</v>
      </c>
      <c r="AA23" s="5210">
        <f>h23+i23+j23+k23+l23+m23+n23+o23+w23+x23+y23+z23</f>
      </c>
      <c r="AB23" t="n" s="5211">
        <v>424.0</v>
      </c>
      <c r="AC23" t="n" s="5212">
        <v>69.05</v>
      </c>
      <c r="AD23" t="n" s="5213">
        <v>7.9</v>
      </c>
      <c r="AE23" t="n" s="5214">
        <v>80.0</v>
      </c>
      <c r="AF23" s="5215">
        <f>ROUND((aa23+ab23+ac23+ad23+ae23),2)</f>
      </c>
      <c r="AG23" s="5216">
        <f>ae23*0.06</f>
      </c>
      <c r="AH23" s="5217">
        <f>af23+ag23</f>
      </c>
      <c r="AI23" t="s" s="5218">
        <v>0</v>
      </c>
    </row>
    <row r="24" ht="15.0" customHeight="true">
      <c r="A24" t="s" s="5219">
        <v>108</v>
      </c>
      <c r="B24" t="s" s="5220">
        <v>109</v>
      </c>
      <c r="C24" t="s" s="5221">
        <v>110</v>
      </c>
      <c r="D24" t="s" s="5222">
        <v>111</v>
      </c>
      <c r="E24" t="s" s="5223">
        <v>46</v>
      </c>
      <c r="F24" t="n" s="5224">
        <v>41944.0</v>
      </c>
      <c r="G24" t="s" s="5225">
        <v>0</v>
      </c>
      <c r="H24" t="n" s="5226">
        <v>1490.0</v>
      </c>
      <c r="I24" t="n" s="5227">
        <v>100.0</v>
      </c>
      <c r="J24" t="n" s="5228">
        <v>0.0</v>
      </c>
      <c r="K24" t="n" s="5229">
        <v>1400.0</v>
      </c>
      <c r="L24" t="n" s="5230">
        <v>0.0</v>
      </c>
      <c r="M24" t="n" s="5231">
        <v>14.2</v>
      </c>
      <c r="N24" t="n" s="5232">
        <v>0.0</v>
      </c>
      <c r="O24" t="n" s="5233">
        <v>0.0</v>
      </c>
      <c r="P24" t="n" s="5234">
        <v>0.0</v>
      </c>
      <c r="Q24" t="n" s="5235">
        <v>0.0</v>
      </c>
      <c r="R24" t="n" s="5236">
        <v>16.0</v>
      </c>
      <c r="S24" t="n" s="5237">
        <v>229.28</v>
      </c>
      <c r="T24" t="n" s="5238">
        <v>0.0</v>
      </c>
      <c r="U24" t="n" s="5239">
        <v>0.0</v>
      </c>
      <c r="V24" t="n" s="5240">
        <v>0.0</v>
      </c>
      <c r="W24" s="5241">
        <f>q24+s24+u24+v24</f>
      </c>
      <c r="X24" t="n" s="5242">
        <v>0.0</v>
      </c>
      <c r="Y24" t="n" s="5243">
        <v>0.0</v>
      </c>
      <c r="Z24" t="n" s="5244">
        <v>0.0</v>
      </c>
      <c r="AA24" s="5245">
        <f>h24+i24+j24+k24+l24+m24+n24+o24+w24+x24+y24+z24</f>
      </c>
      <c r="AB24" t="n" s="5246">
        <v>390.0</v>
      </c>
      <c r="AC24" t="n" s="5247">
        <v>56.85</v>
      </c>
      <c r="AD24" t="n" s="5248">
        <v>6.5</v>
      </c>
      <c r="AE24" t="n" s="5249">
        <v>80.0</v>
      </c>
      <c r="AF24" s="5250">
        <f>ROUND((aa24+ab24+ac24+ad24+ae24),2)</f>
      </c>
      <c r="AG24" s="5251">
        <f>ae24*0.06</f>
      </c>
      <c r="AH24" s="5252">
        <f>af24+ag24</f>
      </c>
      <c r="AI24" t="s" s="5253">
        <v>0</v>
      </c>
    </row>
    <row r="25" ht="15.0" customHeight="true">
      <c r="A25" t="s" s="5254">
        <v>112</v>
      </c>
      <c r="B25" t="s" s="5255">
        <v>113</v>
      </c>
      <c r="C25" t="s" s="5256">
        <v>114</v>
      </c>
      <c r="D25" t="s" s="5257">
        <v>115</v>
      </c>
      <c r="E25" t="s" s="5258">
        <v>46</v>
      </c>
      <c r="F25" t="n" s="5259">
        <v>43617.0</v>
      </c>
      <c r="G25" t="s" s="5260">
        <v>0</v>
      </c>
      <c r="H25" t="n" s="5261">
        <v>1400.0</v>
      </c>
      <c r="I25" t="n" s="5262">
        <v>100.0</v>
      </c>
      <c r="J25" t="n" s="5263">
        <v>0.0</v>
      </c>
      <c r="K25" t="n" s="5264">
        <v>1850.0</v>
      </c>
      <c r="L25" t="n" s="5265">
        <v>0.0</v>
      </c>
      <c r="M25" t="n" s="5266">
        <v>0.0</v>
      </c>
      <c r="N25" t="n" s="5267">
        <v>0.0</v>
      </c>
      <c r="O25" t="n" s="5268">
        <v>0.0</v>
      </c>
      <c r="P25" t="n" s="5269">
        <v>1.0</v>
      </c>
      <c r="Q25" t="n" s="5270">
        <v>10.1</v>
      </c>
      <c r="R25" t="n" s="5271">
        <v>16.0</v>
      </c>
      <c r="S25" t="n" s="5272">
        <v>215.36</v>
      </c>
      <c r="T25" t="n" s="5273">
        <v>0.0</v>
      </c>
      <c r="U25" t="n" s="5274">
        <v>0.0</v>
      </c>
      <c r="V25" t="n" s="5275">
        <v>0.0</v>
      </c>
      <c r="W25" s="5276">
        <f>q25+s25+u25+v25</f>
      </c>
      <c r="X25" t="n" s="5277">
        <v>0.0</v>
      </c>
      <c r="Y25" t="n" s="5278">
        <v>0.0</v>
      </c>
      <c r="Z25" t="n" s="5279">
        <v>0.0</v>
      </c>
      <c r="AA25" s="5280">
        <f>h25+i25+j25+k25+l25+m25+n25+o25+w25+x25+y25+z25</f>
      </c>
      <c r="AB25" t="n" s="5281">
        <v>437.0</v>
      </c>
      <c r="AC25" t="n" s="5282">
        <v>62.15</v>
      </c>
      <c r="AD25" t="n" s="5283">
        <v>7.1</v>
      </c>
      <c r="AE25" t="n" s="5284">
        <v>80.0</v>
      </c>
      <c r="AF25" s="5285">
        <f>ROUND((aa25+ab25+ac25+ad25+ae25),2)</f>
      </c>
      <c r="AG25" s="5286">
        <f>ae25*0.06</f>
      </c>
      <c r="AH25" s="5287">
        <f>af25+ag25</f>
      </c>
      <c r="AI25" t="s" s="5288">
        <v>0</v>
      </c>
    </row>
    <row r="26" ht="15.0" customHeight="true">
      <c r="A26" t="s" s="5289">
        <v>116</v>
      </c>
      <c r="B26" t="s" s="5290">
        <v>117</v>
      </c>
      <c r="C26" t="s" s="5291">
        <v>118</v>
      </c>
      <c r="D26" t="s" s="5292">
        <v>119</v>
      </c>
      <c r="E26" t="s" s="5293">
        <v>46</v>
      </c>
      <c r="F26" t="n" s="5294">
        <v>42005.0</v>
      </c>
      <c r="G26" t="s" s="5295">
        <v>0</v>
      </c>
      <c r="H26" t="n" s="5296">
        <v>1950.0</v>
      </c>
      <c r="I26" t="n" s="5297">
        <v>100.0</v>
      </c>
      <c r="J26" t="n" s="5298">
        <v>0.0</v>
      </c>
      <c r="K26" t="n" s="5299">
        <v>2282.72</v>
      </c>
      <c r="L26" t="n" s="5300">
        <v>0.0</v>
      </c>
      <c r="M26" t="n" s="5301">
        <v>139.35</v>
      </c>
      <c r="N26" t="n" s="5302">
        <v>0.0</v>
      </c>
      <c r="O26" t="n" s="5303">
        <v>0.0</v>
      </c>
      <c r="P26" t="n" s="5304">
        <v>38.5</v>
      </c>
      <c r="Q26" t="n" s="5305">
        <v>541.31</v>
      </c>
      <c r="R26" t="n" s="5306">
        <v>16.0</v>
      </c>
      <c r="S26" t="n" s="5307">
        <v>300.0</v>
      </c>
      <c r="T26" t="n" s="5308">
        <v>5.5</v>
      </c>
      <c r="U26" t="n" s="5309">
        <v>154.72</v>
      </c>
      <c r="V26" t="n" s="5310">
        <v>0.0</v>
      </c>
      <c r="W26" s="5311">
        <f>q26+s26+u26+v26</f>
      </c>
      <c r="X26" t="n" s="5312">
        <v>0.0</v>
      </c>
      <c r="Y26" t="n" s="5313">
        <v>0.0</v>
      </c>
      <c r="Z26" t="n" s="5314">
        <v>0.0</v>
      </c>
      <c r="AA26" s="5315">
        <f>h26+i26+j26+k26+l26+m26+n26+o26+w26+x26+y26+z26</f>
      </c>
      <c r="AB26" t="n" s="5316">
        <v>565.0</v>
      </c>
      <c r="AC26" t="n" s="5317">
        <v>69.05</v>
      </c>
      <c r="AD26" t="n" s="5318">
        <v>7.9</v>
      </c>
      <c r="AE26" t="n" s="5319">
        <v>80.0</v>
      </c>
      <c r="AF26" s="5320">
        <f>ROUND((aa26+ab26+ac26+ad26+ae26),2)</f>
      </c>
      <c r="AG26" s="5321">
        <f>ae26*0.06</f>
      </c>
      <c r="AH26" s="5322">
        <f>af26+ag26</f>
      </c>
      <c r="AI26" t="s" s="5323">
        <v>0</v>
      </c>
    </row>
    <row r="27" ht="15.0" customHeight="true">
      <c r="A27" t="s" s="5324">
        <v>120</v>
      </c>
      <c r="B27" t="s" s="5325">
        <v>121</v>
      </c>
      <c r="C27" t="s" s="5326">
        <v>122</v>
      </c>
      <c r="D27" t="s" s="5327">
        <v>123</v>
      </c>
      <c r="E27" t="s" s="5328">
        <v>46</v>
      </c>
      <c r="F27" t="n" s="5329">
        <v>42601.0</v>
      </c>
      <c r="G27" t="s" s="5330">
        <v>0</v>
      </c>
      <c r="H27" t="n" s="5331">
        <v>1460.0</v>
      </c>
      <c r="I27" t="n" s="5332">
        <v>100.0</v>
      </c>
      <c r="J27" t="n" s="5333">
        <v>0.0</v>
      </c>
      <c r="K27" t="n" s="5334">
        <v>3805.95</v>
      </c>
      <c r="L27" t="n" s="5335">
        <v>0.0</v>
      </c>
      <c r="M27" t="n" s="5336">
        <v>105.0</v>
      </c>
      <c r="N27" t="n" s="5337">
        <v>0.0</v>
      </c>
      <c r="O27" t="n" s="5338">
        <v>0.0</v>
      </c>
      <c r="P27" t="n" s="5339">
        <v>39.5</v>
      </c>
      <c r="Q27" t="n" s="5340">
        <v>415.94</v>
      </c>
      <c r="R27" t="n" s="5341">
        <v>16.0</v>
      </c>
      <c r="S27" t="n" s="5342">
        <v>224.64</v>
      </c>
      <c r="T27" t="n" s="5343">
        <v>5.5</v>
      </c>
      <c r="U27" t="n" s="5344">
        <v>115.83</v>
      </c>
      <c r="V27" t="n" s="5345">
        <v>0.0</v>
      </c>
      <c r="W27" s="5346">
        <f>q27+s27+u27+v27</f>
      </c>
      <c r="X27" t="n" s="5347">
        <v>0.0</v>
      </c>
      <c r="Y27" t="n" s="5348">
        <v>0.0</v>
      </c>
      <c r="Z27" t="n" s="5349">
        <v>0.0</v>
      </c>
      <c r="AA27" s="5350">
        <f>h27+i27+j27+k27+l27+m27+n27+o27+w27+x27+y27+z27</f>
      </c>
      <c r="AB27" t="n" s="5351">
        <v>702.0</v>
      </c>
      <c r="AC27" t="n" s="5352">
        <v>69.05</v>
      </c>
      <c r="AD27" t="n" s="5353">
        <v>7.9</v>
      </c>
      <c r="AE27" t="n" s="5354">
        <v>80.0</v>
      </c>
      <c r="AF27" s="5355">
        <f>ROUND((aa27+ab27+ac27+ad27+ae27),2)</f>
      </c>
      <c r="AG27" s="5356">
        <f>ae27*0.06</f>
      </c>
      <c r="AH27" s="5357">
        <f>af27+ag27</f>
      </c>
      <c r="AI27" t="s" s="5358">
        <v>0</v>
      </c>
    </row>
    <row r="28" ht="15.0" customHeight="true">
      <c r="A28" t="s" s="5359">
        <v>124</v>
      </c>
      <c r="B28" t="s" s="5360">
        <v>125</v>
      </c>
      <c r="C28" t="s" s="5361">
        <v>126</v>
      </c>
      <c r="D28" t="s" s="5362">
        <v>127</v>
      </c>
      <c r="E28" t="s" s="5363">
        <v>46</v>
      </c>
      <c r="F28" t="n" s="5364">
        <v>42656.0</v>
      </c>
      <c r="G28" t="s" s="5365">
        <v>0</v>
      </c>
      <c r="H28" t="n" s="5366">
        <v>1300.0</v>
      </c>
      <c r="I28" t="n" s="5367">
        <v>100.0</v>
      </c>
      <c r="J28" t="n" s="5368">
        <v>0.0</v>
      </c>
      <c r="K28" t="n" s="5369">
        <v>1300.0</v>
      </c>
      <c r="L28" t="n" s="5370">
        <v>0.0</v>
      </c>
      <c r="M28" t="n" s="5371">
        <v>16.45</v>
      </c>
      <c r="N28" t="n" s="5372">
        <v>0.0</v>
      </c>
      <c r="O28" t="n" s="5373">
        <v>0.0</v>
      </c>
      <c r="P28" t="n" s="5374">
        <v>1.5</v>
      </c>
      <c r="Q28" t="n" s="5375">
        <v>14.07</v>
      </c>
      <c r="R28" t="n" s="5376">
        <v>16.0</v>
      </c>
      <c r="S28" t="n" s="5377">
        <v>200.0</v>
      </c>
      <c r="T28" t="n" s="5378">
        <v>0.0</v>
      </c>
      <c r="U28" t="n" s="5379">
        <v>0.0</v>
      </c>
      <c r="V28" t="n" s="5380">
        <v>0.0</v>
      </c>
      <c r="W28" s="5381">
        <f>q28+s28+u28+v28</f>
      </c>
      <c r="X28" t="n" s="5382">
        <v>0.0</v>
      </c>
      <c r="Y28" t="n" s="5383">
        <v>0.0</v>
      </c>
      <c r="Z28" t="n" s="5384">
        <v>0.0</v>
      </c>
      <c r="AA28" s="5385">
        <f>h28+i28+j28+k28+l28+m28+n28+o28+w28+x28+y28+z28</f>
      </c>
      <c r="AB28" t="n" s="5386">
        <v>351.0</v>
      </c>
      <c r="AC28" t="n" s="5387">
        <v>51.65</v>
      </c>
      <c r="AD28" t="n" s="5388">
        <v>5.9</v>
      </c>
      <c r="AE28" t="n" s="5389">
        <v>80.0</v>
      </c>
      <c r="AF28" s="5390">
        <f>ROUND((aa28+ab28+ac28+ad28+ae28),2)</f>
      </c>
      <c r="AG28" s="5391">
        <f>ae28*0.06</f>
      </c>
      <c r="AH28" s="5392">
        <f>af28+ag28</f>
      </c>
      <c r="AI28" t="s" s="5393">
        <v>0</v>
      </c>
    </row>
    <row r="29" ht="15.0" customHeight="true">
      <c r="A29" t="s" s="5394">
        <v>128</v>
      </c>
      <c r="B29" t="s" s="5395">
        <v>129</v>
      </c>
      <c r="C29" t="s" s="5396">
        <v>130</v>
      </c>
      <c r="D29" t="s" s="5397">
        <v>131</v>
      </c>
      <c r="E29" t="s" s="5398">
        <v>46</v>
      </c>
      <c r="F29" t="n" s="5399">
        <v>42678.0</v>
      </c>
      <c r="G29" t="s" s="5400">
        <v>0</v>
      </c>
      <c r="H29" t="n" s="5401">
        <v>1390.0</v>
      </c>
      <c r="I29" t="n" s="5402">
        <v>100.0</v>
      </c>
      <c r="J29" t="n" s="5403">
        <v>0.0</v>
      </c>
      <c r="K29" t="n" s="5404">
        <v>600.0</v>
      </c>
      <c r="L29" t="n" s="5405">
        <v>0.0</v>
      </c>
      <c r="M29" t="n" s="5406">
        <v>10.0</v>
      </c>
      <c r="N29" t="n" s="5407">
        <v>0.0</v>
      </c>
      <c r="O29" t="n" s="5408">
        <v>0.0</v>
      </c>
      <c r="P29" t="n" s="5409">
        <v>7.0</v>
      </c>
      <c r="Q29" t="n" s="5410">
        <v>70.14</v>
      </c>
      <c r="R29" t="n" s="5411">
        <v>16.0</v>
      </c>
      <c r="S29" t="n" s="5412">
        <v>213.92</v>
      </c>
      <c r="T29" t="n" s="5413">
        <v>0.0</v>
      </c>
      <c r="U29" t="n" s="5414">
        <v>0.0</v>
      </c>
      <c r="V29" t="n" s="5415">
        <v>0.0</v>
      </c>
      <c r="W29" s="5416">
        <f>q29+s29+u29+v29</f>
      </c>
      <c r="X29" t="n" s="5417">
        <v>0.0</v>
      </c>
      <c r="Y29" t="n" s="5418">
        <v>0.0</v>
      </c>
      <c r="Z29" t="n" s="5419">
        <v>0.0</v>
      </c>
      <c r="AA29" s="5420">
        <f>h29+i29+j29+k29+l29+m29+n29+o29+w29+x29+y29+z29</f>
      </c>
      <c r="AB29" t="n" s="5421">
        <v>273.0</v>
      </c>
      <c r="AC29" t="n" s="5422">
        <v>41.15</v>
      </c>
      <c r="AD29" t="n" s="5423">
        <v>4.7</v>
      </c>
      <c r="AE29" t="n" s="5424">
        <v>80.0</v>
      </c>
      <c r="AF29" s="5425">
        <f>ROUND((aa29+ab29+ac29+ad29+ae29),2)</f>
      </c>
      <c r="AG29" s="5426">
        <f>ae29*0.06</f>
      </c>
      <c r="AH29" s="5427">
        <f>af29+ag29</f>
      </c>
      <c r="AI29" t="s" s="5428">
        <v>0</v>
      </c>
    </row>
    <row r="30" ht="15.0" customHeight="true">
      <c r="A30" t="s" s="5429">
        <v>132</v>
      </c>
      <c r="B30" t="s" s="5430">
        <v>133</v>
      </c>
      <c r="C30" t="s" s="5431">
        <v>134</v>
      </c>
      <c r="D30" t="s" s="5432">
        <v>135</v>
      </c>
      <c r="E30" t="s" s="5433">
        <v>46</v>
      </c>
      <c r="F30" t="n" s="5434">
        <v>43115.0</v>
      </c>
      <c r="G30" t="s" s="5435">
        <v>0</v>
      </c>
      <c r="H30" t="n" s="5436">
        <v>1230.0</v>
      </c>
      <c r="I30" t="n" s="5437">
        <v>100.0</v>
      </c>
      <c r="J30" t="n" s="5438">
        <v>0.0</v>
      </c>
      <c r="K30" t="n" s="5439">
        <v>600.0</v>
      </c>
      <c r="L30" t="n" s="5440">
        <v>0.0</v>
      </c>
      <c r="M30" t="n" s="5441">
        <v>0.0</v>
      </c>
      <c r="N30" t="n" s="5442">
        <v>0.0</v>
      </c>
      <c r="O30" t="n" s="5443">
        <v>0.0</v>
      </c>
      <c r="P30" t="n" s="5444">
        <v>0.0</v>
      </c>
      <c r="Q30" t="n" s="5445">
        <v>0.0</v>
      </c>
      <c r="R30" t="n" s="5446">
        <v>8.0</v>
      </c>
      <c r="S30" t="n" s="5447">
        <v>94.64</v>
      </c>
      <c r="T30" t="n" s="5448">
        <v>0.0</v>
      </c>
      <c r="U30" t="n" s="5449">
        <v>0.0</v>
      </c>
      <c r="V30" t="n" s="5450">
        <v>0.0</v>
      </c>
      <c r="W30" s="5451">
        <f>q30+s30+u30+v30</f>
      </c>
      <c r="X30" t="n" s="5452">
        <v>0.0</v>
      </c>
      <c r="Y30" t="n" s="5453">
        <v>0.0</v>
      </c>
      <c r="Z30" t="n" s="5454">
        <v>0.0</v>
      </c>
      <c r="AA30" s="5455">
        <f>h30+i30+j30+k30+l30+m30+n30+o30+w30+x30+y30+z30</f>
      </c>
      <c r="AB30" t="n" s="5456">
        <v>253.0</v>
      </c>
      <c r="AC30" t="n" s="5457">
        <v>35.85</v>
      </c>
      <c r="AD30" t="n" s="5458">
        <v>4.1</v>
      </c>
      <c r="AE30" t="n" s="5459">
        <v>80.0</v>
      </c>
      <c r="AF30" s="5460">
        <f>ROUND((aa30+ab30+ac30+ad30+ae30),2)</f>
      </c>
      <c r="AG30" s="5461">
        <f>ae30*0.06</f>
      </c>
      <c r="AH30" s="5462">
        <f>af30+ag30</f>
      </c>
      <c r="AI30" t="s" s="5463">
        <v>0</v>
      </c>
    </row>
    <row r="31" ht="15.0" customHeight="true">
      <c r="A31" t="s" s="5464">
        <v>136</v>
      </c>
      <c r="B31" t="s" s="5465">
        <v>137</v>
      </c>
      <c r="C31" t="s" s="5466">
        <v>138</v>
      </c>
      <c r="D31" t="s" s="5467">
        <v>139</v>
      </c>
      <c r="E31" t="s" s="5468">
        <v>46</v>
      </c>
      <c r="F31" t="n" s="5469">
        <v>43132.0</v>
      </c>
      <c r="G31" t="s" s="5470">
        <v>0</v>
      </c>
      <c r="H31" t="n" s="5471">
        <v>1230.0</v>
      </c>
      <c r="I31" t="n" s="5472">
        <v>100.0</v>
      </c>
      <c r="J31" t="n" s="5473">
        <v>0.0</v>
      </c>
      <c r="K31" t="n" s="5474">
        <v>600.0</v>
      </c>
      <c r="L31" t="n" s="5475">
        <v>0.0</v>
      </c>
      <c r="M31" t="n" s="5476">
        <v>0.0</v>
      </c>
      <c r="N31" t="n" s="5477">
        <v>0.0</v>
      </c>
      <c r="O31" t="n" s="5478">
        <v>0.0</v>
      </c>
      <c r="P31" t="n" s="5479">
        <v>0.0</v>
      </c>
      <c r="Q31" t="n" s="5480">
        <v>0.0</v>
      </c>
      <c r="R31" t="n" s="5481">
        <v>8.0</v>
      </c>
      <c r="S31" t="n" s="5482">
        <v>94.64</v>
      </c>
      <c r="T31" t="n" s="5483">
        <v>0.0</v>
      </c>
      <c r="U31" t="n" s="5484">
        <v>0.0</v>
      </c>
      <c r="V31" t="n" s="5485">
        <v>0.0</v>
      </c>
      <c r="W31" s="5486">
        <f>q31+s31+u31+v31</f>
      </c>
      <c r="X31" t="n" s="5487">
        <v>0.0</v>
      </c>
      <c r="Y31" t="n" s="5488">
        <v>0.0</v>
      </c>
      <c r="Z31" t="n" s="5489">
        <v>0.0</v>
      </c>
      <c r="AA31" s="5490">
        <f>h31+i31+j31+k31+l31+m31+n31+o31+w31+x31+y31+z31</f>
      </c>
      <c r="AB31" t="n" s="5491">
        <v>253.0</v>
      </c>
      <c r="AC31" t="n" s="5492">
        <v>35.85</v>
      </c>
      <c r="AD31" t="n" s="5493">
        <v>4.1</v>
      </c>
      <c r="AE31" t="n" s="5494">
        <v>80.0</v>
      </c>
      <c r="AF31" s="5495">
        <f>ROUND((aa31+ab31+ac31+ad31+ae31),2)</f>
      </c>
      <c r="AG31" s="5496">
        <f>ae31*0.06</f>
      </c>
      <c r="AH31" s="5497">
        <f>af31+ag31</f>
      </c>
      <c r="AI31" t="s" s="5498">
        <v>0</v>
      </c>
    </row>
    <row r="32" ht="15.0" customHeight="true">
      <c r="A32" t="s" s="5499">
        <v>140</v>
      </c>
      <c r="B32" t="s" s="5500">
        <v>141</v>
      </c>
      <c r="C32" t="s" s="5501">
        <v>142</v>
      </c>
      <c r="D32" t="s" s="5502">
        <v>143</v>
      </c>
      <c r="E32" t="s" s="5503">
        <v>46</v>
      </c>
      <c r="F32" t="n" s="5504">
        <v>43160.0</v>
      </c>
      <c r="G32" t="s" s="5505">
        <v>0</v>
      </c>
      <c r="H32" t="n" s="5506">
        <v>1230.0</v>
      </c>
      <c r="I32" t="n" s="5507">
        <v>100.0</v>
      </c>
      <c r="J32" t="n" s="5508">
        <v>0.0</v>
      </c>
      <c r="K32" t="n" s="5509">
        <v>600.0</v>
      </c>
      <c r="L32" t="n" s="5510">
        <v>0.0</v>
      </c>
      <c r="M32" t="n" s="5511">
        <v>29.3</v>
      </c>
      <c r="N32" t="n" s="5512">
        <v>0.0</v>
      </c>
      <c r="O32" t="n" s="5513">
        <v>0.0</v>
      </c>
      <c r="P32" t="n" s="5514">
        <v>0.0</v>
      </c>
      <c r="Q32" t="n" s="5515">
        <v>0.0</v>
      </c>
      <c r="R32" t="n" s="5516">
        <v>16.0</v>
      </c>
      <c r="S32" t="n" s="5517">
        <v>189.28</v>
      </c>
      <c r="T32" t="n" s="5518">
        <v>0.0</v>
      </c>
      <c r="U32" t="n" s="5519">
        <v>0.0</v>
      </c>
      <c r="V32" t="n" s="5520">
        <v>0.0</v>
      </c>
      <c r="W32" s="5521">
        <f>q32+s32+u32+v32</f>
      </c>
      <c r="X32" t="n" s="5522">
        <v>0.0</v>
      </c>
      <c r="Y32" t="n" s="5523">
        <v>0.0</v>
      </c>
      <c r="Z32" t="n" s="5524">
        <v>0.0</v>
      </c>
      <c r="AA32" s="5525">
        <f>h32+i32+j32+k32+l32+m32+n32+o32+w32+x32+y32+z32</f>
      </c>
      <c r="AB32" t="n" s="5526">
        <v>253.0</v>
      </c>
      <c r="AC32" t="n" s="5527">
        <v>37.65</v>
      </c>
      <c r="AD32" t="n" s="5528">
        <v>4.3</v>
      </c>
      <c r="AE32" t="n" s="5529">
        <v>80.0</v>
      </c>
      <c r="AF32" s="5530">
        <f>ROUND((aa32+ab32+ac32+ad32+ae32),2)</f>
      </c>
      <c r="AG32" s="5531">
        <f>ae32*0.06</f>
      </c>
      <c r="AH32" s="5532">
        <f>af32+ag32</f>
      </c>
      <c r="AI32" t="s" s="5533">
        <v>0</v>
      </c>
    </row>
    <row r="33" ht="15.0" customHeight="true">
      <c r="A33" t="s" s="5534">
        <v>144</v>
      </c>
      <c r="B33" t="s" s="5535">
        <v>145</v>
      </c>
      <c r="C33" t="s" s="5536">
        <v>146</v>
      </c>
      <c r="D33" t="s" s="5537">
        <v>147</v>
      </c>
      <c r="E33" t="s" s="5538">
        <v>46</v>
      </c>
      <c r="F33" t="n" s="5539">
        <v>43539.0</v>
      </c>
      <c r="G33" t="s" s="5540">
        <v>0</v>
      </c>
      <c r="H33" t="n" s="5541">
        <v>1300.0</v>
      </c>
      <c r="I33" t="n" s="5542">
        <v>100.0</v>
      </c>
      <c r="J33" t="n" s="5543">
        <v>0.0</v>
      </c>
      <c r="K33" t="n" s="5544">
        <v>1573.0</v>
      </c>
      <c r="L33" t="n" s="5545">
        <v>0.0</v>
      </c>
      <c r="M33" t="n" s="5546">
        <v>0.0</v>
      </c>
      <c r="N33" t="n" s="5547">
        <v>0.0</v>
      </c>
      <c r="O33" t="n" s="5548">
        <v>0.0</v>
      </c>
      <c r="P33" t="n" s="5549">
        <v>7.0</v>
      </c>
      <c r="Q33" t="n" s="5550">
        <v>65.66</v>
      </c>
      <c r="R33" t="n" s="5551">
        <v>16.0</v>
      </c>
      <c r="S33" t="n" s="5552">
        <v>200.0</v>
      </c>
      <c r="T33" t="n" s="5553">
        <v>0.0</v>
      </c>
      <c r="U33" t="n" s="5554">
        <v>0.0</v>
      </c>
      <c r="V33" t="n" s="5555">
        <v>0.0</v>
      </c>
      <c r="W33" s="5556">
        <f>q33+s33+u33+v33</f>
      </c>
      <c r="X33" t="n" s="5557">
        <v>0.0</v>
      </c>
      <c r="Y33" t="n" s="5558">
        <v>0.0</v>
      </c>
      <c r="Z33" t="n" s="5559">
        <v>0.0</v>
      </c>
      <c r="AA33" s="5560">
        <f>h33+i33+j33+k33+l33+m33+n33+o33+w33+x33+y33+z33</f>
      </c>
      <c r="AB33" t="n" s="5561">
        <v>388.0</v>
      </c>
      <c r="AC33" t="n" s="5562">
        <v>56.85</v>
      </c>
      <c r="AD33" t="n" s="5563">
        <v>6.5</v>
      </c>
      <c r="AE33" t="n" s="5564">
        <v>80.0</v>
      </c>
      <c r="AF33" s="5565">
        <f>ROUND((aa33+ab33+ac33+ad33+ae33),2)</f>
      </c>
      <c r="AG33" s="5566">
        <f>ae33*0.06</f>
      </c>
      <c r="AH33" s="5567">
        <f>af33+ag33</f>
      </c>
      <c r="AI33" t="s" s="5568">
        <v>0</v>
      </c>
    </row>
    <row r="34" ht="15.0" customHeight="true">
      <c r="A34" t="s" s="5569">
        <v>148</v>
      </c>
      <c r="B34" t="s" s="5570">
        <v>149</v>
      </c>
      <c r="C34" t="s" s="5571">
        <v>150</v>
      </c>
      <c r="D34" t="s" s="5572">
        <v>151</v>
      </c>
      <c r="E34" t="s" s="5573">
        <v>46</v>
      </c>
      <c r="F34" t="n" s="5574">
        <v>43314.0</v>
      </c>
      <c r="G34" t="s" s="5575">
        <v>0</v>
      </c>
      <c r="H34" t="n" s="5576">
        <v>1400.0</v>
      </c>
      <c r="I34" t="n" s="5577">
        <v>100.0</v>
      </c>
      <c r="J34" t="n" s="5578">
        <v>0.0</v>
      </c>
      <c r="K34" t="n" s="5579">
        <v>771.68</v>
      </c>
      <c r="L34" t="n" s="5580">
        <v>0.0</v>
      </c>
      <c r="M34" t="n" s="5581">
        <v>100.0</v>
      </c>
      <c r="N34" t="n" s="5582">
        <v>0.0</v>
      </c>
      <c r="O34" t="n" s="5583">
        <v>0.0</v>
      </c>
      <c r="P34" t="n" s="5584">
        <v>38.0</v>
      </c>
      <c r="Q34" t="n" s="5585">
        <v>383.8</v>
      </c>
      <c r="R34" t="n" s="5586">
        <v>16.0</v>
      </c>
      <c r="S34" t="n" s="5587">
        <v>215.36</v>
      </c>
      <c r="T34" t="n" s="5588">
        <v>5.5</v>
      </c>
      <c r="U34" t="n" s="5589">
        <v>111.05</v>
      </c>
      <c r="V34" t="n" s="5590">
        <v>0.0</v>
      </c>
      <c r="W34" s="5591">
        <f>q34+s34+u34+v34</f>
      </c>
      <c r="X34" t="n" s="5592">
        <v>0.0</v>
      </c>
      <c r="Y34" t="n" s="5593">
        <v>0.0</v>
      </c>
      <c r="Z34" t="n" s="5594">
        <v>0.0</v>
      </c>
      <c r="AA34" s="5595">
        <f>h34+i34+j34+k34+l34+m34+n34+o34+w34+x34+y34+z34</f>
      </c>
      <c r="AB34" t="n" s="5596">
        <v>297.0</v>
      </c>
      <c r="AC34" t="n" s="5597">
        <v>51.65</v>
      </c>
      <c r="AD34" t="n" s="5598">
        <v>5.9</v>
      </c>
      <c r="AE34" t="n" s="5599">
        <v>80.0</v>
      </c>
      <c r="AF34" s="5600">
        <f>ROUND((aa34+ab34+ac34+ad34+ae34),2)</f>
      </c>
      <c r="AG34" s="5601">
        <f>ae34*0.06</f>
      </c>
      <c r="AH34" s="5602">
        <f>af34+ag34</f>
      </c>
      <c r="AI34" t="s" s="5603">
        <v>0</v>
      </c>
    </row>
    <row r="35" ht="15.0" customHeight="true">
      <c r="A35" t="s" s="5604">
        <v>152</v>
      </c>
      <c r="B35" t="s" s="5605">
        <v>153</v>
      </c>
      <c r="C35" t="s" s="5606">
        <v>154</v>
      </c>
      <c r="D35" t="s" s="5607">
        <v>155</v>
      </c>
      <c r="E35" t="s" s="5608">
        <v>46</v>
      </c>
      <c r="F35" t="n" s="5609">
        <v>43466.0</v>
      </c>
      <c r="G35" t="s" s="5610">
        <v>0</v>
      </c>
      <c r="H35" t="n" s="5611">
        <v>1300.0</v>
      </c>
      <c r="I35" t="n" s="5612">
        <v>100.0</v>
      </c>
      <c r="J35" t="n" s="5613">
        <v>0.0</v>
      </c>
      <c r="K35" t="n" s="5614">
        <v>1500.0</v>
      </c>
      <c r="L35" t="n" s="5615">
        <v>0.0</v>
      </c>
      <c r="M35" t="n" s="5616">
        <v>0.0</v>
      </c>
      <c r="N35" t="n" s="5617">
        <v>0.0</v>
      </c>
      <c r="O35" t="n" s="5618">
        <v>0.0</v>
      </c>
      <c r="P35" t="n" s="5619">
        <v>18.0</v>
      </c>
      <c r="Q35" t="n" s="5620">
        <v>168.84</v>
      </c>
      <c r="R35" t="n" s="5621">
        <v>16.0</v>
      </c>
      <c r="S35" t="n" s="5622">
        <v>200.0</v>
      </c>
      <c r="T35" t="n" s="5623">
        <v>0.0</v>
      </c>
      <c r="U35" t="n" s="5624">
        <v>0.0</v>
      </c>
      <c r="V35" t="n" s="5625">
        <v>0.0</v>
      </c>
      <c r="W35" s="5626">
        <f>q35+s35+u35+v35</f>
      </c>
      <c r="X35" t="n" s="5627">
        <v>0.0</v>
      </c>
      <c r="Y35" t="n" s="5628">
        <v>0.0</v>
      </c>
      <c r="Z35" t="n" s="5629">
        <v>0.0</v>
      </c>
      <c r="AA35" s="5630">
        <f>h35+i35+j35+k35+l35+m35+n35+o35+w35+x35+y35+z35</f>
      </c>
      <c r="AB35" t="n" s="5631">
        <v>377.0</v>
      </c>
      <c r="AC35" t="n" s="5632">
        <v>56.85</v>
      </c>
      <c r="AD35" t="n" s="5633">
        <v>6.5</v>
      </c>
      <c r="AE35" t="n" s="5634">
        <v>80.0</v>
      </c>
      <c r="AF35" s="5635">
        <f>ROUND((aa35+ab35+ac35+ad35+ae35),2)</f>
      </c>
      <c r="AG35" s="5636">
        <f>ae35*0.06</f>
      </c>
      <c r="AH35" s="5637">
        <f>af35+ag35</f>
      </c>
      <c r="AI35" t="s" s="5638">
        <v>0</v>
      </c>
    </row>
    <row r="36" ht="15.0" customHeight="true">
      <c r="A36" t="s" s="5639">
        <v>156</v>
      </c>
      <c r="B36" t="s" s="5640">
        <v>157</v>
      </c>
      <c r="C36" t="s" s="5641">
        <v>158</v>
      </c>
      <c r="D36" t="s" s="5642">
        <v>159</v>
      </c>
      <c r="E36" t="s" s="5643">
        <v>46</v>
      </c>
      <c r="F36" t="n" s="5644">
        <v>43539.0</v>
      </c>
      <c r="G36" t="s" s="5645">
        <v>0</v>
      </c>
      <c r="H36" t="n" s="5646">
        <v>1400.0</v>
      </c>
      <c r="I36" t="n" s="5647">
        <v>100.0</v>
      </c>
      <c r="J36" t="n" s="5648">
        <v>0.0</v>
      </c>
      <c r="K36" t="n" s="5649">
        <v>324.21</v>
      </c>
      <c r="L36" t="n" s="5650">
        <v>0.0</v>
      </c>
      <c r="M36" t="n" s="5651">
        <v>0.0</v>
      </c>
      <c r="N36" t="n" s="5652">
        <v>0.0</v>
      </c>
      <c r="O36" t="n" s="5653">
        <v>0.0</v>
      </c>
      <c r="P36" t="n" s="5654">
        <v>22.5</v>
      </c>
      <c r="Q36" t="n" s="5655">
        <v>227.25</v>
      </c>
      <c r="R36" t="n" s="5656">
        <v>16.0</v>
      </c>
      <c r="S36" t="n" s="5657">
        <v>215.36</v>
      </c>
      <c r="T36" t="n" s="5658">
        <v>0.0</v>
      </c>
      <c r="U36" t="n" s="5659">
        <v>0.0</v>
      </c>
      <c r="V36" t="n" s="5660">
        <v>0.0</v>
      </c>
      <c r="W36" s="5661">
        <f>q36+s36+u36+v36</f>
      </c>
      <c r="X36" t="n" s="5662">
        <v>0.0</v>
      </c>
      <c r="Y36" t="n" s="5663">
        <v>0.0</v>
      </c>
      <c r="Z36" t="n" s="5664">
        <v>0.0</v>
      </c>
      <c r="AA36" s="5665">
        <f>h36+i36+j36+k36+l36+m36+n36+o36+w36+x36+y36+z36</f>
      </c>
      <c r="AB36" t="n" s="5666">
        <v>240.0</v>
      </c>
      <c r="AC36" t="n" s="5667">
        <v>39.35</v>
      </c>
      <c r="AD36" t="n" s="5668">
        <v>4.5</v>
      </c>
      <c r="AE36" t="n" s="5669">
        <v>80.0</v>
      </c>
      <c r="AF36" s="5670">
        <f>ROUND((aa36+ab36+ac36+ad36+ae36),2)</f>
      </c>
      <c r="AG36" s="5671">
        <f>ae36*0.06</f>
      </c>
      <c r="AH36" s="5672">
        <f>af36+ag36</f>
      </c>
      <c r="AI36" t="s" s="5673">
        <v>0</v>
      </c>
    </row>
    <row r="37" ht="15.0" customHeight="true">
      <c r="A37" t="s" s="5674">
        <v>160</v>
      </c>
      <c r="B37" t="s" s="5675">
        <v>161</v>
      </c>
      <c r="C37" t="s" s="5676">
        <v>162</v>
      </c>
      <c r="D37" t="s" s="5677">
        <v>163</v>
      </c>
      <c r="E37" t="s" s="5678">
        <v>46</v>
      </c>
      <c r="F37" t="n" s="5679">
        <v>43539.0</v>
      </c>
      <c r="G37" t="s" s="5680">
        <v>0</v>
      </c>
      <c r="H37" t="n" s="5681">
        <v>1400.0</v>
      </c>
      <c r="I37" t="n" s="5682">
        <v>100.0</v>
      </c>
      <c r="J37" t="n" s="5683">
        <v>0.0</v>
      </c>
      <c r="K37" t="n" s="5684">
        <v>1200.0</v>
      </c>
      <c r="L37" t="n" s="5685">
        <v>0.0</v>
      </c>
      <c r="M37" t="n" s="5686">
        <v>0.0</v>
      </c>
      <c r="N37" t="n" s="5687">
        <v>0.0</v>
      </c>
      <c r="O37" t="n" s="5688">
        <v>0.0</v>
      </c>
      <c r="P37" t="n" s="5689">
        <v>8.0</v>
      </c>
      <c r="Q37" t="n" s="5690">
        <v>80.8</v>
      </c>
      <c r="R37" t="n" s="5691">
        <v>16.0</v>
      </c>
      <c r="S37" t="n" s="5692">
        <v>215.36</v>
      </c>
      <c r="T37" t="n" s="5693">
        <v>0.0</v>
      </c>
      <c r="U37" t="n" s="5694">
        <v>0.0</v>
      </c>
      <c r="V37" t="n" s="5695">
        <v>0.0</v>
      </c>
      <c r="W37" s="5696">
        <f>q37+s37+u37+v37</f>
      </c>
      <c r="X37" t="n" s="5697">
        <v>0.0</v>
      </c>
      <c r="Y37" t="n" s="5698">
        <v>0.0</v>
      </c>
      <c r="Z37" t="n" s="5699">
        <v>0.0</v>
      </c>
      <c r="AA37" s="5700">
        <f>h37+i37+j37+k37+l37+m37+n37+o37+w37+x37+y37+z37</f>
      </c>
      <c r="AB37" t="n" s="5701">
        <v>351.0</v>
      </c>
      <c r="AC37" t="n" s="5702">
        <v>51.65</v>
      </c>
      <c r="AD37" t="n" s="5703">
        <v>5.9</v>
      </c>
      <c r="AE37" t="n" s="5704">
        <v>80.0</v>
      </c>
      <c r="AF37" s="5705">
        <f>ROUND((aa37+ab37+ac37+ad37+ae37),2)</f>
      </c>
      <c r="AG37" s="5706">
        <f>ae37*0.06</f>
      </c>
      <c r="AH37" s="5707">
        <f>af37+ag37</f>
      </c>
      <c r="AI37" t="s" s="5708">
        <v>0</v>
      </c>
    </row>
    <row r="38" ht="15.0" customHeight="true">
      <c r="A38" t="s" s="5709">
        <v>164</v>
      </c>
      <c r="B38" t="s" s="5710">
        <v>165</v>
      </c>
      <c r="C38" t="s" s="5711">
        <v>166</v>
      </c>
      <c r="D38" t="s" s="5712">
        <v>167</v>
      </c>
      <c r="E38" t="s" s="5713">
        <v>46</v>
      </c>
      <c r="F38" t="n" s="5714">
        <v>43591.0</v>
      </c>
      <c r="G38" t="s" s="5715">
        <v>0</v>
      </c>
      <c r="H38" t="n" s="5716">
        <v>1300.0</v>
      </c>
      <c r="I38" t="n" s="5717">
        <v>100.0</v>
      </c>
      <c r="J38" t="n" s="5718">
        <v>0.0</v>
      </c>
      <c r="K38" t="n" s="5719">
        <v>650.0</v>
      </c>
      <c r="L38" t="n" s="5720">
        <v>0.0</v>
      </c>
      <c r="M38" t="n" s="5721">
        <v>0.0</v>
      </c>
      <c r="N38" t="n" s="5722">
        <v>0.0</v>
      </c>
      <c r="O38" t="n" s="5723">
        <v>0.0</v>
      </c>
      <c r="P38" t="n" s="5724">
        <v>0.0</v>
      </c>
      <c r="Q38" t="n" s="5725">
        <v>0.0</v>
      </c>
      <c r="R38" t="n" s="5726">
        <v>16.0</v>
      </c>
      <c r="S38" t="n" s="5727">
        <v>200.0</v>
      </c>
      <c r="T38" t="n" s="5728">
        <v>0.0</v>
      </c>
      <c r="U38" t="n" s="5729">
        <v>0.0</v>
      </c>
      <c r="V38" t="n" s="5730">
        <v>0.0</v>
      </c>
      <c r="W38" s="5731">
        <f>q38+s38+u38+v38</f>
      </c>
      <c r="X38" t="n" s="5732">
        <v>0.0</v>
      </c>
      <c r="Y38" t="n" s="5733">
        <v>0.0</v>
      </c>
      <c r="Z38" t="n" s="5734">
        <v>0.0</v>
      </c>
      <c r="AA38" s="5735">
        <f>h38+i38+j38+k38+l38+m38+n38+o38+w38+x38+y38+z38</f>
      </c>
      <c r="AB38" t="n" s="5736">
        <v>268.0</v>
      </c>
      <c r="AC38" t="n" s="5737">
        <v>39.35</v>
      </c>
      <c r="AD38" t="n" s="5738">
        <v>4.5</v>
      </c>
      <c r="AE38" t="n" s="5739">
        <v>80.0</v>
      </c>
      <c r="AF38" s="5740">
        <f>ROUND((aa38+ab38+ac38+ad38+ae38),2)</f>
      </c>
      <c r="AG38" s="5741">
        <f>ae38*0.06</f>
      </c>
      <c r="AH38" s="5742">
        <f>af38+ag38</f>
      </c>
      <c r="AI38" t="s" s="5743">
        <v>0</v>
      </c>
    </row>
    <row r="39" ht="15.0" customHeight="true">
      <c r="A39" t="s" s="5744">
        <v>168</v>
      </c>
      <c r="B39" t="s" s="5745">
        <v>169</v>
      </c>
      <c r="C39" t="s" s="5746">
        <v>170</v>
      </c>
      <c r="D39" t="s" s="5747">
        <v>171</v>
      </c>
      <c r="E39" t="s" s="5748">
        <v>46</v>
      </c>
      <c r="F39" t="n" s="5749">
        <v>43631.0</v>
      </c>
      <c r="G39" t="s" s="5750">
        <v>0</v>
      </c>
      <c r="H39" t="n" s="5751">
        <v>1400.0</v>
      </c>
      <c r="I39" t="n" s="5752">
        <v>100.0</v>
      </c>
      <c r="J39" t="n" s="5753">
        <v>0.0</v>
      </c>
      <c r="K39" t="n" s="5754">
        <v>2112.71</v>
      </c>
      <c r="L39" t="n" s="5755">
        <v>0.0</v>
      </c>
      <c r="M39" t="n" s="5756">
        <v>0.0</v>
      </c>
      <c r="N39" t="n" s="5757">
        <v>0.0</v>
      </c>
      <c r="O39" t="n" s="5758">
        <v>0.0</v>
      </c>
      <c r="P39" t="n" s="5759">
        <v>17.0</v>
      </c>
      <c r="Q39" t="n" s="5760">
        <v>171.7</v>
      </c>
      <c r="R39" t="n" s="5761">
        <v>16.0</v>
      </c>
      <c r="S39" t="n" s="5762">
        <v>215.36</v>
      </c>
      <c r="T39" t="n" s="5763">
        <v>0.0</v>
      </c>
      <c r="U39" t="n" s="5764">
        <v>0.0</v>
      </c>
      <c r="V39" t="n" s="5765">
        <v>0.0</v>
      </c>
      <c r="W39" s="5766">
        <f>q39+s39+u39+v39</f>
      </c>
      <c r="X39" t="n" s="5767">
        <v>0.0</v>
      </c>
      <c r="Y39" t="n" s="5768">
        <v>0.0</v>
      </c>
      <c r="Z39" t="n" s="5769">
        <v>0.0</v>
      </c>
      <c r="AA39" s="5770">
        <f>h39+i39+j39+k39+l39+m39+n39+o39+w39+x39+y39+z39</f>
      </c>
      <c r="AB39" t="n" s="5771">
        <v>471.0</v>
      </c>
      <c r="AC39" t="n" s="5772">
        <v>69.05</v>
      </c>
      <c r="AD39" t="n" s="5773">
        <v>7.9</v>
      </c>
      <c r="AE39" t="n" s="5774">
        <v>80.0</v>
      </c>
      <c r="AF39" s="5775">
        <f>ROUND((aa39+ab39+ac39+ad39+ae39),2)</f>
      </c>
      <c r="AG39" s="5776">
        <f>ae39*0.06</f>
      </c>
      <c r="AH39" s="5777">
        <f>af39+ag39</f>
      </c>
      <c r="AI39" t="s" s="5778">
        <v>0</v>
      </c>
    </row>
    <row r="40" ht="15.0" customHeight="true">
      <c r="A40" t="s" s="5779">
        <v>172</v>
      </c>
      <c r="B40" t="s" s="5780">
        <v>173</v>
      </c>
      <c r="C40" t="s" s="5781">
        <v>174</v>
      </c>
      <c r="D40" t="s" s="5782">
        <v>175</v>
      </c>
      <c r="E40" t="s" s="5783">
        <v>46</v>
      </c>
      <c r="F40" t="n" s="5784">
        <v>43690.0</v>
      </c>
      <c r="G40" t="s" s="5785">
        <v>0</v>
      </c>
      <c r="H40" t="n" s="5786">
        <v>1500.0</v>
      </c>
      <c r="I40" t="n" s="5787">
        <v>100.0</v>
      </c>
      <c r="J40" t="n" s="5788">
        <v>0.0</v>
      </c>
      <c r="K40" t="n" s="5789">
        <v>700.0</v>
      </c>
      <c r="L40" t="n" s="5790">
        <v>0.0</v>
      </c>
      <c r="M40" t="n" s="5791">
        <v>0.0</v>
      </c>
      <c r="N40" t="n" s="5792">
        <v>0.0</v>
      </c>
      <c r="O40" t="n" s="5793">
        <v>0.0</v>
      </c>
      <c r="P40" t="n" s="5794">
        <v>0.0</v>
      </c>
      <c r="Q40" t="n" s="5795">
        <v>0.0</v>
      </c>
      <c r="R40" t="n" s="5796">
        <v>16.0</v>
      </c>
      <c r="S40" t="n" s="5797">
        <v>230.72</v>
      </c>
      <c r="T40" t="n" s="5798">
        <v>0.0</v>
      </c>
      <c r="U40" t="n" s="5799">
        <v>0.0</v>
      </c>
      <c r="V40" t="n" s="5800">
        <v>0.0</v>
      </c>
      <c r="W40" s="5801">
        <f>q40+s40+u40+v40</f>
      </c>
      <c r="X40" t="n" s="5802">
        <v>0.0</v>
      </c>
      <c r="Y40" t="n" s="5803">
        <v>0.0</v>
      </c>
      <c r="Z40" t="n" s="5804">
        <v>0.0</v>
      </c>
      <c r="AA40" s="5805">
        <f>h40+i40+j40+k40+l40+m40+n40+o40+w40+x40+y40+z40</f>
      </c>
      <c r="AB40" t="n" s="5806">
        <v>299.0</v>
      </c>
      <c r="AC40" t="n" s="5807">
        <v>44.65</v>
      </c>
      <c r="AD40" t="n" s="5808">
        <v>5.1</v>
      </c>
      <c r="AE40" t="n" s="5809">
        <v>80.0</v>
      </c>
      <c r="AF40" s="5810">
        <f>ROUND((aa40+ab40+ac40+ad40+ae40),2)</f>
      </c>
      <c r="AG40" s="5811">
        <f>ae40*0.06</f>
      </c>
      <c r="AH40" s="5812">
        <f>af40+ag40</f>
      </c>
      <c r="AI40" t="s" s="5813">
        <v>0</v>
      </c>
    </row>
    <row r="41" ht="15.0" customHeight="true">
      <c r="A41" t="s" s="5814">
        <v>0</v>
      </c>
      <c r="B41" t="s" s="5815">
        <v>0</v>
      </c>
      <c r="C41" t="s" s="5816">
        <v>0</v>
      </c>
      <c r="D41" t="s" s="5817">
        <v>0</v>
      </c>
      <c r="E41" t="s" s="5818">
        <v>0</v>
      </c>
      <c r="F41" t="s" s="5819">
        <v>0</v>
      </c>
      <c r="G41" t="s" s="5820">
        <v>0</v>
      </c>
      <c r="H41" s="5821">
        <f>SUM(h8:h40)</f>
      </c>
      <c r="I41" s="5822">
        <f>SUM(i8:i40)</f>
      </c>
      <c r="J41" s="5823">
        <f>SUM(j8:j40)</f>
      </c>
      <c r="K41" s="5824">
        <f>SUM(k8:k40)</f>
      </c>
      <c r="L41" s="5825">
        <f>SUM(l8:l40)</f>
      </c>
      <c r="M41" s="5826">
        <f>SUM(m8:m40)</f>
      </c>
      <c r="N41" s="5827">
        <f>SUM(n8:n40)</f>
      </c>
      <c r="O41" s="5828">
        <f>SUM(o8:o40)</f>
      </c>
      <c r="P41" s="5829">
        <f>SUM(p8:p40)</f>
      </c>
      <c r="Q41" s="5830">
        <f>SUM(q8:q40)</f>
      </c>
      <c r="R41" s="5831">
        <f>SUM(r8:r40)</f>
      </c>
      <c r="S41" s="5832">
        <f>SUM(s8:s40)</f>
      </c>
      <c r="T41" s="5833">
        <f>SUM(t8:t40)</f>
      </c>
      <c r="U41" s="5834">
        <f>SUM(u8:u40)</f>
      </c>
      <c r="V41" s="5835">
        <f>SUM(v8:v40)</f>
      </c>
      <c r="W41" s="5836">
        <f>SUM(w8:w40)</f>
      </c>
      <c r="X41" s="5837">
        <f>SUM(x8:x40)</f>
      </c>
      <c r="Y41" s="5838">
        <f>SUM(y8:y40)</f>
      </c>
      <c r="Z41" s="5839">
        <f>SUM(z8:z40)</f>
      </c>
      <c r="AA41" s="5840">
        <f>SUM(aa8:aa40)</f>
      </c>
      <c r="AB41" s="5841">
        <f>SUM(ab8:ab40)</f>
      </c>
      <c r="AC41" s="5842">
        <f>SUM(ac8:ac40)</f>
      </c>
      <c r="AD41" s="5843">
        <f>SUM(ad8:ad40)</f>
      </c>
      <c r="AE41" s="5844">
        <f>SUM(ae8:ae40)</f>
      </c>
      <c r="AF41" s="5845">
        <f>SUM(af8:af40)</f>
      </c>
      <c r="AG41" s="5846">
        <f>SUM(ag8:ag40)</f>
      </c>
      <c r="AH41" s="5847">
        <f>SUM(ah8:ah40)</f>
      </c>
      <c r="AI41" t="s" s="5848">
        <v>0</v>
      </c>
    </row>
    <row r="42" ht="15.0" customHeight="true"/>
    <row r="43" ht="15.0" customHeight="true">
      <c r="A43" t="s" s="5849">
        <v>0</v>
      </c>
      <c r="B43" t="s" s="5850">
        <v>0</v>
      </c>
      <c r="C43" t="s" s="5851">
        <v>323</v>
      </c>
    </row>
    <row r="44" ht="15.0" customHeight="true">
      <c r="C44" s="5852">
        <f>COUNTA(A8:A40)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5853">
        <v>0</v>
      </c>
      <c r="B1" t="s" s="5854">
        <v>0</v>
      </c>
      <c r="C1" t="s" s="5855">
        <v>1</v>
      </c>
    </row>
    <row r="2" ht="15.0" customHeight="true">
      <c r="A2" t="s" s="5856">
        <v>0</v>
      </c>
      <c r="B2" t="s" s="5857">
        <v>0</v>
      </c>
      <c r="C2" t="s" s="5858">
        <v>2</v>
      </c>
    </row>
    <row r="3" ht="15.0" customHeight="true">
      <c r="A3" t="s" s="5859">
        <v>0</v>
      </c>
      <c r="B3" t="s" s="5860">
        <v>0</v>
      </c>
      <c r="C3" t="s" s="5861">
        <v>3</v>
      </c>
    </row>
    <row r="4" ht="15.0" customHeight="true">
      <c r="A4" t="s" s="5862">
        <v>0</v>
      </c>
      <c r="B4" t="s" s="5863">
        <v>0</v>
      </c>
      <c r="C4" t="s" s="5864">
        <v>4</v>
      </c>
      <c r="D4" t="s" s="5865">
        <v>0</v>
      </c>
      <c r="E4" t="s" s="5866">
        <v>0</v>
      </c>
      <c r="F4" t="s" s="5867">
        <v>0</v>
      </c>
      <c r="G4" t="s" s="5868">
        <v>0</v>
      </c>
      <c r="H4" t="s" s="5869">
        <v>0</v>
      </c>
      <c r="I4" t="s" s="5870">
        <v>0</v>
      </c>
      <c r="J4" t="s" s="5871">
        <v>0</v>
      </c>
      <c r="K4" t="s" s="5872">
        <v>0</v>
      </c>
      <c r="L4" t="s" s="5873">
        <v>0</v>
      </c>
      <c r="M4" t="s" s="5874">
        <v>0</v>
      </c>
      <c r="N4" t="s" s="5875">
        <v>0</v>
      </c>
      <c r="O4" t="s" s="5876">
        <v>0</v>
      </c>
      <c r="P4" t="s" s="5877">
        <v>0</v>
      </c>
      <c r="Q4" t="s" s="5878">
        <v>0</v>
      </c>
      <c r="R4" t="s" s="5879">
        <v>0</v>
      </c>
      <c r="S4" t="s" s="5880">
        <v>0</v>
      </c>
      <c r="T4" t="s" s="5881">
        <v>0</v>
      </c>
      <c r="U4" t="s" s="5882">
        <v>0</v>
      </c>
      <c r="V4" t="s" s="5883">
        <v>0</v>
      </c>
      <c r="W4" t="s" s="5884">
        <v>0</v>
      </c>
      <c r="X4" t="s" s="5885">
        <v>0</v>
      </c>
      <c r="Y4" t="s" s="5886">
        <v>0</v>
      </c>
      <c r="Z4" t="s" s="5887">
        <v>0</v>
      </c>
      <c r="AA4" t="s" s="5888">
        <v>0</v>
      </c>
      <c r="AB4" t="s" s="5889">
        <v>0</v>
      </c>
      <c r="AC4" t="s" s="5890">
        <v>5</v>
      </c>
      <c r="AD4" t="n" s="5891">
        <v>2019.0</v>
      </c>
    </row>
    <row r="5" ht="15.0" customHeight="true">
      <c r="A5" t="s" s="5892">
        <v>0</v>
      </c>
      <c r="B5" t="s" s="5893">
        <v>0</v>
      </c>
      <c r="C5" t="s" s="5894">
        <v>0</v>
      </c>
      <c r="D5" t="s" s="5895">
        <v>0</v>
      </c>
      <c r="E5" t="s" s="5896">
        <v>0</v>
      </c>
      <c r="F5" t="s" s="5897">
        <v>0</v>
      </c>
      <c r="G5" t="s" s="5898">
        <v>0</v>
      </c>
      <c r="H5" t="s" s="5899">
        <v>0</v>
      </c>
      <c r="I5" t="s" s="5900">
        <v>0</v>
      </c>
      <c r="J5" t="s" s="5901">
        <v>0</v>
      </c>
      <c r="K5" t="s" s="5902">
        <v>0</v>
      </c>
      <c r="L5" t="s" s="5903">
        <v>0</v>
      </c>
      <c r="M5" t="s" s="5904">
        <v>0</v>
      </c>
      <c r="N5" t="s" s="5905">
        <v>0</v>
      </c>
      <c r="O5" t="s" s="5906">
        <v>0</v>
      </c>
      <c r="P5" t="s" s="5907">
        <v>0</v>
      </c>
      <c r="Q5" t="s" s="5908">
        <v>0</v>
      </c>
      <c r="R5" t="s" s="5909">
        <v>0</v>
      </c>
      <c r="S5" t="s" s="5910">
        <v>0</v>
      </c>
      <c r="T5" t="s" s="5911">
        <v>0</v>
      </c>
      <c r="U5" t="s" s="5912">
        <v>0</v>
      </c>
      <c r="V5" t="s" s="5913">
        <v>0</v>
      </c>
      <c r="W5" t="s" s="5914">
        <v>0</v>
      </c>
      <c r="X5" t="s" s="5915">
        <v>0</v>
      </c>
      <c r="Y5" t="s" s="5916">
        <v>0</v>
      </c>
      <c r="Z5" t="s" s="5917">
        <v>0</v>
      </c>
      <c r="AA5" t="s" s="5918">
        <v>0</v>
      </c>
      <c r="AB5" t="s" s="5919">
        <v>0</v>
      </c>
      <c r="AC5" t="s" s="5920">
        <v>6</v>
      </c>
      <c r="AD5" t="n" s="5921">
        <v>2019.0</v>
      </c>
    </row>
    <row r="6" ht="15.0" customHeight="true"/>
    <row r="7" ht="35.0" customHeight="true">
      <c r="A7" t="s" s="5922">
        <v>7</v>
      </c>
      <c r="B7" t="s" s="5923">
        <v>8</v>
      </c>
      <c r="C7" t="s" s="5924">
        <v>9</v>
      </c>
      <c r="D7" t="s" s="5925">
        <v>10</v>
      </c>
      <c r="E7" t="s" s="5926">
        <v>11</v>
      </c>
      <c r="F7" t="s" s="5927">
        <v>12</v>
      </c>
      <c r="G7" t="s" s="5928">
        <v>13</v>
      </c>
      <c r="H7" t="s" s="5929">
        <v>14</v>
      </c>
      <c r="I7" t="s" s="5930">
        <v>15</v>
      </c>
      <c r="J7" t="s" s="5931">
        <v>16</v>
      </c>
      <c r="K7" t="s" s="5932">
        <v>17</v>
      </c>
      <c r="L7" t="s" s="5933">
        <v>18</v>
      </c>
      <c r="M7" t="s" s="5934">
        <v>19</v>
      </c>
      <c r="N7" t="s" s="5935">
        <v>20</v>
      </c>
      <c r="O7" t="s" s="5936">
        <v>21</v>
      </c>
      <c r="P7" t="s" s="5937">
        <v>22</v>
      </c>
      <c r="Q7" t="s" s="5938">
        <v>23</v>
      </c>
      <c r="R7" t="s" s="5939">
        <v>24</v>
      </c>
      <c r="S7" t="s" s="5940">
        <v>25</v>
      </c>
      <c r="T7" t="s" s="5941">
        <v>26</v>
      </c>
      <c r="U7" t="s" s="5942">
        <v>27</v>
      </c>
      <c r="V7" t="s" s="5943">
        <v>28</v>
      </c>
      <c r="W7" t="s" s="5944">
        <v>29</v>
      </c>
      <c r="X7" t="s" s="5945">
        <v>30</v>
      </c>
      <c r="Y7" t="s" s="5946">
        <v>31</v>
      </c>
      <c r="Z7" t="s" s="5947">
        <v>32</v>
      </c>
      <c r="AA7" t="s" s="5948">
        <v>33</v>
      </c>
      <c r="AB7" t="s" s="5949">
        <v>34</v>
      </c>
      <c r="AC7" t="s" s="5950">
        <v>35</v>
      </c>
      <c r="AD7" t="s" s="5951">
        <v>36</v>
      </c>
      <c r="AE7" t="s" s="5952">
        <v>37</v>
      </c>
      <c r="AF7" t="s" s="5953">
        <v>38</v>
      </c>
      <c r="AG7" t="s" s="5954">
        <v>39</v>
      </c>
      <c r="AH7" t="s" s="5955">
        <v>40</v>
      </c>
      <c r="AI7" t="s" s="5956">
        <v>41</v>
      </c>
    </row>
    <row r="8" ht="15.0" customHeight="true">
      <c r="A8" t="s" s="5957">
        <v>176</v>
      </c>
      <c r="B8" t="s" s="5958">
        <v>177</v>
      </c>
      <c r="C8" t="s" s="5959">
        <v>178</v>
      </c>
      <c r="D8" t="s" s="5960">
        <v>179</v>
      </c>
      <c r="E8" t="s" s="5961">
        <v>180</v>
      </c>
      <c r="F8" t="n" s="5962">
        <v>41944.0</v>
      </c>
      <c r="G8" t="s" s="5963">
        <v>0</v>
      </c>
      <c r="H8" t="n" s="5964">
        <v>1460.0</v>
      </c>
      <c r="I8" t="n" s="5965">
        <v>100.0</v>
      </c>
      <c r="J8" t="n" s="5966">
        <v>0.0</v>
      </c>
      <c r="K8" t="n" s="5967">
        <v>1200.0</v>
      </c>
      <c r="L8" t="n" s="5968">
        <v>0.0</v>
      </c>
      <c r="M8" t="n" s="5969">
        <v>0.0</v>
      </c>
      <c r="N8" t="n" s="5970">
        <v>0.0</v>
      </c>
      <c r="O8" t="n" s="5971">
        <v>0.0</v>
      </c>
      <c r="P8" t="n" s="5972">
        <v>0.0</v>
      </c>
      <c r="Q8" t="n" s="5973">
        <v>0.0</v>
      </c>
      <c r="R8" t="n" s="5974">
        <v>16.0</v>
      </c>
      <c r="S8" t="n" s="5975">
        <v>224.64</v>
      </c>
      <c r="T8" t="n" s="5976">
        <v>0.0</v>
      </c>
      <c r="U8" t="n" s="5977">
        <v>0.0</v>
      </c>
      <c r="V8" t="n" s="5978">
        <v>0.0</v>
      </c>
      <c r="W8" s="5979">
        <f>q8+s8+u8+v8</f>
      </c>
      <c r="X8" t="n" s="5980">
        <v>0.0</v>
      </c>
      <c r="Y8" t="n" s="5981">
        <v>0.0</v>
      </c>
      <c r="Z8" t="n" s="5982">
        <v>0.0</v>
      </c>
      <c r="AA8" s="5983">
        <f>h8+i8+j8+k8+l8+m8+n8+o8+w8+x8+y8+z8</f>
      </c>
      <c r="AB8" t="n" s="5984">
        <v>359.0</v>
      </c>
      <c r="AC8" t="n" s="5985">
        <v>51.65</v>
      </c>
      <c r="AD8" t="n" s="5986">
        <v>5.9</v>
      </c>
      <c r="AE8" t="n" s="5987">
        <v>80.0</v>
      </c>
      <c r="AF8" s="5988">
        <f>ROUND((aa8+ab8+ac8+ad8+ae8),2)</f>
      </c>
      <c r="AG8" s="5989">
        <f>ae8*0.06</f>
      </c>
      <c r="AH8" s="5990">
        <f>af8+ag8</f>
      </c>
      <c r="AI8" t="s" s="5991">
        <v>0</v>
      </c>
    </row>
    <row r="9" ht="15.0" customHeight="true">
      <c r="A9" t="s" s="5992">
        <v>181</v>
      </c>
      <c r="B9" t="s" s="5993">
        <v>182</v>
      </c>
      <c r="C9" t="s" s="5994">
        <v>183</v>
      </c>
      <c r="D9" t="s" s="5995">
        <v>184</v>
      </c>
      <c r="E9" t="s" s="5996">
        <v>180</v>
      </c>
      <c r="F9" t="n" s="5997">
        <v>41944.0</v>
      </c>
      <c r="G9" t="s" s="5998">
        <v>0</v>
      </c>
      <c r="H9" t="n" s="5999">
        <v>1390.0</v>
      </c>
      <c r="I9" t="n" s="6000">
        <v>100.0</v>
      </c>
      <c r="J9" t="n" s="6001">
        <v>0.0</v>
      </c>
      <c r="K9" t="n" s="6002">
        <v>1057.0</v>
      </c>
      <c r="L9" t="n" s="6003">
        <v>0.0</v>
      </c>
      <c r="M9" t="n" s="6004">
        <v>0.0</v>
      </c>
      <c r="N9" t="n" s="6005">
        <v>0.0</v>
      </c>
      <c r="O9" t="n" s="6006">
        <v>0.0</v>
      </c>
      <c r="P9" t="n" s="6007">
        <v>3.0</v>
      </c>
      <c r="Q9" t="n" s="6008">
        <v>30.06</v>
      </c>
      <c r="R9" t="n" s="6009">
        <v>16.0</v>
      </c>
      <c r="S9" t="n" s="6010">
        <v>213.92</v>
      </c>
      <c r="T9" t="n" s="6011">
        <v>0.0</v>
      </c>
      <c r="U9" t="n" s="6012">
        <v>0.0</v>
      </c>
      <c r="V9" t="n" s="6013">
        <v>0.0</v>
      </c>
      <c r="W9" s="6014">
        <f>q9+s9+u9+v9</f>
      </c>
      <c r="X9" t="n" s="6015">
        <v>0.0</v>
      </c>
      <c r="Y9" t="n" s="6016">
        <v>0.0</v>
      </c>
      <c r="Z9" t="n" s="6017">
        <v>0.0</v>
      </c>
      <c r="AA9" s="6018">
        <f>h9+i9+j9+k9+l9+m9+n9+o9+w9+x9+y9+z9</f>
      </c>
      <c r="AB9" t="n" s="6019">
        <v>333.0</v>
      </c>
      <c r="AC9" t="n" s="6020">
        <v>48.15</v>
      </c>
      <c r="AD9" t="n" s="6021">
        <v>5.5</v>
      </c>
      <c r="AE9" t="n" s="6022">
        <v>80.0</v>
      </c>
      <c r="AF9" s="6023">
        <f>ROUND((aa9+ab9+ac9+ad9+ae9),2)</f>
      </c>
      <c r="AG9" s="6024">
        <f>ae9*0.06</f>
      </c>
      <c r="AH9" s="6025">
        <f>af9+ag9</f>
      </c>
      <c r="AI9" t="s" s="6026">
        <v>0</v>
      </c>
    </row>
    <row r="10" ht="15.0" customHeight="true">
      <c r="A10" t="s" s="6027">
        <v>185</v>
      </c>
      <c r="B10" t="s" s="6028">
        <v>186</v>
      </c>
      <c r="C10" t="s" s="6029">
        <v>187</v>
      </c>
      <c r="D10" t="s" s="6030">
        <v>188</v>
      </c>
      <c r="E10" t="s" s="6031">
        <v>180</v>
      </c>
      <c r="F10" t="n" s="6032">
        <v>41944.0</v>
      </c>
      <c r="G10" t="s" s="6033">
        <v>0</v>
      </c>
      <c r="H10" t="n" s="6034">
        <v>1410.0</v>
      </c>
      <c r="I10" t="n" s="6035">
        <v>100.0</v>
      </c>
      <c r="J10" t="n" s="6036">
        <v>0.0</v>
      </c>
      <c r="K10" t="n" s="6037">
        <v>850.0</v>
      </c>
      <c r="L10" t="n" s="6038">
        <v>0.0</v>
      </c>
      <c r="M10" t="n" s="6039">
        <v>10.0</v>
      </c>
      <c r="N10" t="n" s="6040">
        <v>0.0</v>
      </c>
      <c r="O10" t="n" s="6041">
        <v>0.0</v>
      </c>
      <c r="P10" t="n" s="6042">
        <v>2.0</v>
      </c>
      <c r="Q10" t="n" s="6043">
        <v>20.34</v>
      </c>
      <c r="R10" t="n" s="6044">
        <v>16.0</v>
      </c>
      <c r="S10" t="n" s="6045">
        <v>216.96</v>
      </c>
      <c r="T10" t="n" s="6046">
        <v>0.0</v>
      </c>
      <c r="U10" t="n" s="6047">
        <v>0.0</v>
      </c>
      <c r="V10" t="n" s="6048">
        <v>0.0</v>
      </c>
      <c r="W10" s="6049">
        <f>q10+s10+u10+v10</f>
      </c>
      <c r="X10" t="n" s="6050">
        <v>0.0</v>
      </c>
      <c r="Y10" t="n" s="6051">
        <v>0.0</v>
      </c>
      <c r="Z10" t="n" s="6052">
        <v>0.0</v>
      </c>
      <c r="AA10" s="6053">
        <f>h10+i10+j10+k10+l10+m10+n10+o10+w10+x10+y10+z10</f>
      </c>
      <c r="AB10" t="n" s="6054">
        <v>307.0</v>
      </c>
      <c r="AC10" t="n" s="6055">
        <v>44.65</v>
      </c>
      <c r="AD10" t="n" s="6056">
        <v>5.1</v>
      </c>
      <c r="AE10" t="n" s="6057">
        <v>80.0</v>
      </c>
      <c r="AF10" s="6058">
        <f>ROUND((aa10+ab10+ac10+ad10+ae10),2)</f>
      </c>
      <c r="AG10" s="6059">
        <f>ae10*0.06</f>
      </c>
      <c r="AH10" s="6060">
        <f>af10+ag10</f>
      </c>
      <c r="AI10" t="s" s="6061">
        <v>0</v>
      </c>
    </row>
    <row r="11" ht="15.0" customHeight="true">
      <c r="A11" t="s" s="6062">
        <v>189</v>
      </c>
      <c r="B11" t="s" s="6063">
        <v>190</v>
      </c>
      <c r="C11" t="s" s="6064">
        <v>191</v>
      </c>
      <c r="D11" t="s" s="6065">
        <v>192</v>
      </c>
      <c r="E11" t="s" s="6066">
        <v>180</v>
      </c>
      <c r="F11" t="n" s="6067">
        <v>41944.0</v>
      </c>
      <c r="G11" t="s" s="6068">
        <v>0</v>
      </c>
      <c r="H11" t="n" s="6069">
        <v>1390.0</v>
      </c>
      <c r="I11" t="n" s="6070">
        <v>100.0</v>
      </c>
      <c r="J11" t="n" s="6071">
        <v>0.0</v>
      </c>
      <c r="K11" t="n" s="6072">
        <v>1000.0</v>
      </c>
      <c r="L11" t="n" s="6073">
        <v>0.0</v>
      </c>
      <c r="M11" t="n" s="6074">
        <v>24.0</v>
      </c>
      <c r="N11" t="n" s="6075">
        <v>0.0</v>
      </c>
      <c r="O11" t="n" s="6076">
        <v>0.0</v>
      </c>
      <c r="P11" t="n" s="6077">
        <v>5.0</v>
      </c>
      <c r="Q11" t="n" s="6078">
        <v>50.1</v>
      </c>
      <c r="R11" t="n" s="6079">
        <v>16.0</v>
      </c>
      <c r="S11" t="n" s="6080">
        <v>213.92</v>
      </c>
      <c r="T11" t="n" s="6081">
        <v>0.0</v>
      </c>
      <c r="U11" t="n" s="6082">
        <v>0.0</v>
      </c>
      <c r="V11" t="n" s="6083">
        <v>0.0</v>
      </c>
      <c r="W11" s="6084">
        <f>q11+s11+u11+v11</f>
      </c>
      <c r="X11" t="n" s="6085">
        <v>0.0</v>
      </c>
      <c r="Y11" t="n" s="6086">
        <v>0.0</v>
      </c>
      <c r="Z11" t="n" s="6087">
        <v>0.0</v>
      </c>
      <c r="AA11" s="6088">
        <f>h11+i11+j11+k11+l11+m11+n11+o11+w11+x11+y11+z11</f>
      </c>
      <c r="AB11" t="n" s="6089">
        <v>325.0</v>
      </c>
      <c r="AC11" t="n" s="6090">
        <v>48.15</v>
      </c>
      <c r="AD11" t="n" s="6091">
        <v>5.5</v>
      </c>
      <c r="AE11" t="n" s="6092">
        <v>80.0</v>
      </c>
      <c r="AF11" s="6093">
        <f>ROUND((aa11+ab11+ac11+ad11+ae11),2)</f>
      </c>
      <c r="AG11" s="6094">
        <f>ae11*0.06</f>
      </c>
      <c r="AH11" s="6095">
        <f>af11+ag11</f>
      </c>
      <c r="AI11" t="s" s="6096">
        <v>0</v>
      </c>
    </row>
    <row r="12" ht="15.0" customHeight="true">
      <c r="A12" t="s" s="6097">
        <v>193</v>
      </c>
      <c r="B12" t="s" s="6098">
        <v>194</v>
      </c>
      <c r="C12" t="s" s="6099">
        <v>195</v>
      </c>
      <c r="D12" t="s" s="6100">
        <v>196</v>
      </c>
      <c r="E12" t="s" s="6101">
        <v>180</v>
      </c>
      <c r="F12" t="n" s="6102">
        <v>42179.0</v>
      </c>
      <c r="G12" t="s" s="6103">
        <v>0</v>
      </c>
      <c r="H12" t="n" s="6104">
        <v>1350.0</v>
      </c>
      <c r="I12" t="n" s="6105">
        <v>100.0</v>
      </c>
      <c r="J12" t="n" s="6106">
        <v>0.0</v>
      </c>
      <c r="K12" t="n" s="6107">
        <v>1140.0</v>
      </c>
      <c r="L12" t="n" s="6108">
        <v>0.0</v>
      </c>
      <c r="M12" t="n" s="6109">
        <v>20.0</v>
      </c>
      <c r="N12" t="n" s="6110">
        <v>0.0</v>
      </c>
      <c r="O12" t="n" s="6111">
        <v>0.0</v>
      </c>
      <c r="P12" t="n" s="6112">
        <v>8.0</v>
      </c>
      <c r="Q12" t="n" s="6113">
        <v>77.92</v>
      </c>
      <c r="R12" t="n" s="6114">
        <v>16.0</v>
      </c>
      <c r="S12" t="n" s="6115">
        <v>207.68</v>
      </c>
      <c r="T12" t="n" s="6116">
        <v>0.0</v>
      </c>
      <c r="U12" t="n" s="6117">
        <v>0.0</v>
      </c>
      <c r="V12" t="n" s="6118">
        <v>0.0</v>
      </c>
      <c r="W12" s="6119">
        <f>q12+s12+u12+v12</f>
      </c>
      <c r="X12" t="n" s="6120">
        <v>0.0</v>
      </c>
      <c r="Y12" t="n" s="6121">
        <v>0.0</v>
      </c>
      <c r="Z12" t="n" s="6122">
        <v>0.0</v>
      </c>
      <c r="AA12" s="6123">
        <f>h12+i12+j12+k12+l12+m12+n12+o12+w12+x12+y12+z12</f>
      </c>
      <c r="AB12" t="n" s="6124">
        <v>338.0</v>
      </c>
      <c r="AC12" t="n" s="6125">
        <v>49.85</v>
      </c>
      <c r="AD12" t="n" s="6126">
        <v>5.7</v>
      </c>
      <c r="AE12" t="n" s="6127">
        <v>80.0</v>
      </c>
      <c r="AF12" s="6128">
        <f>ROUND((aa12+ab12+ac12+ad12+ae12),2)</f>
      </c>
      <c r="AG12" s="6129">
        <f>ae12*0.06</f>
      </c>
      <c r="AH12" s="6130">
        <f>af12+ag12</f>
      </c>
      <c r="AI12" t="s" s="6131">
        <v>0</v>
      </c>
    </row>
    <row r="13" ht="15.0" customHeight="true">
      <c r="A13" t="s" s="6132">
        <v>197</v>
      </c>
      <c r="B13" t="s" s="6133">
        <v>198</v>
      </c>
      <c r="C13" t="s" s="6134">
        <v>199</v>
      </c>
      <c r="D13" t="s" s="6135">
        <v>200</v>
      </c>
      <c r="E13" t="s" s="6136">
        <v>180</v>
      </c>
      <c r="F13" t="n" s="6137">
        <v>42488.0</v>
      </c>
      <c r="G13" t="s" s="6138">
        <v>0</v>
      </c>
      <c r="H13" t="n" s="6139">
        <v>1460.0</v>
      </c>
      <c r="I13" t="n" s="6140">
        <v>100.0</v>
      </c>
      <c r="J13" t="n" s="6141">
        <v>0.0</v>
      </c>
      <c r="K13" t="n" s="6142">
        <v>342.0</v>
      </c>
      <c r="L13" t="n" s="6143">
        <v>0.0</v>
      </c>
      <c r="M13" t="n" s="6144">
        <v>0.0</v>
      </c>
      <c r="N13" t="n" s="6145">
        <v>0.0</v>
      </c>
      <c r="O13" t="n" s="6146">
        <v>0.0</v>
      </c>
      <c r="P13" t="n" s="6147">
        <v>7.0</v>
      </c>
      <c r="Q13" t="n" s="6148">
        <v>73.71</v>
      </c>
      <c r="R13" t="n" s="6149">
        <v>0.0</v>
      </c>
      <c r="S13" t="n" s="6150">
        <v>0.0</v>
      </c>
      <c r="T13" t="n" s="6151">
        <v>0.0</v>
      </c>
      <c r="U13" t="n" s="6152">
        <v>0.0</v>
      </c>
      <c r="V13" t="n" s="6153">
        <v>0.0</v>
      </c>
      <c r="W13" s="6154">
        <f>q13+s13+u13+v13</f>
      </c>
      <c r="X13" t="n" s="6155">
        <v>0.0</v>
      </c>
      <c r="Y13" t="n" s="6156">
        <v>0.0</v>
      </c>
      <c r="Z13" t="n" s="6157">
        <v>0.0</v>
      </c>
      <c r="AA13" s="6158">
        <f>h13+i13+j13+k13+l13+m13+n13+o13+w13+x13+y13+z13</f>
      </c>
      <c r="AB13" t="n" s="6159">
        <v>250.0</v>
      </c>
      <c r="AC13" t="n" s="6160">
        <v>34.15</v>
      </c>
      <c r="AD13" t="n" s="6161">
        <v>3.9</v>
      </c>
      <c r="AE13" t="n" s="6162">
        <v>80.0</v>
      </c>
      <c r="AF13" s="6163">
        <f>ROUND((aa13+ab13+ac13+ad13+ae13),2)</f>
      </c>
      <c r="AG13" s="6164">
        <f>ae13*0.06</f>
      </c>
      <c r="AH13" s="6165">
        <f>af13+ag13</f>
      </c>
      <c r="AI13" t="s" s="6166">
        <v>0</v>
      </c>
    </row>
    <row r="14" ht="15.0" customHeight="true">
      <c r="A14" t="s" s="6167">
        <v>201</v>
      </c>
      <c r="B14" t="s" s="6168">
        <v>202</v>
      </c>
      <c r="C14" t="s" s="6169">
        <v>203</v>
      </c>
      <c r="D14" t="s" s="6170">
        <v>204</v>
      </c>
      <c r="E14" t="s" s="6171">
        <v>180</v>
      </c>
      <c r="F14" t="n" s="6172">
        <v>42583.0</v>
      </c>
      <c r="G14" t="s" s="6173">
        <v>0</v>
      </c>
      <c r="H14" t="n" s="6174">
        <v>1350.0</v>
      </c>
      <c r="I14" t="n" s="6175">
        <v>100.0</v>
      </c>
      <c r="J14" t="n" s="6176">
        <v>0.0</v>
      </c>
      <c r="K14" t="n" s="6177">
        <v>1145.0</v>
      </c>
      <c r="L14" t="n" s="6178">
        <v>0.0</v>
      </c>
      <c r="M14" t="n" s="6179">
        <v>27.78</v>
      </c>
      <c r="N14" t="n" s="6180">
        <v>0.0</v>
      </c>
      <c r="O14" t="n" s="6181">
        <v>0.0</v>
      </c>
      <c r="P14" t="n" s="6182">
        <v>8.0</v>
      </c>
      <c r="Q14" t="n" s="6183">
        <v>77.92</v>
      </c>
      <c r="R14" t="n" s="6184">
        <v>16.0</v>
      </c>
      <c r="S14" t="n" s="6185">
        <v>207.68</v>
      </c>
      <c r="T14" t="n" s="6186">
        <v>0.0</v>
      </c>
      <c r="U14" t="n" s="6187">
        <v>0.0</v>
      </c>
      <c r="V14" t="n" s="6188">
        <v>0.0</v>
      </c>
      <c r="W14" s="6189">
        <f>q14+s14+u14+v14</f>
      </c>
      <c r="X14" t="n" s="6190">
        <v>0.0</v>
      </c>
      <c r="Y14" t="n" s="6191">
        <v>0.0</v>
      </c>
      <c r="Z14" t="n" s="6192">
        <v>0.0</v>
      </c>
      <c r="AA14" s="6193">
        <f>h14+i14+j14+k14+l14+m14+n14+o14+w14+x14+y14+z14</f>
      </c>
      <c r="AB14" t="n" s="6194">
        <v>338.0</v>
      </c>
      <c r="AC14" t="n" s="6195">
        <v>49.85</v>
      </c>
      <c r="AD14" t="n" s="6196">
        <v>5.7</v>
      </c>
      <c r="AE14" t="n" s="6197">
        <v>80.0</v>
      </c>
      <c r="AF14" s="6198">
        <f>ROUND((aa14+ab14+ac14+ad14+ae14),2)</f>
      </c>
      <c r="AG14" s="6199">
        <f>ae14*0.06</f>
      </c>
      <c r="AH14" s="6200">
        <f>af14+ag14</f>
      </c>
      <c r="AI14" t="s" s="6201">
        <v>0</v>
      </c>
    </row>
    <row r="15" ht="15.0" customHeight="true">
      <c r="A15" t="s" s="6202">
        <v>205</v>
      </c>
      <c r="B15" t="s" s="6203">
        <v>206</v>
      </c>
      <c r="C15" t="s" s="6204">
        <v>207</v>
      </c>
      <c r="D15" t="s" s="6205">
        <v>208</v>
      </c>
      <c r="E15" t="s" s="6206">
        <v>180</v>
      </c>
      <c r="F15" t="n" s="6207">
        <v>42761.0</v>
      </c>
      <c r="G15" t="s" s="6208">
        <v>0</v>
      </c>
      <c r="H15" t="n" s="6209">
        <v>1320.0</v>
      </c>
      <c r="I15" t="n" s="6210">
        <v>100.0</v>
      </c>
      <c r="J15" t="n" s="6211">
        <v>0.0</v>
      </c>
      <c r="K15" t="n" s="6212">
        <v>850.0</v>
      </c>
      <c r="L15" t="n" s="6213">
        <v>0.0</v>
      </c>
      <c r="M15" t="n" s="6214">
        <v>33.59</v>
      </c>
      <c r="N15" t="n" s="6215">
        <v>0.0</v>
      </c>
      <c r="O15" t="n" s="6216">
        <v>0.0</v>
      </c>
      <c r="P15" t="n" s="6217">
        <v>8.0</v>
      </c>
      <c r="Q15" t="n" s="6218">
        <v>76.16</v>
      </c>
      <c r="R15" t="n" s="6219">
        <v>8.0</v>
      </c>
      <c r="S15" t="n" s="6220">
        <v>101.52</v>
      </c>
      <c r="T15" t="n" s="6221">
        <v>0.0</v>
      </c>
      <c r="U15" t="n" s="6222">
        <v>0.0</v>
      </c>
      <c r="V15" t="n" s="6223">
        <v>0.0</v>
      </c>
      <c r="W15" s="6224">
        <f>q15+s15+u15+v15</f>
      </c>
      <c r="X15" t="n" s="6225">
        <v>0.0</v>
      </c>
      <c r="Y15" t="n" s="6226">
        <v>0.0</v>
      </c>
      <c r="Z15" t="n" s="6227">
        <v>0.0</v>
      </c>
      <c r="AA15" s="6228">
        <f>h15+i15+j15+k15+l15+m15+n15+o15+w15+x15+y15+z15</f>
      </c>
      <c r="AB15" t="n" s="6229">
        <v>297.0</v>
      </c>
      <c r="AC15" t="n" s="6230">
        <v>42.85</v>
      </c>
      <c r="AD15" t="n" s="6231">
        <v>4.9</v>
      </c>
      <c r="AE15" t="n" s="6232">
        <v>80.0</v>
      </c>
      <c r="AF15" s="6233">
        <f>ROUND((aa15+ab15+ac15+ad15+ae15),2)</f>
      </c>
      <c r="AG15" s="6234">
        <f>ae15*0.06</f>
      </c>
      <c r="AH15" s="6235">
        <f>af15+ag15</f>
      </c>
      <c r="AI15" t="s" s="6236">
        <v>0</v>
      </c>
    </row>
    <row r="16" ht="15.0" customHeight="true">
      <c r="A16" t="s" s="6237">
        <v>209</v>
      </c>
      <c r="B16" t="s" s="6238">
        <v>210</v>
      </c>
      <c r="C16" t="s" s="6239">
        <v>211</v>
      </c>
      <c r="D16" t="s" s="6240">
        <v>212</v>
      </c>
      <c r="E16" t="s" s="6241">
        <v>180</v>
      </c>
      <c r="F16" t="n" s="6242">
        <v>42781.0</v>
      </c>
      <c r="G16" t="s" s="6243">
        <v>0</v>
      </c>
      <c r="H16" t="n" s="6244">
        <v>1320.0</v>
      </c>
      <c r="I16" t="n" s="6245">
        <v>100.0</v>
      </c>
      <c r="J16" t="n" s="6246">
        <v>0.0</v>
      </c>
      <c r="K16" t="n" s="6247">
        <v>1089.0</v>
      </c>
      <c r="L16" t="n" s="6248">
        <v>0.0</v>
      </c>
      <c r="M16" t="n" s="6249">
        <v>10.0</v>
      </c>
      <c r="N16" t="n" s="6250">
        <v>0.0</v>
      </c>
      <c r="O16" t="n" s="6251">
        <v>0.0</v>
      </c>
      <c r="P16" t="n" s="6252">
        <v>8.0</v>
      </c>
      <c r="Q16" t="n" s="6253">
        <v>76.16</v>
      </c>
      <c r="R16" t="n" s="6254">
        <v>8.0</v>
      </c>
      <c r="S16" t="n" s="6255">
        <v>101.52</v>
      </c>
      <c r="T16" t="n" s="6256">
        <v>0.0</v>
      </c>
      <c r="U16" t="n" s="6257">
        <v>0.0</v>
      </c>
      <c r="V16" t="n" s="6258">
        <v>0.0</v>
      </c>
      <c r="W16" s="6259">
        <f>q16+s16+u16+v16</f>
      </c>
      <c r="X16" t="n" s="6260">
        <v>0.0</v>
      </c>
      <c r="Y16" t="n" s="6261">
        <v>0.0</v>
      </c>
      <c r="Z16" t="n" s="6262">
        <v>0.0</v>
      </c>
      <c r="AA16" s="6263">
        <f>h16+i16+j16+k16+l16+m16+n16+o16+w16+x16+y16+z16</f>
      </c>
      <c r="AB16" t="n" s="6264">
        <v>328.0</v>
      </c>
      <c r="AC16" t="n" s="6265">
        <v>46.35</v>
      </c>
      <c r="AD16" t="n" s="6266">
        <v>5.3</v>
      </c>
      <c r="AE16" t="n" s="6267">
        <v>80.0</v>
      </c>
      <c r="AF16" s="6268">
        <f>ROUND((aa16+ab16+ac16+ad16+ae16),2)</f>
      </c>
      <c r="AG16" s="6269">
        <f>ae16*0.06</f>
      </c>
      <c r="AH16" s="6270">
        <f>af16+ag16</f>
      </c>
      <c r="AI16" t="s" s="6271">
        <v>0</v>
      </c>
    </row>
    <row r="17" ht="15.0" customHeight="true">
      <c r="A17" t="s" s="6272">
        <v>213</v>
      </c>
      <c r="B17" t="s" s="6273">
        <v>214</v>
      </c>
      <c r="C17" t="s" s="6274">
        <v>215</v>
      </c>
      <c r="D17" t="s" s="6275">
        <v>216</v>
      </c>
      <c r="E17" t="s" s="6276">
        <v>180</v>
      </c>
      <c r="F17" t="n" s="6277">
        <v>43101.0</v>
      </c>
      <c r="G17" t="s" s="6278">
        <v>0</v>
      </c>
      <c r="H17" t="n" s="6279">
        <v>1290.0</v>
      </c>
      <c r="I17" t="n" s="6280">
        <v>100.0</v>
      </c>
      <c r="J17" t="n" s="6281">
        <v>0.0</v>
      </c>
      <c r="K17" t="n" s="6282">
        <v>1000.0</v>
      </c>
      <c r="L17" t="n" s="6283">
        <v>0.0</v>
      </c>
      <c r="M17" t="n" s="6284">
        <v>10.0</v>
      </c>
      <c r="N17" t="n" s="6285">
        <v>0.0</v>
      </c>
      <c r="O17" t="n" s="6286">
        <v>0.0</v>
      </c>
      <c r="P17" t="n" s="6287">
        <v>8.0</v>
      </c>
      <c r="Q17" t="n" s="6288">
        <v>74.4</v>
      </c>
      <c r="R17" t="n" s="6289">
        <v>16.0</v>
      </c>
      <c r="S17" t="n" s="6290">
        <v>198.4</v>
      </c>
      <c r="T17" t="n" s="6291">
        <v>0.0</v>
      </c>
      <c r="U17" t="n" s="6292">
        <v>0.0</v>
      </c>
      <c r="V17" t="n" s="6293">
        <v>0.0</v>
      </c>
      <c r="W17" s="6294">
        <f>q17+s17+u17+v17</f>
      </c>
      <c r="X17" t="n" s="6295">
        <v>0.0</v>
      </c>
      <c r="Y17" t="n" s="6296">
        <v>0.0</v>
      </c>
      <c r="Z17" t="n" s="6297">
        <v>0.0</v>
      </c>
      <c r="AA17" s="6298">
        <f>h17+i17+j17+k17+l17+m17+n17+o17+w17+x17+y17+z17</f>
      </c>
      <c r="AB17" t="n" s="6299">
        <v>312.0</v>
      </c>
      <c r="AC17" t="n" s="6300">
        <v>46.35</v>
      </c>
      <c r="AD17" t="n" s="6301">
        <v>5.3</v>
      </c>
      <c r="AE17" t="n" s="6302">
        <v>80.0</v>
      </c>
      <c r="AF17" s="6303">
        <f>ROUND((aa17+ab17+ac17+ad17+ae17),2)</f>
      </c>
      <c r="AG17" s="6304">
        <f>ae17*0.06</f>
      </c>
      <c r="AH17" s="6305">
        <f>af17+ag17</f>
      </c>
      <c r="AI17" t="s" s="6306">
        <v>0</v>
      </c>
    </row>
    <row r="18" ht="15.0" customHeight="true">
      <c r="A18" t="s" s="6307">
        <v>217</v>
      </c>
      <c r="B18" t="s" s="6308">
        <v>218</v>
      </c>
      <c r="C18" t="s" s="6309">
        <v>219</v>
      </c>
      <c r="D18" t="s" s="6310">
        <v>220</v>
      </c>
      <c r="E18" t="s" s="6311">
        <v>180</v>
      </c>
      <c r="F18" t="n" s="6312">
        <v>43269.0</v>
      </c>
      <c r="G18" t="s" s="6313">
        <v>0</v>
      </c>
      <c r="H18" t="n" s="6314">
        <v>1250.0</v>
      </c>
      <c r="I18" t="n" s="6315">
        <v>100.0</v>
      </c>
      <c r="J18" t="n" s="6316">
        <v>0.0</v>
      </c>
      <c r="K18" t="n" s="6317">
        <v>966.0</v>
      </c>
      <c r="L18" t="n" s="6318">
        <v>0.0</v>
      </c>
      <c r="M18" t="n" s="6319">
        <v>0.0</v>
      </c>
      <c r="N18" t="n" s="6320">
        <v>0.0</v>
      </c>
      <c r="O18" t="n" s="6321">
        <v>0.0</v>
      </c>
      <c r="P18" t="n" s="6322">
        <v>8.0</v>
      </c>
      <c r="Q18" t="n" s="6323">
        <v>72.08</v>
      </c>
      <c r="R18" t="n" s="6324">
        <v>16.0</v>
      </c>
      <c r="S18" t="n" s="6325">
        <v>192.32</v>
      </c>
      <c r="T18" t="n" s="6326">
        <v>0.0</v>
      </c>
      <c r="U18" t="n" s="6327">
        <v>0.0</v>
      </c>
      <c r="V18" t="n" s="6328">
        <v>0.0</v>
      </c>
      <c r="W18" s="6329">
        <f>q18+s18+u18+v18</f>
      </c>
      <c r="X18" t="n" s="6330">
        <v>0.0</v>
      </c>
      <c r="Y18" t="n" s="6331">
        <v>0.0</v>
      </c>
      <c r="Z18" t="n" s="6332">
        <v>0.0</v>
      </c>
      <c r="AA18" s="6333">
        <f>h18+i18+j18+k18+l18+m18+n18+o18+w18+x18+y18+z18</f>
      </c>
      <c r="AB18" t="n" s="6334">
        <v>302.0</v>
      </c>
      <c r="AC18" t="n" s="6335">
        <v>44.65</v>
      </c>
      <c r="AD18" t="n" s="6336">
        <v>5.1</v>
      </c>
      <c r="AE18" t="n" s="6337">
        <v>80.0</v>
      </c>
      <c r="AF18" s="6338">
        <f>ROUND((aa18+ab18+ac18+ad18+ae18),2)</f>
      </c>
      <c r="AG18" s="6339">
        <f>ae18*0.06</f>
      </c>
      <c r="AH18" s="6340">
        <f>af18+ag18</f>
      </c>
      <c r="AI18" t="s" s="6341">
        <v>0</v>
      </c>
    </row>
    <row r="19" ht="15.0" customHeight="true">
      <c r="A19" t="s" s="6342">
        <v>221</v>
      </c>
      <c r="B19" t="s" s="6343">
        <v>222</v>
      </c>
      <c r="C19" t="s" s="6344">
        <v>223</v>
      </c>
      <c r="D19" t="s" s="6345">
        <v>224</v>
      </c>
      <c r="E19" t="s" s="6346">
        <v>180</v>
      </c>
      <c r="F19" t="n" s="6347">
        <v>43269.0</v>
      </c>
      <c r="G19" t="s" s="6348">
        <v>0</v>
      </c>
      <c r="H19" t="n" s="6349">
        <v>1240.0</v>
      </c>
      <c r="I19" t="n" s="6350">
        <v>100.0</v>
      </c>
      <c r="J19" t="n" s="6351">
        <v>0.0</v>
      </c>
      <c r="K19" t="n" s="6352">
        <v>160.0</v>
      </c>
      <c r="L19" t="n" s="6353">
        <v>0.0</v>
      </c>
      <c r="M19" t="n" s="6354">
        <v>0.0</v>
      </c>
      <c r="N19" t="n" s="6355">
        <v>0.0</v>
      </c>
      <c r="O19" t="n" s="6356">
        <v>0.0</v>
      </c>
      <c r="P19" t="n" s="6357">
        <v>4.0</v>
      </c>
      <c r="Q19" t="n" s="6358">
        <v>35.76</v>
      </c>
      <c r="R19" t="n" s="6359">
        <v>16.0</v>
      </c>
      <c r="S19" t="n" s="6360">
        <v>190.72</v>
      </c>
      <c r="T19" t="n" s="6361">
        <v>0.0</v>
      </c>
      <c r="U19" t="n" s="6362">
        <v>0.0</v>
      </c>
      <c r="V19" t="n" s="6363">
        <v>0.0</v>
      </c>
      <c r="W19" s="6364">
        <f>q19+s19+u19+v19</f>
      </c>
      <c r="X19" t="n" s="6365">
        <v>0.0</v>
      </c>
      <c r="Y19" t="n" s="6366">
        <v>0.0</v>
      </c>
      <c r="Z19" t="n" s="6367">
        <v>0.0</v>
      </c>
      <c r="AA19" s="6368">
        <f>h19+i19+j19+k19+l19+m19+n19+o19+w19+x19+y19+z19</f>
      </c>
      <c r="AB19" t="n" s="6369">
        <v>195.0</v>
      </c>
      <c r="AC19" t="n" s="6370">
        <v>30.65</v>
      </c>
      <c r="AD19" t="n" s="6371">
        <v>3.5</v>
      </c>
      <c r="AE19" t="n" s="6372">
        <v>80.0</v>
      </c>
      <c r="AF19" s="6373">
        <f>ROUND((aa19+ab19+ac19+ad19+ae19),2)</f>
      </c>
      <c r="AG19" s="6374">
        <f>ae19*0.06</f>
      </c>
      <c r="AH19" s="6375">
        <f>af19+ag19</f>
      </c>
      <c r="AI19" t="s" s="6376">
        <v>0</v>
      </c>
    </row>
    <row r="20" ht="15.0" customHeight="true">
      <c r="A20" t="s" s="6377">
        <v>225</v>
      </c>
      <c r="B20" t="s" s="6378">
        <v>226</v>
      </c>
      <c r="C20" t="s" s="6379">
        <v>227</v>
      </c>
      <c r="D20" t="s" s="6380">
        <v>228</v>
      </c>
      <c r="E20" t="s" s="6381">
        <v>180</v>
      </c>
      <c r="F20" t="n" s="6382">
        <v>43323.0</v>
      </c>
      <c r="G20" t="s" s="6383">
        <v>0</v>
      </c>
      <c r="H20" t="n" s="6384">
        <v>1200.0</v>
      </c>
      <c r="I20" t="n" s="6385">
        <v>100.0</v>
      </c>
      <c r="J20" t="n" s="6386">
        <v>0.0</v>
      </c>
      <c r="K20" t="n" s="6387">
        <v>1000.0</v>
      </c>
      <c r="L20" t="n" s="6388">
        <v>0.0</v>
      </c>
      <c r="M20" t="n" s="6389">
        <v>0.0</v>
      </c>
      <c r="N20" t="n" s="6390">
        <v>0.0</v>
      </c>
      <c r="O20" t="n" s="6391">
        <v>0.0</v>
      </c>
      <c r="P20" t="n" s="6392">
        <v>1.0</v>
      </c>
      <c r="Q20" t="n" s="6393">
        <v>8.65</v>
      </c>
      <c r="R20" t="n" s="6394">
        <v>16.0</v>
      </c>
      <c r="S20" t="n" s="6395">
        <v>184.64</v>
      </c>
      <c r="T20" t="n" s="6396">
        <v>0.0</v>
      </c>
      <c r="U20" t="n" s="6397">
        <v>0.0</v>
      </c>
      <c r="V20" t="n" s="6398">
        <v>0.0</v>
      </c>
      <c r="W20" s="6399">
        <f>q20+s20+u20+v20</f>
      </c>
      <c r="X20" t="n" s="6400">
        <v>0.0</v>
      </c>
      <c r="Y20" t="n" s="6401">
        <v>0.0</v>
      </c>
      <c r="Z20" t="n" s="6402">
        <v>0.0</v>
      </c>
      <c r="AA20" s="6403">
        <f>h20+i20+j20+k20+l20+m20+n20+o20+w20+x20+y20+z20</f>
      </c>
      <c r="AB20" t="n" s="6404">
        <v>299.0</v>
      </c>
      <c r="AC20" t="n" s="6405">
        <v>42.85</v>
      </c>
      <c r="AD20" t="n" s="6406">
        <v>4.9</v>
      </c>
      <c r="AE20" t="n" s="6407">
        <v>80.0</v>
      </c>
      <c r="AF20" s="6408">
        <f>ROUND((aa20+ab20+ac20+ad20+ae20),2)</f>
      </c>
      <c r="AG20" s="6409">
        <f>ae20*0.06</f>
      </c>
      <c r="AH20" s="6410">
        <f>af20+ag20</f>
      </c>
      <c r="AI20" t="s" s="6411">
        <v>0</v>
      </c>
    </row>
    <row r="21" ht="15.0" customHeight="true">
      <c r="A21" t="s" s="6412">
        <v>229</v>
      </c>
      <c r="B21" t="s" s="6413">
        <v>230</v>
      </c>
      <c r="C21" t="s" s="6414">
        <v>231</v>
      </c>
      <c r="D21" t="s" s="6415">
        <v>232</v>
      </c>
      <c r="E21" t="s" s="6416">
        <v>180</v>
      </c>
      <c r="F21" t="n" s="6417">
        <v>43323.0</v>
      </c>
      <c r="G21" t="s" s="6418">
        <v>0</v>
      </c>
      <c r="H21" t="n" s="6419">
        <v>1500.0</v>
      </c>
      <c r="I21" t="n" s="6420">
        <v>100.0</v>
      </c>
      <c r="J21" t="n" s="6421">
        <v>0.0</v>
      </c>
      <c r="K21" t="n" s="6422">
        <v>1109.0</v>
      </c>
      <c r="L21" t="n" s="6423">
        <v>0.0</v>
      </c>
      <c r="M21" t="n" s="6424">
        <v>10.0</v>
      </c>
      <c r="N21" t="n" s="6425">
        <v>0.0</v>
      </c>
      <c r="O21" t="n" s="6426">
        <v>0.0</v>
      </c>
      <c r="P21" t="n" s="6427">
        <v>4.0</v>
      </c>
      <c r="Q21" t="n" s="6428">
        <v>43.28</v>
      </c>
      <c r="R21" t="n" s="6429">
        <v>16.0</v>
      </c>
      <c r="S21" t="n" s="6430">
        <v>230.72</v>
      </c>
      <c r="T21" t="n" s="6431">
        <v>0.0</v>
      </c>
      <c r="U21" t="n" s="6432">
        <v>0.0</v>
      </c>
      <c r="V21" t="n" s="6433">
        <v>0.0</v>
      </c>
      <c r="W21" s="6434">
        <f>q21+s21+u21+v21</f>
      </c>
      <c r="X21" t="n" s="6435">
        <v>0.0</v>
      </c>
      <c r="Y21" t="n" s="6436">
        <v>0.0</v>
      </c>
      <c r="Z21" t="n" s="6437">
        <v>0.0</v>
      </c>
      <c r="AA21" s="6438">
        <f>h21+i21+j21+k21+l21+m21+n21+o21+w21+x21+y21+z21</f>
      </c>
      <c r="AB21" t="n" s="6439">
        <v>354.0</v>
      </c>
      <c r="AC21" t="n" s="6440">
        <v>51.65</v>
      </c>
      <c r="AD21" t="n" s="6441">
        <v>5.9</v>
      </c>
      <c r="AE21" t="n" s="6442">
        <v>80.0</v>
      </c>
      <c r="AF21" s="6443">
        <f>ROUND((aa21+ab21+ac21+ad21+ae21),2)</f>
      </c>
      <c r="AG21" s="6444">
        <f>ae21*0.06</f>
      </c>
      <c r="AH21" s="6445">
        <f>af21+ag21</f>
      </c>
      <c r="AI21" t="s" s="6446">
        <v>0</v>
      </c>
    </row>
    <row r="22" ht="15.0" customHeight="true">
      <c r="A22" t="s" s="6447">
        <v>233</v>
      </c>
      <c r="B22" t="s" s="6448">
        <v>234</v>
      </c>
      <c r="C22" t="s" s="6449">
        <v>235</v>
      </c>
      <c r="D22" t="s" s="6450">
        <v>236</v>
      </c>
      <c r="E22" t="s" s="6451">
        <v>180</v>
      </c>
      <c r="F22" t="n" s="6452">
        <v>43539.0</v>
      </c>
      <c r="G22" t="s" s="6453">
        <v>0</v>
      </c>
      <c r="H22" t="n" s="6454">
        <v>1100.0</v>
      </c>
      <c r="I22" t="n" s="6455">
        <v>100.0</v>
      </c>
      <c r="J22" t="n" s="6456">
        <v>0.0</v>
      </c>
      <c r="K22" t="n" s="6457">
        <v>979.0</v>
      </c>
      <c r="L22" t="n" s="6458">
        <v>0.0</v>
      </c>
      <c r="M22" t="n" s="6459">
        <v>0.0</v>
      </c>
      <c r="N22" t="n" s="6460">
        <v>0.0</v>
      </c>
      <c r="O22" t="n" s="6461">
        <v>0.0</v>
      </c>
      <c r="P22" t="n" s="6462">
        <v>2.0</v>
      </c>
      <c r="Q22" t="n" s="6463">
        <v>15.86</v>
      </c>
      <c r="R22" t="n" s="6464">
        <v>16.0</v>
      </c>
      <c r="S22" t="n" s="6465">
        <v>169.28</v>
      </c>
      <c r="T22" t="n" s="6466">
        <v>0.0</v>
      </c>
      <c r="U22" t="n" s="6467">
        <v>0.0</v>
      </c>
      <c r="V22" t="n" s="6468">
        <v>0.0</v>
      </c>
      <c r="W22" s="6469">
        <f>q22+s22+u22+v22</f>
      </c>
      <c r="X22" t="n" s="6470">
        <v>0.0</v>
      </c>
      <c r="Y22" t="n" s="6471">
        <v>0.0</v>
      </c>
      <c r="Z22" t="n" s="6472">
        <v>0.0</v>
      </c>
      <c r="AA22" s="6473">
        <f>h22+i22+j22+k22+l22+m22+n22+o22+w22+x22+y22+z22</f>
      </c>
      <c r="AB22" t="n" s="6474">
        <v>284.0</v>
      </c>
      <c r="AC22" t="n" s="6475">
        <v>41.15</v>
      </c>
      <c r="AD22" t="n" s="6476">
        <v>4.7</v>
      </c>
      <c r="AE22" t="n" s="6477">
        <v>80.0</v>
      </c>
      <c r="AF22" s="6478">
        <f>ROUND((aa22+ab22+ac22+ad22+ae22),2)</f>
      </c>
      <c r="AG22" s="6479">
        <f>ae22*0.06</f>
      </c>
      <c r="AH22" s="6480">
        <f>af22+ag22</f>
      </c>
      <c r="AI22" t="s" s="6481">
        <v>0</v>
      </c>
    </row>
    <row r="23" ht="15.0" customHeight="true">
      <c r="A23" t="s" s="6482">
        <v>237</v>
      </c>
      <c r="B23" t="s" s="6483">
        <v>238</v>
      </c>
      <c r="C23" t="s" s="6484">
        <v>239</v>
      </c>
      <c r="D23" t="s" s="6485">
        <v>240</v>
      </c>
      <c r="E23" t="s" s="6486">
        <v>180</v>
      </c>
      <c r="F23" t="n" s="6487">
        <v>43617.0</v>
      </c>
      <c r="G23" t="n" s="6488">
        <v>43756.0</v>
      </c>
      <c r="H23" t="n" s="6489">
        <v>638.71</v>
      </c>
      <c r="I23" t="n" s="6490">
        <v>58.06</v>
      </c>
      <c r="J23" t="n" s="6491">
        <v>0.0</v>
      </c>
      <c r="K23" t="n" s="6492">
        <v>850.0</v>
      </c>
      <c r="L23" t="n" s="6493">
        <v>0.0</v>
      </c>
      <c r="M23" t="n" s="6494">
        <v>0.0</v>
      </c>
      <c r="N23" t="n" s="6495">
        <v>0.0</v>
      </c>
      <c r="O23" t="n" s="6496">
        <v>0.0</v>
      </c>
      <c r="P23" t="n" s="6497">
        <v>7.0</v>
      </c>
      <c r="Q23" t="n" s="6498">
        <v>55.51</v>
      </c>
      <c r="R23" t="n" s="6499">
        <v>16.0</v>
      </c>
      <c r="S23" t="n" s="6500">
        <v>169.28</v>
      </c>
      <c r="T23" t="n" s="6501">
        <v>0.0</v>
      </c>
      <c r="U23" t="n" s="6502">
        <v>0.0</v>
      </c>
      <c r="V23" t="n" s="6503">
        <v>0.0</v>
      </c>
      <c r="W23" s="6504">
        <f>q23+s23+u23+v23</f>
      </c>
      <c r="X23" t="n" s="6505">
        <v>0.0</v>
      </c>
      <c r="Y23" t="n" s="6506">
        <v>0.0</v>
      </c>
      <c r="Z23" t="n" s="6507">
        <v>0.0</v>
      </c>
      <c r="AA23" s="6508">
        <f>h23+i23+j23+k23+l23+m23+n23+o23+w23+x23+y23+z23</f>
      </c>
      <c r="AB23" t="n" s="6509">
        <v>203.0</v>
      </c>
      <c r="AC23" t="n" s="6510">
        <v>30.65</v>
      </c>
      <c r="AD23" t="n" s="6511">
        <v>3.5</v>
      </c>
      <c r="AE23" t="n" s="6512">
        <v>80.0</v>
      </c>
      <c r="AF23" s="6513">
        <f>ROUND((aa23+ab23+ac23+ad23+ae23),2)</f>
      </c>
      <c r="AG23" s="6514">
        <f>ae23*0.06</f>
      </c>
      <c r="AH23" s="6515">
        <f>af23+ag23</f>
      </c>
      <c r="AI23" t="s" s="6516">
        <v>0</v>
      </c>
    </row>
    <row r="24" ht="15.0" customHeight="true">
      <c r="A24" t="s" s="6517">
        <v>241</v>
      </c>
      <c r="B24" t="s" s="6518">
        <v>242</v>
      </c>
      <c r="C24" t="s" s="6519">
        <v>243</v>
      </c>
      <c r="D24" t="s" s="6520">
        <v>244</v>
      </c>
      <c r="E24" t="s" s="6521">
        <v>180</v>
      </c>
      <c r="F24" t="n" s="6522">
        <v>43661.0</v>
      </c>
      <c r="G24" t="s" s="6523">
        <v>0</v>
      </c>
      <c r="H24" t="n" s="6524">
        <v>1200.0</v>
      </c>
      <c r="I24" t="n" s="6525">
        <v>100.0</v>
      </c>
      <c r="J24" t="n" s="6526">
        <v>0.0</v>
      </c>
      <c r="K24" t="n" s="6527">
        <v>1200.0</v>
      </c>
      <c r="L24" t="n" s="6528">
        <v>0.0</v>
      </c>
      <c r="M24" t="n" s="6529">
        <v>0.0</v>
      </c>
      <c r="N24" t="n" s="6530">
        <v>0.0</v>
      </c>
      <c r="O24" t="n" s="6531">
        <v>0.0</v>
      </c>
      <c r="P24" t="n" s="6532">
        <v>5.0</v>
      </c>
      <c r="Q24" t="n" s="6533">
        <v>43.25</v>
      </c>
      <c r="R24" t="n" s="6534">
        <v>16.0</v>
      </c>
      <c r="S24" t="n" s="6535">
        <v>184.64</v>
      </c>
      <c r="T24" t="n" s="6536">
        <v>0.0</v>
      </c>
      <c r="U24" t="n" s="6537">
        <v>0.0</v>
      </c>
      <c r="V24" t="n" s="6538">
        <v>0.0</v>
      </c>
      <c r="W24" s="6539">
        <f>q24+s24+u24+v24</f>
      </c>
      <c r="X24" t="n" s="6540">
        <v>0.0</v>
      </c>
      <c r="Y24" t="n" s="6541">
        <v>0.0</v>
      </c>
      <c r="Z24" t="n" s="6542">
        <v>0.0</v>
      </c>
      <c r="AA24" s="6543">
        <f>h24+i24+j24+k24+l24+m24+n24+o24+w24+x24+y24+z24</f>
      </c>
      <c r="AB24" t="n" s="6544">
        <v>325.0</v>
      </c>
      <c r="AC24" t="n" s="6545">
        <v>48.15</v>
      </c>
      <c r="AD24" t="n" s="6546">
        <v>5.5</v>
      </c>
      <c r="AE24" t="n" s="6547">
        <v>80.0</v>
      </c>
      <c r="AF24" s="6548">
        <f>ROUND((aa24+ab24+ac24+ad24+ae24),2)</f>
      </c>
      <c r="AG24" s="6549">
        <f>ae24*0.06</f>
      </c>
      <c r="AH24" s="6550">
        <f>af24+ag24</f>
      </c>
      <c r="AI24" t="s" s="6551">
        <v>0</v>
      </c>
    </row>
    <row r="25" ht="15.0" customHeight="true">
      <c r="A25" t="s" s="6552">
        <v>0</v>
      </c>
      <c r="B25" t="s" s="6553">
        <v>0</v>
      </c>
      <c r="C25" t="s" s="6554">
        <v>0</v>
      </c>
      <c r="D25" t="s" s="6555">
        <v>0</v>
      </c>
      <c r="E25" t="s" s="6556">
        <v>0</v>
      </c>
      <c r="F25" t="s" s="6557">
        <v>0</v>
      </c>
      <c r="G25" t="s" s="6558">
        <v>0</v>
      </c>
      <c r="H25" s="6559">
        <f>SUM(h8:h24)</f>
      </c>
      <c r="I25" s="6560">
        <f>SUM(i8:i24)</f>
      </c>
      <c r="J25" s="6561">
        <f>SUM(j8:j24)</f>
      </c>
      <c r="K25" s="6562">
        <f>SUM(k8:k24)</f>
      </c>
      <c r="L25" s="6563">
        <f>SUM(l8:l24)</f>
      </c>
      <c r="M25" s="6564">
        <f>SUM(m8:m24)</f>
      </c>
      <c r="N25" s="6565">
        <f>SUM(n8:n24)</f>
      </c>
      <c r="O25" s="6566">
        <f>SUM(o8:o24)</f>
      </c>
      <c r="P25" s="6567">
        <f>SUM(p8:p24)</f>
      </c>
      <c r="Q25" s="6568">
        <f>SUM(q8:q24)</f>
      </c>
      <c r="R25" s="6569">
        <f>SUM(r8:r24)</f>
      </c>
      <c r="S25" s="6570">
        <f>SUM(s8:s24)</f>
      </c>
      <c r="T25" s="6571">
        <f>SUM(t8:t24)</f>
      </c>
      <c r="U25" s="6572">
        <f>SUM(u8:u24)</f>
      </c>
      <c r="V25" s="6573">
        <f>SUM(v8:v24)</f>
      </c>
      <c r="W25" s="6574">
        <f>SUM(w8:w24)</f>
      </c>
      <c r="X25" s="6575">
        <f>SUM(x8:x24)</f>
      </c>
      <c r="Y25" s="6576">
        <f>SUM(y8:y24)</f>
      </c>
      <c r="Z25" s="6577">
        <f>SUM(z8:z24)</f>
      </c>
      <c r="AA25" s="6578">
        <f>SUM(aa8:aa24)</f>
      </c>
      <c r="AB25" s="6579">
        <f>SUM(ab8:ab24)</f>
      </c>
      <c r="AC25" s="6580">
        <f>SUM(ac8:ac24)</f>
      </c>
      <c r="AD25" s="6581">
        <f>SUM(ad8:ad24)</f>
      </c>
      <c r="AE25" s="6582">
        <f>SUM(ae8:ae24)</f>
      </c>
      <c r="AF25" s="6583">
        <f>SUM(af8:af24)</f>
      </c>
      <c r="AG25" s="6584">
        <f>SUM(ag8:ag24)</f>
      </c>
      <c r="AH25" s="6585">
        <f>SUM(ah8:ah24)</f>
      </c>
      <c r="AI25" t="s" s="6586">
        <v>0</v>
      </c>
    </row>
    <row r="26" ht="15.0" customHeight="true"/>
    <row r="27" ht="15.0" customHeight="true">
      <c r="A27" t="s" s="6587">
        <v>0</v>
      </c>
      <c r="B27" t="s" s="6588">
        <v>0</v>
      </c>
      <c r="C27" t="s" s="6589">
        <v>323</v>
      </c>
    </row>
    <row r="28" ht="15.0" customHeight="true">
      <c r="C28" s="6590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6591">
        <v>0</v>
      </c>
      <c r="B1" t="s" s="6592">
        <v>0</v>
      </c>
      <c r="C1" t="s" s="6593">
        <v>1</v>
      </c>
    </row>
    <row r="2" ht="15.0" customHeight="true">
      <c r="A2" t="s" s="6594">
        <v>0</v>
      </c>
      <c r="B2" t="s" s="6595">
        <v>0</v>
      </c>
      <c r="C2" t="s" s="6596">
        <v>2</v>
      </c>
    </row>
    <row r="3" ht="15.0" customHeight="true">
      <c r="A3" t="s" s="6597">
        <v>0</v>
      </c>
      <c r="B3" t="s" s="6598">
        <v>0</v>
      </c>
      <c r="C3" t="s" s="6599">
        <v>3</v>
      </c>
    </row>
    <row r="4" ht="15.0" customHeight="true">
      <c r="A4" t="s" s="6600">
        <v>0</v>
      </c>
      <c r="B4" t="s" s="6601">
        <v>0</v>
      </c>
      <c r="C4" t="s" s="6602">
        <v>4</v>
      </c>
      <c r="D4" t="s" s="6603">
        <v>0</v>
      </c>
      <c r="E4" t="s" s="6604">
        <v>0</v>
      </c>
      <c r="F4" t="s" s="6605">
        <v>0</v>
      </c>
      <c r="G4" t="s" s="6606">
        <v>0</v>
      </c>
      <c r="H4" t="s" s="6607">
        <v>0</v>
      </c>
      <c r="I4" t="s" s="6608">
        <v>0</v>
      </c>
      <c r="J4" t="s" s="6609">
        <v>0</v>
      </c>
      <c r="K4" t="s" s="6610">
        <v>0</v>
      </c>
      <c r="L4" t="s" s="6611">
        <v>0</v>
      </c>
      <c r="M4" t="s" s="6612">
        <v>0</v>
      </c>
      <c r="N4" t="s" s="6613">
        <v>0</v>
      </c>
      <c r="O4" t="s" s="6614">
        <v>0</v>
      </c>
      <c r="P4" t="s" s="6615">
        <v>0</v>
      </c>
      <c r="Q4" t="s" s="6616">
        <v>0</v>
      </c>
      <c r="R4" t="s" s="6617">
        <v>0</v>
      </c>
      <c r="S4" t="s" s="6618">
        <v>0</v>
      </c>
      <c r="T4" t="s" s="6619">
        <v>0</v>
      </c>
      <c r="U4" t="s" s="6620">
        <v>0</v>
      </c>
      <c r="V4" t="s" s="6621">
        <v>0</v>
      </c>
      <c r="W4" t="s" s="6622">
        <v>0</v>
      </c>
      <c r="X4" t="s" s="6623">
        <v>0</v>
      </c>
      <c r="Y4" t="s" s="6624">
        <v>0</v>
      </c>
      <c r="Z4" t="s" s="6625">
        <v>0</v>
      </c>
      <c r="AA4" t="s" s="6626">
        <v>0</v>
      </c>
      <c r="AB4" t="s" s="6627">
        <v>0</v>
      </c>
      <c r="AC4" t="s" s="6628">
        <v>5</v>
      </c>
      <c r="AD4" t="n" s="6629">
        <v>2019.0</v>
      </c>
    </row>
    <row r="5" ht="15.0" customHeight="true">
      <c r="A5" t="s" s="6630">
        <v>0</v>
      </c>
      <c r="B5" t="s" s="6631">
        <v>0</v>
      </c>
      <c r="C5" t="s" s="6632">
        <v>0</v>
      </c>
      <c r="D5" t="s" s="6633">
        <v>0</v>
      </c>
      <c r="E5" t="s" s="6634">
        <v>0</v>
      </c>
      <c r="F5" t="s" s="6635">
        <v>0</v>
      </c>
      <c r="G5" t="s" s="6636">
        <v>0</v>
      </c>
      <c r="H5" t="s" s="6637">
        <v>0</v>
      </c>
      <c r="I5" t="s" s="6638">
        <v>0</v>
      </c>
      <c r="J5" t="s" s="6639">
        <v>0</v>
      </c>
      <c r="K5" t="s" s="6640">
        <v>0</v>
      </c>
      <c r="L5" t="s" s="6641">
        <v>0</v>
      </c>
      <c r="M5" t="s" s="6642">
        <v>0</v>
      </c>
      <c r="N5" t="s" s="6643">
        <v>0</v>
      </c>
      <c r="O5" t="s" s="6644">
        <v>0</v>
      </c>
      <c r="P5" t="s" s="6645">
        <v>0</v>
      </c>
      <c r="Q5" t="s" s="6646">
        <v>0</v>
      </c>
      <c r="R5" t="s" s="6647">
        <v>0</v>
      </c>
      <c r="S5" t="s" s="6648">
        <v>0</v>
      </c>
      <c r="T5" t="s" s="6649">
        <v>0</v>
      </c>
      <c r="U5" t="s" s="6650">
        <v>0</v>
      </c>
      <c r="V5" t="s" s="6651">
        <v>0</v>
      </c>
      <c r="W5" t="s" s="6652">
        <v>0</v>
      </c>
      <c r="X5" t="s" s="6653">
        <v>0</v>
      </c>
      <c r="Y5" t="s" s="6654">
        <v>0</v>
      </c>
      <c r="Z5" t="s" s="6655">
        <v>0</v>
      </c>
      <c r="AA5" t="s" s="6656">
        <v>0</v>
      </c>
      <c r="AB5" t="s" s="6657">
        <v>0</v>
      </c>
      <c r="AC5" t="s" s="6658">
        <v>6</v>
      </c>
      <c r="AD5" t="n" s="6659">
        <v>2019.0</v>
      </c>
    </row>
    <row r="6" ht="15.0" customHeight="true"/>
    <row r="7" ht="35.0" customHeight="true">
      <c r="A7" t="s" s="6660">
        <v>7</v>
      </c>
      <c r="B7" t="s" s="6661">
        <v>8</v>
      </c>
      <c r="C7" t="s" s="6662">
        <v>9</v>
      </c>
      <c r="D7" t="s" s="6663">
        <v>10</v>
      </c>
      <c r="E7" t="s" s="6664">
        <v>11</v>
      </c>
      <c r="F7" t="s" s="6665">
        <v>12</v>
      </c>
      <c r="G7" t="s" s="6666">
        <v>13</v>
      </c>
      <c r="H7" t="s" s="6667">
        <v>14</v>
      </c>
      <c r="I7" t="s" s="6668">
        <v>15</v>
      </c>
      <c r="J7" t="s" s="6669">
        <v>16</v>
      </c>
      <c r="K7" t="s" s="6670">
        <v>17</v>
      </c>
      <c r="L7" t="s" s="6671">
        <v>18</v>
      </c>
      <c r="M7" t="s" s="6672">
        <v>19</v>
      </c>
      <c r="N7" t="s" s="6673">
        <v>20</v>
      </c>
      <c r="O7" t="s" s="6674">
        <v>21</v>
      </c>
      <c r="P7" t="s" s="6675">
        <v>22</v>
      </c>
      <c r="Q7" t="s" s="6676">
        <v>23</v>
      </c>
      <c r="R7" t="s" s="6677">
        <v>24</v>
      </c>
      <c r="S7" t="s" s="6678">
        <v>25</v>
      </c>
      <c r="T7" t="s" s="6679">
        <v>26</v>
      </c>
      <c r="U7" t="s" s="6680">
        <v>27</v>
      </c>
      <c r="V7" t="s" s="6681">
        <v>28</v>
      </c>
      <c r="W7" t="s" s="6682">
        <v>29</v>
      </c>
      <c r="X7" t="s" s="6683">
        <v>30</v>
      </c>
      <c r="Y7" t="s" s="6684">
        <v>31</v>
      </c>
      <c r="Z7" t="s" s="6685">
        <v>32</v>
      </c>
      <c r="AA7" t="s" s="6686">
        <v>33</v>
      </c>
      <c r="AB7" t="s" s="6687">
        <v>34</v>
      </c>
      <c r="AC7" t="s" s="6688">
        <v>35</v>
      </c>
      <c r="AD7" t="s" s="6689">
        <v>36</v>
      </c>
      <c r="AE7" t="s" s="6690">
        <v>37</v>
      </c>
      <c r="AF7" t="s" s="6691">
        <v>38</v>
      </c>
      <c r="AG7" t="s" s="6692">
        <v>39</v>
      </c>
      <c r="AH7" t="s" s="6693">
        <v>40</v>
      </c>
      <c r="AI7" t="s" s="6694">
        <v>41</v>
      </c>
    </row>
    <row r="8" ht="15.0" customHeight="true">
      <c r="A8" t="s" s="6695">
        <v>245</v>
      </c>
      <c r="B8" t="s" s="6696">
        <v>246</v>
      </c>
      <c r="C8" t="s" s="6697">
        <v>247</v>
      </c>
      <c r="D8" t="s" s="6698">
        <v>248</v>
      </c>
      <c r="E8" t="s" s="6699">
        <v>249</v>
      </c>
      <c r="F8" t="n" s="6700">
        <v>41944.0</v>
      </c>
      <c r="G8" t="s" s="6701">
        <v>0</v>
      </c>
      <c r="H8" t="n" s="6702">
        <v>1590.0</v>
      </c>
      <c r="I8" t="n" s="6703">
        <v>100.0</v>
      </c>
      <c r="J8" t="n" s="6704">
        <v>0.0</v>
      </c>
      <c r="K8" t="n" s="6705">
        <v>0.0</v>
      </c>
      <c r="L8" t="n" s="6706">
        <v>0.0</v>
      </c>
      <c r="M8" t="n" s="6707">
        <v>0.0</v>
      </c>
      <c r="N8" t="n" s="6708">
        <v>0.0</v>
      </c>
      <c r="O8" t="n" s="6709">
        <v>0.0</v>
      </c>
      <c r="P8" t="n" s="6710">
        <v>0.0</v>
      </c>
      <c r="Q8" t="n" s="6711">
        <v>0.0</v>
      </c>
      <c r="R8" t="n" s="6712">
        <v>0.0</v>
      </c>
      <c r="S8" t="n" s="6713">
        <v>0.0</v>
      </c>
      <c r="T8" t="n" s="6714">
        <v>0.0</v>
      </c>
      <c r="U8" t="n" s="6715">
        <v>0.0</v>
      </c>
      <c r="V8" t="n" s="6716">
        <v>0.0</v>
      </c>
      <c r="W8" s="6717">
        <f>q8+s8+u8+v8</f>
      </c>
      <c r="X8" t="n" s="6718">
        <v>0.0</v>
      </c>
      <c r="Y8" t="n" s="6719">
        <v>0.0</v>
      </c>
      <c r="Z8" t="n" s="6720">
        <v>0.0</v>
      </c>
      <c r="AA8" s="6721">
        <f>h8+i8+j8+k8+l8+m8+n8+o8+w8+x8+y8+z8</f>
      </c>
      <c r="AB8" t="n" s="6722">
        <v>221.0</v>
      </c>
      <c r="AC8" t="n" s="6723">
        <v>28.85</v>
      </c>
      <c r="AD8" t="n" s="6724">
        <v>3.3</v>
      </c>
      <c r="AE8" t="n" s="6725">
        <v>80.0</v>
      </c>
      <c r="AF8" s="6726">
        <f>ROUND((aa8+ab8+ac8+ad8+ae8),2)</f>
      </c>
      <c r="AG8" s="6727">
        <f>ae8*0.06</f>
      </c>
      <c r="AH8" s="6728">
        <f>af8+ag8</f>
      </c>
      <c r="AI8" t="s" s="6729">
        <v>0</v>
      </c>
    </row>
    <row r="9" ht="15.0" customHeight="true">
      <c r="A9" t="s" s="6730">
        <v>250</v>
      </c>
      <c r="B9" t="s" s="6731">
        <v>251</v>
      </c>
      <c r="C9" t="s" s="6732">
        <v>252</v>
      </c>
      <c r="D9" t="s" s="6733">
        <v>253</v>
      </c>
      <c r="E9" t="s" s="6734">
        <v>249</v>
      </c>
      <c r="F9" t="n" s="6735">
        <v>43556.0</v>
      </c>
      <c r="G9" t="s" s="6736">
        <v>0</v>
      </c>
      <c r="H9" t="n" s="6737">
        <v>1300.0</v>
      </c>
      <c r="I9" t="n" s="6738">
        <v>100.0</v>
      </c>
      <c r="J9" t="n" s="6739">
        <v>0.0</v>
      </c>
      <c r="K9" t="n" s="6740">
        <v>800.0</v>
      </c>
      <c r="L9" t="n" s="6741">
        <v>0.0</v>
      </c>
      <c r="M9" t="n" s="6742">
        <v>0.0</v>
      </c>
      <c r="N9" t="n" s="6743">
        <v>0.0</v>
      </c>
      <c r="O9" t="n" s="6744">
        <v>0.0</v>
      </c>
      <c r="P9" t="n" s="6745">
        <v>0.0</v>
      </c>
      <c r="Q9" t="n" s="6746">
        <v>0.0</v>
      </c>
      <c r="R9" t="n" s="6747">
        <v>16.0</v>
      </c>
      <c r="S9" t="n" s="6748">
        <v>200.0</v>
      </c>
      <c r="T9" t="n" s="6749">
        <v>0.0</v>
      </c>
      <c r="U9" t="n" s="6750">
        <v>0.0</v>
      </c>
      <c r="V9" t="n" s="6751">
        <v>0.0</v>
      </c>
      <c r="W9" s="6752">
        <f>q9+s9+u9+v9</f>
      </c>
      <c r="X9" t="n" s="6753">
        <v>0.0</v>
      </c>
      <c r="Y9" t="n" s="6754">
        <v>0.0</v>
      </c>
      <c r="Z9" t="n" s="6755">
        <v>0.0</v>
      </c>
      <c r="AA9" s="6756">
        <f>h9+i9+j9+k9+l9+m9+n9+o9+w9+x9+y9+z9</f>
      </c>
      <c r="AB9" t="n" s="6757">
        <v>286.0</v>
      </c>
      <c r="AC9" t="n" s="6758">
        <v>41.15</v>
      </c>
      <c r="AD9" t="n" s="6759">
        <v>4.7</v>
      </c>
      <c r="AE9" t="n" s="6760">
        <v>80.0</v>
      </c>
      <c r="AF9" s="6761">
        <f>ROUND((aa9+ab9+ac9+ad9+ae9),2)</f>
      </c>
      <c r="AG9" s="6762">
        <f>ae9*0.06</f>
      </c>
      <c r="AH9" s="6763">
        <f>af9+ag9</f>
      </c>
      <c r="AI9" t="s" s="6764">
        <v>0</v>
      </c>
    </row>
    <row r="10" ht="15.0" customHeight="true">
      <c r="A10" t="s" s="6765">
        <v>254</v>
      </c>
      <c r="B10" t="s" s="6766">
        <v>255</v>
      </c>
      <c r="C10" t="s" s="6767">
        <v>256</v>
      </c>
      <c r="D10" t="s" s="6768">
        <v>257</v>
      </c>
      <c r="E10" t="s" s="6769">
        <v>249</v>
      </c>
      <c r="F10" t="n" s="6770">
        <v>41944.0</v>
      </c>
      <c r="G10" t="s" s="6771">
        <v>0</v>
      </c>
      <c r="H10" t="n" s="6772">
        <v>1910.0</v>
      </c>
      <c r="I10" t="n" s="6773">
        <v>100.0</v>
      </c>
      <c r="J10" t="n" s="6774">
        <v>0.0</v>
      </c>
      <c r="K10" t="n" s="6775">
        <v>1970.0</v>
      </c>
      <c r="L10" t="n" s="6776">
        <v>0.0</v>
      </c>
      <c r="M10" t="n" s="6777">
        <v>10.0</v>
      </c>
      <c r="N10" t="n" s="6778">
        <v>0.0</v>
      </c>
      <c r="O10" t="n" s="6779">
        <v>0.0</v>
      </c>
      <c r="P10" t="n" s="6780">
        <v>0.0</v>
      </c>
      <c r="Q10" t="n" s="6781">
        <v>0.0</v>
      </c>
      <c r="R10" t="n" s="6782">
        <v>16.0</v>
      </c>
      <c r="S10" t="n" s="6783">
        <v>293.92</v>
      </c>
      <c r="T10" t="n" s="6784">
        <v>0.0</v>
      </c>
      <c r="U10" t="n" s="6785">
        <v>0.0</v>
      </c>
      <c r="V10" t="n" s="6786">
        <v>0.0</v>
      </c>
      <c r="W10" s="6787">
        <f>q10+s10+u10+v10</f>
      </c>
      <c r="X10" t="n" s="6788">
        <v>0.0</v>
      </c>
      <c r="Y10" t="n" s="6789">
        <v>0.0</v>
      </c>
      <c r="Z10" t="n" s="6790">
        <v>0.0</v>
      </c>
      <c r="AA10" s="6791">
        <f>h10+i10+j10+k10+l10+m10+n10+o10+w10+x10+y10+z10</f>
      </c>
      <c r="AB10" t="n" s="6792">
        <v>518.0</v>
      </c>
      <c r="AC10" t="n" s="6793">
        <v>69.05</v>
      </c>
      <c r="AD10" t="n" s="6794">
        <v>7.9</v>
      </c>
      <c r="AE10" t="n" s="6795">
        <v>80.0</v>
      </c>
      <c r="AF10" s="6796">
        <f>ROUND((aa10+ab10+ac10+ad10+ae10),2)</f>
      </c>
      <c r="AG10" s="6797">
        <f>ae10*0.06</f>
      </c>
      <c r="AH10" s="6798">
        <f>af10+ag10</f>
      </c>
      <c r="AI10" t="s" s="6799">
        <v>0</v>
      </c>
    </row>
    <row r="11" ht="15.0" customHeight="true">
      <c r="A11" t="s" s="6800">
        <v>258</v>
      </c>
      <c r="B11" t="s" s="6801">
        <v>259</v>
      </c>
      <c r="C11" t="s" s="6802">
        <v>260</v>
      </c>
      <c r="D11" t="s" s="6803">
        <v>261</v>
      </c>
      <c r="E11" t="s" s="6804">
        <v>249</v>
      </c>
      <c r="F11" t="n" s="6805">
        <v>41944.0</v>
      </c>
      <c r="G11" t="s" s="6806">
        <v>0</v>
      </c>
      <c r="H11" t="n" s="6807">
        <v>1610.0</v>
      </c>
      <c r="I11" t="n" s="6808">
        <v>100.0</v>
      </c>
      <c r="J11" t="n" s="6809">
        <v>0.0</v>
      </c>
      <c r="K11" t="n" s="6810">
        <v>1650.0</v>
      </c>
      <c r="L11" t="n" s="6811">
        <v>0.0</v>
      </c>
      <c r="M11" t="n" s="6812">
        <v>0.0</v>
      </c>
      <c r="N11" t="n" s="6813">
        <v>0.0</v>
      </c>
      <c r="O11" t="n" s="6814">
        <v>0.0</v>
      </c>
      <c r="P11" t="n" s="6815">
        <v>0.0</v>
      </c>
      <c r="Q11" t="n" s="6816">
        <v>0.0</v>
      </c>
      <c r="R11" t="n" s="6817">
        <v>16.0</v>
      </c>
      <c r="S11" t="n" s="6818">
        <v>247.68</v>
      </c>
      <c r="T11" t="n" s="6819">
        <v>0.0</v>
      </c>
      <c r="U11" t="n" s="6820">
        <v>0.0</v>
      </c>
      <c r="V11" t="n" s="6821">
        <v>0.0</v>
      </c>
      <c r="W11" s="6822">
        <f>q11+s11+u11+v11</f>
      </c>
      <c r="X11" t="n" s="6823">
        <v>0.0</v>
      </c>
      <c r="Y11" t="n" s="6824">
        <v>0.0</v>
      </c>
      <c r="Z11" t="n" s="6825">
        <v>0.0</v>
      </c>
      <c r="AA11" s="6826">
        <f>h11+i11+j11+k11+l11+m11+n11+o11+w11+x11+y11+z11</f>
      </c>
      <c r="AB11" t="n" s="6827">
        <v>437.0</v>
      </c>
      <c r="AC11" t="n" s="6828">
        <v>63.85</v>
      </c>
      <c r="AD11" t="n" s="6829">
        <v>7.3</v>
      </c>
      <c r="AE11" t="n" s="6830">
        <v>80.0</v>
      </c>
      <c r="AF11" s="6831">
        <f>ROUND((aa11+ab11+ac11+ad11+ae11),2)</f>
      </c>
      <c r="AG11" s="6832">
        <f>ae11*0.06</f>
      </c>
      <c r="AH11" s="6833">
        <f>af11+ag11</f>
      </c>
      <c r="AI11" t="s" s="6834">
        <v>0</v>
      </c>
    </row>
    <row r="12" ht="15.0" customHeight="true">
      <c r="A12" t="s" s="6835">
        <v>262</v>
      </c>
      <c r="B12" t="s" s="6836">
        <v>263</v>
      </c>
      <c r="C12" t="s" s="6837">
        <v>264</v>
      </c>
      <c r="D12" t="s" s="6838">
        <v>265</v>
      </c>
      <c r="E12" t="s" s="6839">
        <v>249</v>
      </c>
      <c r="F12" t="n" s="6840">
        <v>41944.0</v>
      </c>
      <c r="G12" t="s" s="6841">
        <v>0</v>
      </c>
      <c r="H12" t="n" s="6842">
        <v>1460.0</v>
      </c>
      <c r="I12" t="n" s="6843">
        <v>100.0</v>
      </c>
      <c r="J12" t="n" s="6844">
        <v>0.0</v>
      </c>
      <c r="K12" t="n" s="6845">
        <v>59.0</v>
      </c>
      <c r="L12" t="n" s="6846">
        <v>0.0</v>
      </c>
      <c r="M12" t="n" s="6847">
        <v>10.0</v>
      </c>
      <c r="N12" t="n" s="6848">
        <v>0.0</v>
      </c>
      <c r="O12" t="n" s="6849">
        <v>0.0</v>
      </c>
      <c r="P12" t="n" s="6850">
        <v>0.0</v>
      </c>
      <c r="Q12" t="n" s="6851">
        <v>0.0</v>
      </c>
      <c r="R12" t="n" s="6852">
        <v>16.0</v>
      </c>
      <c r="S12" t="n" s="6853">
        <v>224.64</v>
      </c>
      <c r="T12" t="n" s="6854">
        <v>12.0</v>
      </c>
      <c r="U12" t="n" s="6855">
        <v>252.72</v>
      </c>
      <c r="V12" t="n" s="6856">
        <v>0.0</v>
      </c>
      <c r="W12" s="6857">
        <f>q12+s12+u12+v12</f>
      </c>
      <c r="X12" t="n" s="6858">
        <v>0.0</v>
      </c>
      <c r="Y12" t="n" s="6859">
        <v>0.0</v>
      </c>
      <c r="Z12" t="n" s="6860">
        <v>0.0</v>
      </c>
      <c r="AA12" s="6861">
        <f>h12+i12+j12+k12+l12+m12+n12+o12+w12+x12+y12+z12</f>
      </c>
      <c r="AB12" t="n" s="6862">
        <v>211.0</v>
      </c>
      <c r="AC12" t="n" s="6863">
        <v>35.85</v>
      </c>
      <c r="AD12" t="n" s="6864">
        <v>4.1</v>
      </c>
      <c r="AE12" t="n" s="6865">
        <v>80.0</v>
      </c>
      <c r="AF12" s="6866">
        <f>ROUND((aa12+ab12+ac12+ad12+ae12),2)</f>
      </c>
      <c r="AG12" s="6867">
        <f>ae12*0.06</f>
      </c>
      <c r="AH12" s="6868">
        <f>af12+ag12</f>
      </c>
      <c r="AI12" t="s" s="6869">
        <v>0</v>
      </c>
    </row>
    <row r="13" ht="15.0" customHeight="true">
      <c r="A13" t="s" s="6870">
        <v>266</v>
      </c>
      <c r="B13" t="s" s="6871">
        <v>267</v>
      </c>
      <c r="C13" t="s" s="6872">
        <v>268</v>
      </c>
      <c r="D13" t="s" s="6873">
        <v>269</v>
      </c>
      <c r="E13" t="s" s="6874">
        <v>249</v>
      </c>
      <c r="F13" t="n" s="6875">
        <v>42005.0</v>
      </c>
      <c r="G13" t="s" s="6876">
        <v>0</v>
      </c>
      <c r="H13" t="n" s="6877">
        <v>1930.0</v>
      </c>
      <c r="I13" t="n" s="6878">
        <v>100.0</v>
      </c>
      <c r="J13" t="n" s="6879">
        <v>0.0</v>
      </c>
      <c r="K13" t="n" s="6880">
        <v>800.0</v>
      </c>
      <c r="L13" t="n" s="6881">
        <v>0.0</v>
      </c>
      <c r="M13" t="n" s="6882">
        <v>12.0</v>
      </c>
      <c r="N13" t="n" s="6883">
        <v>0.0</v>
      </c>
      <c r="O13" t="n" s="6884">
        <v>0.0</v>
      </c>
      <c r="P13" t="n" s="6885">
        <v>0.0</v>
      </c>
      <c r="Q13" t="n" s="6886">
        <v>0.0</v>
      </c>
      <c r="R13" t="n" s="6887">
        <v>16.0</v>
      </c>
      <c r="S13" t="n" s="6888">
        <v>296.96</v>
      </c>
      <c r="T13" t="n" s="6889">
        <v>0.0</v>
      </c>
      <c r="U13" t="n" s="6890">
        <v>0.0</v>
      </c>
      <c r="V13" t="n" s="6891">
        <v>0.0</v>
      </c>
      <c r="W13" s="6892">
        <f>q13+s13+u13+v13</f>
      </c>
      <c r="X13" t="n" s="6893">
        <v>0.0</v>
      </c>
      <c r="Y13" t="n" s="6894">
        <v>0.0</v>
      </c>
      <c r="Z13" t="n" s="6895">
        <v>0.0</v>
      </c>
      <c r="AA13" s="6896">
        <f>h13+i13+j13+k13+l13+m13+n13+o13+w13+x13+y13+z13</f>
      </c>
      <c r="AB13" t="n" s="6897">
        <v>370.0</v>
      </c>
      <c r="AC13" t="n" s="6898">
        <v>55.15</v>
      </c>
      <c r="AD13" t="n" s="6899">
        <v>6.3</v>
      </c>
      <c r="AE13" t="n" s="6900">
        <v>80.0</v>
      </c>
      <c r="AF13" s="6901">
        <f>ROUND((aa13+ab13+ac13+ad13+ae13),2)</f>
      </c>
      <c r="AG13" s="6902">
        <f>ae13*0.06</f>
      </c>
      <c r="AH13" s="6903">
        <f>af13+ag13</f>
      </c>
      <c r="AI13" t="s" s="6904">
        <v>0</v>
      </c>
    </row>
    <row r="14" ht="15.0" customHeight="true">
      <c r="A14" t="s" s="6905">
        <v>270</v>
      </c>
      <c r="B14" t="s" s="6906">
        <v>271</v>
      </c>
      <c r="C14" t="s" s="6907">
        <v>272</v>
      </c>
      <c r="D14" t="s" s="6908">
        <v>273</v>
      </c>
      <c r="E14" t="s" s="6909">
        <v>249</v>
      </c>
      <c r="F14" t="n" s="6910">
        <v>41944.0</v>
      </c>
      <c r="G14" t="s" s="6911">
        <v>0</v>
      </c>
      <c r="H14" t="n" s="6912">
        <v>1660.0</v>
      </c>
      <c r="I14" t="n" s="6913">
        <v>100.0</v>
      </c>
      <c r="J14" t="n" s="6914">
        <v>0.0</v>
      </c>
      <c r="K14" t="n" s="6915">
        <v>1530.0</v>
      </c>
      <c r="L14" t="n" s="6916">
        <v>0.0</v>
      </c>
      <c r="M14" t="n" s="6917">
        <v>10.0</v>
      </c>
      <c r="N14" t="n" s="6918">
        <v>0.0</v>
      </c>
      <c r="O14" t="n" s="6919">
        <v>0.0</v>
      </c>
      <c r="P14" t="n" s="6920">
        <v>4.0</v>
      </c>
      <c r="Q14" t="n" s="6921">
        <v>47.88</v>
      </c>
      <c r="R14" t="n" s="6922">
        <v>16.0</v>
      </c>
      <c r="S14" t="n" s="6923">
        <v>255.36</v>
      </c>
      <c r="T14" t="n" s="6924">
        <v>4.0</v>
      </c>
      <c r="U14" t="n" s="6925">
        <v>95.76</v>
      </c>
      <c r="V14" t="n" s="6926">
        <v>0.0</v>
      </c>
      <c r="W14" s="6927">
        <f>q14+s14+u14+v14</f>
      </c>
      <c r="X14" t="n" s="6928">
        <v>0.0</v>
      </c>
      <c r="Y14" t="n" s="6929">
        <v>0.0</v>
      </c>
      <c r="Z14" t="n" s="6930">
        <v>0.0</v>
      </c>
      <c r="AA14" s="6931">
        <f>h14+i14+j14+k14+l14+m14+n14+o14+w14+x14+y14+z14</f>
      </c>
      <c r="AB14" t="n" s="6932">
        <v>429.0</v>
      </c>
      <c r="AC14" t="n" s="6933">
        <v>63.85</v>
      </c>
      <c r="AD14" t="n" s="6934">
        <v>7.3</v>
      </c>
      <c r="AE14" t="n" s="6935">
        <v>80.0</v>
      </c>
      <c r="AF14" s="6936">
        <f>ROUND((aa14+ab14+ac14+ad14+ae14),2)</f>
      </c>
      <c r="AG14" s="6937">
        <f>ae14*0.06</f>
      </c>
      <c r="AH14" s="6938">
        <f>af14+ag14</f>
      </c>
      <c r="AI14" t="s" s="6939">
        <v>0</v>
      </c>
    </row>
    <row r="15" ht="15.0" customHeight="true">
      <c r="A15" t="s" s="6940">
        <v>274</v>
      </c>
      <c r="B15" t="s" s="6941">
        <v>275</v>
      </c>
      <c r="C15" t="s" s="6942">
        <v>276</v>
      </c>
      <c r="D15" t="s" s="6943">
        <v>277</v>
      </c>
      <c r="E15" t="s" s="6944">
        <v>249</v>
      </c>
      <c r="F15" t="n" s="6945">
        <v>42905.0</v>
      </c>
      <c r="G15" t="s" s="6946">
        <v>0</v>
      </c>
      <c r="H15" t="n" s="6947">
        <v>1230.0</v>
      </c>
      <c r="I15" t="n" s="6948">
        <v>100.0</v>
      </c>
      <c r="J15" t="n" s="6949">
        <v>0.0</v>
      </c>
      <c r="K15" t="n" s="6950">
        <v>1300.0</v>
      </c>
      <c r="L15" t="n" s="6951">
        <v>0.0</v>
      </c>
      <c r="M15" t="n" s="6952">
        <v>0.0</v>
      </c>
      <c r="N15" t="n" s="6953">
        <v>0.0</v>
      </c>
      <c r="O15" t="n" s="6954">
        <v>0.0</v>
      </c>
      <c r="P15" t="n" s="6955">
        <v>0.0</v>
      </c>
      <c r="Q15" t="n" s="6956">
        <v>0.0</v>
      </c>
      <c r="R15" t="n" s="6957">
        <v>16.0</v>
      </c>
      <c r="S15" t="n" s="6958">
        <v>189.28</v>
      </c>
      <c r="T15" t="n" s="6959">
        <v>0.0</v>
      </c>
      <c r="U15" t="n" s="6960">
        <v>0.0</v>
      </c>
      <c r="V15" t="n" s="6961">
        <v>0.0</v>
      </c>
      <c r="W15" s="6962">
        <f>q15+s15+u15+v15</f>
      </c>
      <c r="X15" t="n" s="6963">
        <v>0.0</v>
      </c>
      <c r="Y15" t="n" s="6964">
        <v>0.0</v>
      </c>
      <c r="Z15" t="n" s="6965">
        <v>0.0</v>
      </c>
      <c r="AA15" s="6966">
        <f>h15+i15+j15+k15+l15+m15+n15+o15+w15+x15+y15+z15</f>
      </c>
      <c r="AB15" t="n" s="6967">
        <v>344.0</v>
      </c>
      <c r="AC15" t="n" s="6968">
        <v>49.85</v>
      </c>
      <c r="AD15" t="n" s="6969">
        <v>5.7</v>
      </c>
      <c r="AE15" t="n" s="6970">
        <v>80.0</v>
      </c>
      <c r="AF15" s="6971">
        <f>ROUND((aa15+ab15+ac15+ad15+ae15),2)</f>
      </c>
      <c r="AG15" s="6972">
        <f>ae15*0.06</f>
      </c>
      <c r="AH15" s="6973">
        <f>af15+ag15</f>
      </c>
      <c r="AI15" t="s" s="6974">
        <v>0</v>
      </c>
    </row>
    <row r="16" ht="15.0" customHeight="true">
      <c r="A16" t="s" s="6975">
        <v>278</v>
      </c>
      <c r="B16" t="s" s="6976">
        <v>279</v>
      </c>
      <c r="C16" t="s" s="6977">
        <v>280</v>
      </c>
      <c r="D16" t="s" s="6978">
        <v>281</v>
      </c>
      <c r="E16" t="s" s="6979">
        <v>249</v>
      </c>
      <c r="F16" t="n" s="6980">
        <v>43054.0</v>
      </c>
      <c r="G16" t="s" s="6981">
        <v>0</v>
      </c>
      <c r="H16" t="n" s="6982">
        <v>1370.0</v>
      </c>
      <c r="I16" t="n" s="6983">
        <v>100.0</v>
      </c>
      <c r="J16" t="n" s="6984">
        <v>0.0</v>
      </c>
      <c r="K16" t="n" s="6985">
        <v>170.0</v>
      </c>
      <c r="L16" t="n" s="6986">
        <v>0.0</v>
      </c>
      <c r="M16" t="n" s="6987">
        <v>10.0</v>
      </c>
      <c r="N16" t="n" s="6988">
        <v>0.0</v>
      </c>
      <c r="O16" t="n" s="6989">
        <v>0.0</v>
      </c>
      <c r="P16" t="n" s="6990">
        <v>0.0</v>
      </c>
      <c r="Q16" t="n" s="6991">
        <v>0.0</v>
      </c>
      <c r="R16" t="n" s="6992">
        <v>16.0</v>
      </c>
      <c r="S16" t="n" s="6993">
        <v>210.72</v>
      </c>
      <c r="T16" t="n" s="6994">
        <v>0.0</v>
      </c>
      <c r="U16" t="n" s="6995">
        <v>0.0</v>
      </c>
      <c r="V16" t="n" s="6996">
        <v>0.0</v>
      </c>
      <c r="W16" s="6997">
        <f>q16+s16+u16+v16</f>
      </c>
      <c r="X16" t="n" s="6998">
        <v>0.0</v>
      </c>
      <c r="Y16" t="n" s="6999">
        <v>0.0</v>
      </c>
      <c r="Z16" t="n" s="7000">
        <v>0.0</v>
      </c>
      <c r="AA16" s="7001">
        <f>h16+i16+j16+k16+l16+m16+n16+o16+w16+x16+y16+z16</f>
      </c>
      <c r="AB16" t="n" s="7002">
        <v>214.0</v>
      </c>
      <c r="AC16" t="n" s="7003">
        <v>32.35</v>
      </c>
      <c r="AD16" t="n" s="7004">
        <v>3.7</v>
      </c>
      <c r="AE16" t="n" s="7005">
        <v>80.0</v>
      </c>
      <c r="AF16" s="7006">
        <f>ROUND((aa16+ab16+ac16+ad16+ae16),2)</f>
      </c>
      <c r="AG16" s="7007">
        <f>ae16*0.06</f>
      </c>
      <c r="AH16" s="7008">
        <f>af16+ag16</f>
      </c>
      <c r="AI16" t="s" s="7009">
        <v>0</v>
      </c>
    </row>
    <row r="17" ht="15.0" customHeight="true">
      <c r="A17" t="s" s="7010">
        <v>282</v>
      </c>
      <c r="B17" t="s" s="7011">
        <v>283</v>
      </c>
      <c r="C17" t="s" s="7012">
        <v>284</v>
      </c>
      <c r="D17" t="s" s="7013">
        <v>285</v>
      </c>
      <c r="E17" t="s" s="7014">
        <v>249</v>
      </c>
      <c r="F17" t="n" s="7015">
        <v>43221.0</v>
      </c>
      <c r="G17" t="s" s="7016">
        <v>0</v>
      </c>
      <c r="H17" t="n" s="7017">
        <v>1800.0</v>
      </c>
      <c r="I17" t="n" s="7018">
        <v>100.0</v>
      </c>
      <c r="J17" t="n" s="7019">
        <v>0.0</v>
      </c>
      <c r="K17" t="n" s="7020">
        <v>0.0</v>
      </c>
      <c r="L17" t="n" s="7021">
        <v>0.0</v>
      </c>
      <c r="M17" t="n" s="7022">
        <v>0.0</v>
      </c>
      <c r="N17" t="n" s="7023">
        <v>0.0</v>
      </c>
      <c r="O17" t="n" s="7024">
        <v>0.0</v>
      </c>
      <c r="P17" t="n" s="7025">
        <v>0.0</v>
      </c>
      <c r="Q17" t="n" s="7026">
        <v>0.0</v>
      </c>
      <c r="R17" t="n" s="7027">
        <v>16.0</v>
      </c>
      <c r="S17" t="n" s="7028">
        <v>276.96</v>
      </c>
      <c r="T17" t="n" s="7029">
        <v>0.0</v>
      </c>
      <c r="U17" t="n" s="7030">
        <v>0.0</v>
      </c>
      <c r="V17" t="n" s="7031">
        <v>0.0</v>
      </c>
      <c r="W17" s="7032">
        <f>q17+s17+u17+v17</f>
      </c>
      <c r="X17" t="n" s="7033">
        <v>0.0</v>
      </c>
      <c r="Y17" t="n" s="7034">
        <v>0.0</v>
      </c>
      <c r="Z17" t="n" s="7035">
        <v>0.0</v>
      </c>
      <c r="AA17" s="7036">
        <f>h17+i17+j17+k17+l17+m17+n17+o17+w17+x17+y17+z17</f>
      </c>
      <c r="AB17" t="n" s="7037">
        <v>247.0</v>
      </c>
      <c r="AC17" t="n" s="7038">
        <v>37.65</v>
      </c>
      <c r="AD17" t="n" s="7039">
        <v>4.3</v>
      </c>
      <c r="AE17" t="n" s="7040">
        <v>80.0</v>
      </c>
      <c r="AF17" s="7041">
        <f>ROUND((aa17+ab17+ac17+ad17+ae17),2)</f>
      </c>
      <c r="AG17" s="7042">
        <f>ae17*0.06</f>
      </c>
      <c r="AH17" s="7043">
        <f>af17+ag17</f>
      </c>
      <c r="AI17" t="s" s="7044">
        <v>0</v>
      </c>
    </row>
    <row r="18" ht="15.0" customHeight="true">
      <c r="A18" t="s" s="7045">
        <v>286</v>
      </c>
      <c r="B18" t="s" s="7046">
        <v>287</v>
      </c>
      <c r="C18" t="s" s="7047">
        <v>288</v>
      </c>
      <c r="D18" t="s" s="7048">
        <v>289</v>
      </c>
      <c r="E18" t="s" s="7049">
        <v>249</v>
      </c>
      <c r="F18" t="n" s="7050">
        <v>43572.0</v>
      </c>
      <c r="G18" t="s" s="7051">
        <v>0</v>
      </c>
      <c r="H18" t="n" s="7052">
        <v>1100.0</v>
      </c>
      <c r="I18" t="n" s="7053">
        <v>100.0</v>
      </c>
      <c r="J18" t="n" s="7054">
        <v>0.0</v>
      </c>
      <c r="K18" t="n" s="7055">
        <v>1250.0</v>
      </c>
      <c r="L18" t="n" s="7056">
        <v>0.0</v>
      </c>
      <c r="M18" t="n" s="7057">
        <v>0.0</v>
      </c>
      <c r="N18" t="n" s="7058">
        <v>0.0</v>
      </c>
      <c r="O18" t="n" s="7059">
        <v>0.0</v>
      </c>
      <c r="P18" t="n" s="7060">
        <v>0.0</v>
      </c>
      <c r="Q18" t="n" s="7061">
        <v>0.0</v>
      </c>
      <c r="R18" t="n" s="7062">
        <v>16.0</v>
      </c>
      <c r="S18" t="n" s="7063">
        <v>169.28</v>
      </c>
      <c r="T18" t="n" s="7064">
        <v>0.0</v>
      </c>
      <c r="U18" t="n" s="7065">
        <v>0.0</v>
      </c>
      <c r="V18" t="n" s="7066">
        <v>0.0</v>
      </c>
      <c r="W18" s="7067">
        <f>q18+s18+u18+v18</f>
      </c>
      <c r="X18" t="n" s="7068">
        <v>0.0</v>
      </c>
      <c r="Y18" t="n" s="7069">
        <v>0.0</v>
      </c>
      <c r="Z18" t="n" s="7070">
        <v>0.0</v>
      </c>
      <c r="AA18" s="7071">
        <f>h18+i18+j18+k18+l18+m18+n18+o18+w18+x18+y18+z18</f>
      </c>
      <c r="AB18" t="n" s="7072">
        <v>320.0</v>
      </c>
      <c r="AC18" t="n" s="7073">
        <v>46.35</v>
      </c>
      <c r="AD18" t="n" s="7074">
        <v>5.3</v>
      </c>
      <c r="AE18" t="n" s="7075">
        <v>80.0</v>
      </c>
      <c r="AF18" s="7076">
        <f>ROUND((aa18+ab18+ac18+ad18+ae18),2)</f>
      </c>
      <c r="AG18" s="7077">
        <f>ae18*0.06</f>
      </c>
      <c r="AH18" s="7078">
        <f>af18+ag18</f>
      </c>
      <c r="AI18" t="s" s="7079">
        <v>0</v>
      </c>
    </row>
    <row r="19" ht="15.0" customHeight="true">
      <c r="A19" t="s" s="7080">
        <v>290</v>
      </c>
      <c r="B19" t="s" s="7081">
        <v>291</v>
      </c>
      <c r="C19" t="s" s="7082">
        <v>292</v>
      </c>
      <c r="D19" t="s" s="7083">
        <v>293</v>
      </c>
      <c r="E19" t="s" s="7084">
        <v>249</v>
      </c>
      <c r="F19" t="n" s="7085">
        <v>43671.0</v>
      </c>
      <c r="G19" t="s" s="7086">
        <v>0</v>
      </c>
      <c r="H19" t="n" s="7087">
        <v>1300.0</v>
      </c>
      <c r="I19" t="n" s="7088">
        <v>100.0</v>
      </c>
      <c r="J19" t="n" s="7089">
        <v>0.0</v>
      </c>
      <c r="K19" t="n" s="7090">
        <v>170.0</v>
      </c>
      <c r="L19" t="n" s="7091">
        <v>0.0</v>
      </c>
      <c r="M19" t="n" s="7092">
        <v>0.0</v>
      </c>
      <c r="N19" t="n" s="7093">
        <v>0.0</v>
      </c>
      <c r="O19" t="n" s="7094">
        <v>0.0</v>
      </c>
      <c r="P19" t="n" s="7095">
        <v>0.0</v>
      </c>
      <c r="Q19" t="n" s="7096">
        <v>0.0</v>
      </c>
      <c r="R19" t="n" s="7097">
        <v>16.0</v>
      </c>
      <c r="S19" t="n" s="7098">
        <v>200.0</v>
      </c>
      <c r="T19" t="n" s="7099">
        <v>0.0</v>
      </c>
      <c r="U19" t="n" s="7100">
        <v>0.0</v>
      </c>
      <c r="V19" t="n" s="7101">
        <v>0.0</v>
      </c>
      <c r="W19" s="7102">
        <f>q19+s19+u19+v19</f>
      </c>
      <c r="X19" t="n" s="7103">
        <v>0.0</v>
      </c>
      <c r="Y19" t="n" s="7104">
        <v>0.0</v>
      </c>
      <c r="Z19" t="n" s="7105">
        <v>0.0</v>
      </c>
      <c r="AA19" s="7106">
        <f>h19+i19+j19+k19+l19+m19+n19+o19+w19+x19+y19+z19</f>
      </c>
      <c r="AB19" t="n" s="7107">
        <v>206.0</v>
      </c>
      <c r="AC19" t="n" s="7108">
        <v>30.65</v>
      </c>
      <c r="AD19" t="n" s="7109">
        <v>3.5</v>
      </c>
      <c r="AE19" t="n" s="7110">
        <v>80.0</v>
      </c>
      <c r="AF19" s="7111">
        <f>ROUND((aa19+ab19+ac19+ad19+ae19),2)</f>
      </c>
      <c r="AG19" s="7112">
        <f>ae19*0.06</f>
      </c>
      <c r="AH19" s="7113">
        <f>af19+ag19</f>
      </c>
      <c r="AI19" t="s" s="7114">
        <v>0</v>
      </c>
    </row>
    <row r="20" ht="15.0" customHeight="true">
      <c r="A20" t="s" s="7115">
        <v>294</v>
      </c>
      <c r="B20" t="s" s="7116">
        <v>295</v>
      </c>
      <c r="C20" t="s" s="7117">
        <v>296</v>
      </c>
      <c r="D20" t="s" s="7118">
        <v>297</v>
      </c>
      <c r="E20" t="s" s="7119">
        <v>249</v>
      </c>
      <c r="F20" t="n" s="7120">
        <v>43703.0</v>
      </c>
      <c r="G20" t="s" s="7121">
        <v>0</v>
      </c>
      <c r="H20" t="n" s="7122">
        <v>1200.0</v>
      </c>
      <c r="I20" t="n" s="7123">
        <v>100.0</v>
      </c>
      <c r="J20" t="n" s="7124">
        <v>0.0</v>
      </c>
      <c r="K20" t="n" s="7125">
        <v>450.0</v>
      </c>
      <c r="L20" t="n" s="7126">
        <v>0.0</v>
      </c>
      <c r="M20" t="n" s="7127">
        <v>0.0</v>
      </c>
      <c r="N20" t="n" s="7128">
        <v>0.0</v>
      </c>
      <c r="O20" t="n" s="7129">
        <v>0.0</v>
      </c>
      <c r="P20" t="n" s="7130">
        <v>0.0</v>
      </c>
      <c r="Q20" t="n" s="7131">
        <v>0.0</v>
      </c>
      <c r="R20" t="n" s="7132">
        <v>16.0</v>
      </c>
      <c r="S20" t="n" s="7133">
        <v>184.64</v>
      </c>
      <c r="T20" t="n" s="7134">
        <v>0.0</v>
      </c>
      <c r="U20" t="n" s="7135">
        <v>0.0</v>
      </c>
      <c r="V20" t="n" s="7136">
        <v>0.0</v>
      </c>
      <c r="W20" s="7137">
        <f>q20+s20+u20+v20</f>
      </c>
      <c r="X20" t="n" s="7138">
        <v>0.0</v>
      </c>
      <c r="Y20" t="n" s="7139">
        <v>0.0</v>
      </c>
      <c r="Z20" t="n" s="7140">
        <v>0.0</v>
      </c>
      <c r="AA20" s="7141">
        <f>h20+i20+j20+k20+l20+m20+n20+o20+w20+x20+y20+z20</f>
      </c>
      <c r="AB20" t="n" s="7142">
        <v>229.0</v>
      </c>
      <c r="AC20" t="n" s="7143">
        <v>34.15</v>
      </c>
      <c r="AD20" t="n" s="7144">
        <v>3.9</v>
      </c>
      <c r="AE20" t="n" s="7145">
        <v>80.0</v>
      </c>
      <c r="AF20" s="7146">
        <f>ROUND((aa20+ab20+ac20+ad20+ae20),2)</f>
      </c>
      <c r="AG20" s="7147">
        <f>ae20*0.06</f>
      </c>
      <c r="AH20" s="7148">
        <f>af20+ag20</f>
      </c>
      <c r="AI20" t="s" s="7149">
        <v>0</v>
      </c>
    </row>
    <row r="21" ht="15.0" customHeight="true">
      <c r="A21" t="s" s="7150">
        <v>0</v>
      </c>
      <c r="B21" t="s" s="7151">
        <v>0</v>
      </c>
      <c r="C21" t="s" s="7152">
        <v>0</v>
      </c>
      <c r="D21" t="s" s="7153">
        <v>0</v>
      </c>
      <c r="E21" t="s" s="7154">
        <v>0</v>
      </c>
      <c r="F21" t="s" s="7155">
        <v>0</v>
      </c>
      <c r="G21" t="s" s="7156">
        <v>0</v>
      </c>
      <c r="H21" s="7157">
        <f>SUM(h8:h20)</f>
      </c>
      <c r="I21" s="7158">
        <f>SUM(i8:i20)</f>
      </c>
      <c r="J21" s="7159">
        <f>SUM(j8:j20)</f>
      </c>
      <c r="K21" s="7160">
        <f>SUM(k8:k20)</f>
      </c>
      <c r="L21" s="7161">
        <f>SUM(l8:l20)</f>
      </c>
      <c r="M21" s="7162">
        <f>SUM(m8:m20)</f>
      </c>
      <c r="N21" s="7163">
        <f>SUM(n8:n20)</f>
      </c>
      <c r="O21" s="7164">
        <f>SUM(o8:o20)</f>
      </c>
      <c r="P21" s="7165">
        <f>SUM(p8:p20)</f>
      </c>
      <c r="Q21" s="7166">
        <f>SUM(q8:q20)</f>
      </c>
      <c r="R21" s="7167">
        <f>SUM(r8:r20)</f>
      </c>
      <c r="S21" s="7168">
        <f>SUM(s8:s20)</f>
      </c>
      <c r="T21" s="7169">
        <f>SUM(t8:t20)</f>
      </c>
      <c r="U21" s="7170">
        <f>SUM(u8:u20)</f>
      </c>
      <c r="V21" s="7171">
        <f>SUM(v8:v20)</f>
      </c>
      <c r="W21" s="7172">
        <f>SUM(w8:w20)</f>
      </c>
      <c r="X21" s="7173">
        <f>SUM(x8:x20)</f>
      </c>
      <c r="Y21" s="7174">
        <f>SUM(y8:y20)</f>
      </c>
      <c r="Z21" s="7175">
        <f>SUM(z8:z20)</f>
      </c>
      <c r="AA21" s="7176">
        <f>SUM(aa8:aa20)</f>
      </c>
      <c r="AB21" s="7177">
        <f>SUM(ab8:ab20)</f>
      </c>
      <c r="AC21" s="7178">
        <f>SUM(ac8:ac20)</f>
      </c>
      <c r="AD21" s="7179">
        <f>SUM(ad8:ad20)</f>
      </c>
      <c r="AE21" s="7180">
        <f>SUM(ae8:ae20)</f>
      </c>
      <c r="AF21" s="7181">
        <f>SUM(af8:af20)</f>
      </c>
      <c r="AG21" s="7182">
        <f>SUM(ag8:ag20)</f>
      </c>
      <c r="AH21" s="7183">
        <f>SUM(ah8:ah20)</f>
      </c>
      <c r="AI21" t="s" s="7184">
        <v>0</v>
      </c>
    </row>
    <row r="22" ht="15.0" customHeight="true"/>
    <row r="23" ht="15.0" customHeight="true">
      <c r="A23" t="s" s="7185">
        <v>0</v>
      </c>
      <c r="B23" t="s" s="7186">
        <v>0</v>
      </c>
      <c r="C23" t="s" s="7187">
        <v>323</v>
      </c>
    </row>
    <row r="24" ht="15.0" customHeight="true">
      <c r="C24" s="7188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7189">
        <v>0</v>
      </c>
      <c r="B1" t="s" s="7190">
        <v>0</v>
      </c>
      <c r="C1" t="s" s="7191">
        <v>1</v>
      </c>
    </row>
    <row r="2" ht="15.0" customHeight="true">
      <c r="A2" t="s" s="7192">
        <v>0</v>
      </c>
      <c r="B2" t="s" s="7193">
        <v>0</v>
      </c>
      <c r="C2" t="s" s="7194">
        <v>2</v>
      </c>
    </row>
    <row r="3" ht="15.0" customHeight="true">
      <c r="A3" t="s" s="7195">
        <v>0</v>
      </c>
      <c r="B3" t="s" s="7196">
        <v>0</v>
      </c>
      <c r="C3" t="s" s="7197">
        <v>3</v>
      </c>
    </row>
    <row r="4" ht="15.0" customHeight="true">
      <c r="A4" t="s" s="7198">
        <v>0</v>
      </c>
      <c r="B4" t="s" s="7199">
        <v>0</v>
      </c>
      <c r="C4" t="s" s="7200">
        <v>4</v>
      </c>
      <c r="D4" t="s" s="7201">
        <v>0</v>
      </c>
      <c r="E4" t="s" s="7202">
        <v>0</v>
      </c>
      <c r="F4" t="s" s="7203">
        <v>0</v>
      </c>
      <c r="G4" t="s" s="7204">
        <v>0</v>
      </c>
      <c r="H4" t="s" s="7205">
        <v>0</v>
      </c>
      <c r="I4" t="s" s="7206">
        <v>0</v>
      </c>
      <c r="J4" t="s" s="7207">
        <v>0</v>
      </c>
      <c r="K4" t="s" s="7208">
        <v>0</v>
      </c>
      <c r="L4" t="s" s="7209">
        <v>0</v>
      </c>
      <c r="M4" t="s" s="7210">
        <v>0</v>
      </c>
      <c r="N4" t="s" s="7211">
        <v>0</v>
      </c>
      <c r="O4" t="s" s="7212">
        <v>0</v>
      </c>
      <c r="P4" t="s" s="7213">
        <v>0</v>
      </c>
      <c r="Q4" t="s" s="7214">
        <v>0</v>
      </c>
      <c r="R4" t="s" s="7215">
        <v>0</v>
      </c>
      <c r="S4" t="s" s="7216">
        <v>0</v>
      </c>
      <c r="T4" t="s" s="7217">
        <v>0</v>
      </c>
      <c r="U4" t="s" s="7218">
        <v>0</v>
      </c>
      <c r="V4" t="s" s="7219">
        <v>0</v>
      </c>
      <c r="W4" t="s" s="7220">
        <v>0</v>
      </c>
      <c r="X4" t="s" s="7221">
        <v>0</v>
      </c>
      <c r="Y4" t="s" s="7222">
        <v>0</v>
      </c>
      <c r="Z4" t="s" s="7223">
        <v>0</v>
      </c>
      <c r="AA4" t="s" s="7224">
        <v>0</v>
      </c>
      <c r="AB4" t="s" s="7225">
        <v>0</v>
      </c>
      <c r="AC4" t="s" s="7226">
        <v>5</v>
      </c>
      <c r="AD4" t="n" s="7227">
        <v>2019.0</v>
      </c>
    </row>
    <row r="5" ht="15.0" customHeight="true">
      <c r="A5" t="s" s="7228">
        <v>0</v>
      </c>
      <c r="B5" t="s" s="7229">
        <v>0</v>
      </c>
      <c r="C5" t="s" s="7230">
        <v>0</v>
      </c>
      <c r="D5" t="s" s="7231">
        <v>0</v>
      </c>
      <c r="E5" t="s" s="7232">
        <v>0</v>
      </c>
      <c r="F5" t="s" s="7233">
        <v>0</v>
      </c>
      <c r="G5" t="s" s="7234">
        <v>0</v>
      </c>
      <c r="H5" t="s" s="7235">
        <v>0</v>
      </c>
      <c r="I5" t="s" s="7236">
        <v>0</v>
      </c>
      <c r="J5" t="s" s="7237">
        <v>0</v>
      </c>
      <c r="K5" t="s" s="7238">
        <v>0</v>
      </c>
      <c r="L5" t="s" s="7239">
        <v>0</v>
      </c>
      <c r="M5" t="s" s="7240">
        <v>0</v>
      </c>
      <c r="N5" t="s" s="7241">
        <v>0</v>
      </c>
      <c r="O5" t="s" s="7242">
        <v>0</v>
      </c>
      <c r="P5" t="s" s="7243">
        <v>0</v>
      </c>
      <c r="Q5" t="s" s="7244">
        <v>0</v>
      </c>
      <c r="R5" t="s" s="7245">
        <v>0</v>
      </c>
      <c r="S5" t="s" s="7246">
        <v>0</v>
      </c>
      <c r="T5" t="s" s="7247">
        <v>0</v>
      </c>
      <c r="U5" t="s" s="7248">
        <v>0</v>
      </c>
      <c r="V5" t="s" s="7249">
        <v>0</v>
      </c>
      <c r="W5" t="s" s="7250">
        <v>0</v>
      </c>
      <c r="X5" t="s" s="7251">
        <v>0</v>
      </c>
      <c r="Y5" t="s" s="7252">
        <v>0</v>
      </c>
      <c r="Z5" t="s" s="7253">
        <v>0</v>
      </c>
      <c r="AA5" t="s" s="7254">
        <v>0</v>
      </c>
      <c r="AB5" t="s" s="7255">
        <v>0</v>
      </c>
      <c r="AC5" t="s" s="7256">
        <v>6</v>
      </c>
      <c r="AD5" t="n" s="7257">
        <v>2019.0</v>
      </c>
    </row>
    <row r="6" ht="15.0" customHeight="true"/>
    <row r="7" ht="35.0" customHeight="true">
      <c r="A7" t="s" s="7258">
        <v>7</v>
      </c>
      <c r="B7" t="s" s="7259">
        <v>8</v>
      </c>
      <c r="C7" t="s" s="7260">
        <v>9</v>
      </c>
      <c r="D7" t="s" s="7261">
        <v>10</v>
      </c>
      <c r="E7" t="s" s="7262">
        <v>11</v>
      </c>
      <c r="F7" t="s" s="7263">
        <v>12</v>
      </c>
      <c r="G7" t="s" s="7264">
        <v>13</v>
      </c>
      <c r="H7" t="s" s="7265">
        <v>14</v>
      </c>
      <c r="I7" t="s" s="7266">
        <v>15</v>
      </c>
      <c r="J7" t="s" s="7267">
        <v>16</v>
      </c>
      <c r="K7" t="s" s="7268">
        <v>17</v>
      </c>
      <c r="L7" t="s" s="7269">
        <v>18</v>
      </c>
      <c r="M7" t="s" s="7270">
        <v>19</v>
      </c>
      <c r="N7" t="s" s="7271">
        <v>20</v>
      </c>
      <c r="O7" t="s" s="7272">
        <v>21</v>
      </c>
      <c r="P7" t="s" s="7273">
        <v>22</v>
      </c>
      <c r="Q7" t="s" s="7274">
        <v>23</v>
      </c>
      <c r="R7" t="s" s="7275">
        <v>24</v>
      </c>
      <c r="S7" t="s" s="7276">
        <v>25</v>
      </c>
      <c r="T7" t="s" s="7277">
        <v>26</v>
      </c>
      <c r="U7" t="s" s="7278">
        <v>27</v>
      </c>
      <c r="V7" t="s" s="7279">
        <v>28</v>
      </c>
      <c r="W7" t="s" s="7280">
        <v>29</v>
      </c>
      <c r="X7" t="s" s="7281">
        <v>30</v>
      </c>
      <c r="Y7" t="s" s="7282">
        <v>31</v>
      </c>
      <c r="Z7" t="s" s="7283">
        <v>32</v>
      </c>
      <c r="AA7" t="s" s="7284">
        <v>33</v>
      </c>
      <c r="AB7" t="s" s="7285">
        <v>34</v>
      </c>
      <c r="AC7" t="s" s="7286">
        <v>35</v>
      </c>
      <c r="AD7" t="s" s="7287">
        <v>36</v>
      </c>
      <c r="AE7" t="s" s="7288">
        <v>37</v>
      </c>
      <c r="AF7" t="s" s="7289">
        <v>38</v>
      </c>
      <c r="AG7" t="s" s="7290">
        <v>39</v>
      </c>
      <c r="AH7" t="s" s="7291">
        <v>40</v>
      </c>
      <c r="AI7" t="s" s="7292">
        <v>41</v>
      </c>
    </row>
    <row r="8" ht="15.0" customHeight="true">
      <c r="A8" t="s" s="7293">
        <v>298</v>
      </c>
      <c r="B8" t="s" s="7294">
        <v>299</v>
      </c>
      <c r="C8" t="s" s="7295">
        <v>300</v>
      </c>
      <c r="D8" t="s" s="7296">
        <v>301</v>
      </c>
      <c r="E8" t="s" s="7297">
        <v>302</v>
      </c>
      <c r="F8" t="n" s="7298">
        <v>41944.0</v>
      </c>
      <c r="G8" t="s" s="7299">
        <v>0</v>
      </c>
      <c r="H8" t="n" s="7300">
        <v>1680.0</v>
      </c>
      <c r="I8" t="n" s="7301">
        <v>100.0</v>
      </c>
      <c r="J8" t="n" s="7302">
        <v>0.0</v>
      </c>
      <c r="K8" t="n" s="7303">
        <v>0.0</v>
      </c>
      <c r="L8" t="n" s="7304">
        <v>0.0</v>
      </c>
      <c r="M8" t="n" s="7305">
        <v>22.0</v>
      </c>
      <c r="N8" t="n" s="7306">
        <v>0.0</v>
      </c>
      <c r="O8" t="n" s="7307">
        <v>0.0</v>
      </c>
      <c r="P8" t="n" s="7308">
        <v>8.0</v>
      </c>
      <c r="Q8" t="n" s="7309">
        <v>96.96</v>
      </c>
      <c r="R8" t="n" s="7310">
        <v>16.0</v>
      </c>
      <c r="S8" t="n" s="7311">
        <v>258.4</v>
      </c>
      <c r="T8" t="n" s="7312">
        <v>0.0</v>
      </c>
      <c r="U8" t="n" s="7313">
        <v>0.0</v>
      </c>
      <c r="V8" t="n" s="7314">
        <v>0.0</v>
      </c>
      <c r="W8" s="7315">
        <f>q8+s8+u8+v8</f>
      </c>
      <c r="X8" t="n" s="7316">
        <v>0.0</v>
      </c>
      <c r="Y8" t="n" s="7317">
        <v>0.0</v>
      </c>
      <c r="Z8" t="n" s="7318">
        <v>0.0</v>
      </c>
      <c r="AA8" s="7319">
        <f>h8+i8+j8+k8+l8+m8+n8+o8+w8+x8+y8+z8</f>
      </c>
      <c r="AB8" t="n" s="7320">
        <v>232.0</v>
      </c>
      <c r="AC8" t="n" s="7321">
        <v>37.65</v>
      </c>
      <c r="AD8" t="n" s="7322">
        <v>4.3</v>
      </c>
      <c r="AE8" t="n" s="7323">
        <v>80.0</v>
      </c>
      <c r="AF8" s="7324">
        <f>ROUND((aa8+ab8+ac8+ad8+ae8),2)</f>
      </c>
      <c r="AG8" s="7325">
        <f>ae8*0.06</f>
      </c>
      <c r="AH8" s="7326">
        <f>af8+ag8</f>
      </c>
      <c r="AI8" t="s" s="7327">
        <v>0</v>
      </c>
    </row>
    <row r="9" ht="15.0" customHeight="true">
      <c r="A9" t="s" s="7328">
        <v>303</v>
      </c>
      <c r="B9" t="s" s="7329">
        <v>304</v>
      </c>
      <c r="C9" t="s" s="7330">
        <v>305</v>
      </c>
      <c r="D9" t="s" s="7331">
        <v>306</v>
      </c>
      <c r="E9" t="s" s="7332">
        <v>302</v>
      </c>
      <c r="F9" t="n" s="7333">
        <v>41944.0</v>
      </c>
      <c r="G9" t="s" s="7334">
        <v>0</v>
      </c>
      <c r="H9" t="n" s="7335">
        <v>1350.0</v>
      </c>
      <c r="I9" t="n" s="7336">
        <v>100.0</v>
      </c>
      <c r="J9" t="n" s="7337">
        <v>0.0</v>
      </c>
      <c r="K9" t="n" s="7338">
        <v>251.0</v>
      </c>
      <c r="L9" t="n" s="7339">
        <v>0.0</v>
      </c>
      <c r="M9" t="n" s="7340">
        <v>18.9</v>
      </c>
      <c r="N9" t="n" s="7341">
        <v>0.0</v>
      </c>
      <c r="O9" t="n" s="7342">
        <v>0.0</v>
      </c>
      <c r="P9" t="n" s="7343">
        <v>8.0</v>
      </c>
      <c r="Q9" t="n" s="7344">
        <v>77.92</v>
      </c>
      <c r="R9" t="n" s="7345">
        <v>16.0</v>
      </c>
      <c r="S9" t="n" s="7346">
        <v>207.68</v>
      </c>
      <c r="T9" t="n" s="7347">
        <v>0.0</v>
      </c>
      <c r="U9" t="n" s="7348">
        <v>0.0</v>
      </c>
      <c r="V9" t="n" s="7349">
        <v>0.0</v>
      </c>
      <c r="W9" s="7350">
        <f>q9+s9+u9+v9</f>
      </c>
      <c r="X9" t="n" s="7351">
        <v>0.0</v>
      </c>
      <c r="Y9" t="n" s="7352">
        <v>0.0</v>
      </c>
      <c r="Z9" t="n" s="7353">
        <v>0.0</v>
      </c>
      <c r="AA9" s="7354">
        <f>h9+i9+j9+k9+l9+m9+n9+o9+w9+x9+y9+z9</f>
      </c>
      <c r="AB9" t="n" s="7355">
        <v>224.0</v>
      </c>
      <c r="AC9" t="n" s="7356">
        <v>34.15</v>
      </c>
      <c r="AD9" t="n" s="7357">
        <v>3.9</v>
      </c>
      <c r="AE9" t="n" s="7358">
        <v>80.0</v>
      </c>
      <c r="AF9" s="7359">
        <f>ROUND((aa9+ab9+ac9+ad9+ae9),2)</f>
      </c>
      <c r="AG9" s="7360">
        <f>ae9*0.06</f>
      </c>
      <c r="AH9" s="7361">
        <f>af9+ag9</f>
      </c>
      <c r="AI9" t="s" s="7362">
        <v>0</v>
      </c>
    </row>
    <row r="10" ht="15.0" customHeight="true">
      <c r="A10" t="s" s="7363">
        <v>307</v>
      </c>
      <c r="B10" t="s" s="7364">
        <v>308</v>
      </c>
      <c r="C10" t="s" s="7365">
        <v>309</v>
      </c>
      <c r="D10" t="s" s="7366">
        <v>310</v>
      </c>
      <c r="E10" t="s" s="7367">
        <v>302</v>
      </c>
      <c r="F10" t="n" s="7368">
        <v>41944.0</v>
      </c>
      <c r="G10" t="s" s="7369">
        <v>0</v>
      </c>
      <c r="H10" t="n" s="7370">
        <v>1740.0</v>
      </c>
      <c r="I10" t="n" s="7371">
        <v>100.0</v>
      </c>
      <c r="J10" t="n" s="7372">
        <v>0.0</v>
      </c>
      <c r="K10" t="n" s="7373">
        <v>264.0</v>
      </c>
      <c r="L10" t="n" s="7374">
        <v>0.0</v>
      </c>
      <c r="M10" t="n" s="7375">
        <v>10.0</v>
      </c>
      <c r="N10" t="n" s="7376">
        <v>0.0</v>
      </c>
      <c r="O10" t="n" s="7377">
        <v>0.0</v>
      </c>
      <c r="P10" t="n" s="7378">
        <v>8.0</v>
      </c>
      <c r="Q10" t="n" s="7379">
        <v>100.4</v>
      </c>
      <c r="R10" t="n" s="7380">
        <v>16.0</v>
      </c>
      <c r="S10" t="n" s="7381">
        <v>267.68</v>
      </c>
      <c r="T10" t="n" s="7382">
        <v>0.0</v>
      </c>
      <c r="U10" t="n" s="7383">
        <v>0.0</v>
      </c>
      <c r="V10" t="n" s="7384">
        <v>0.0</v>
      </c>
      <c r="W10" s="7385">
        <f>q10+s10+u10+v10</f>
      </c>
      <c r="X10" t="n" s="7386">
        <v>0.0</v>
      </c>
      <c r="Y10" t="n" s="7387">
        <v>0.0</v>
      </c>
      <c r="Z10" t="n" s="7388">
        <v>0.0</v>
      </c>
      <c r="AA10" s="7389">
        <f>h10+i10+j10+k10+l10+m10+n10+o10+w10+x10+y10+z10</f>
      </c>
      <c r="AB10" t="n" s="7390">
        <v>276.0</v>
      </c>
      <c r="AC10" t="n" s="7391">
        <v>42.85</v>
      </c>
      <c r="AD10" t="n" s="7392">
        <v>4.9</v>
      </c>
      <c r="AE10" t="n" s="7393">
        <v>80.0</v>
      </c>
      <c r="AF10" s="7394">
        <f>ROUND((aa10+ab10+ac10+ad10+ae10),2)</f>
      </c>
      <c r="AG10" s="7395">
        <f>ae10*0.06</f>
      </c>
      <c r="AH10" s="7396">
        <f>af10+ag10</f>
      </c>
      <c r="AI10" t="s" s="7397">
        <v>0</v>
      </c>
    </row>
    <row r="11" ht="15.0" customHeight="true">
      <c r="A11" t="s" s="7398">
        <v>311</v>
      </c>
      <c r="B11" t="s" s="7399">
        <v>312</v>
      </c>
      <c r="C11" t="s" s="7400">
        <v>313</v>
      </c>
      <c r="D11" t="s" s="7401">
        <v>314</v>
      </c>
      <c r="E11" t="s" s="7402">
        <v>302</v>
      </c>
      <c r="F11" t="n" s="7403">
        <v>41944.0</v>
      </c>
      <c r="G11" t="s" s="7404">
        <v>0</v>
      </c>
      <c r="H11" t="n" s="7405">
        <v>1350.0</v>
      </c>
      <c r="I11" t="n" s="7406">
        <v>100.0</v>
      </c>
      <c r="J11" t="n" s="7407">
        <v>0.0</v>
      </c>
      <c r="K11" t="n" s="7408">
        <v>0.0</v>
      </c>
      <c r="L11" t="n" s="7409">
        <v>0.0</v>
      </c>
      <c r="M11" t="n" s="7410">
        <v>10.0</v>
      </c>
      <c r="N11" t="n" s="7411">
        <v>0.0</v>
      </c>
      <c r="O11" t="n" s="7412">
        <v>0.0</v>
      </c>
      <c r="P11" t="n" s="7413">
        <v>8.0</v>
      </c>
      <c r="Q11" t="n" s="7414">
        <v>77.92</v>
      </c>
      <c r="R11" t="n" s="7415">
        <v>16.0</v>
      </c>
      <c r="S11" t="n" s="7416">
        <v>207.68</v>
      </c>
      <c r="T11" t="n" s="7417">
        <v>0.0</v>
      </c>
      <c r="U11" t="n" s="7418">
        <v>0.0</v>
      </c>
      <c r="V11" t="n" s="7419">
        <v>0.0</v>
      </c>
      <c r="W11" s="7420">
        <f>q11+s11+u11+v11</f>
      </c>
      <c r="X11" t="n" s="7421">
        <v>0.0</v>
      </c>
      <c r="Y11" t="n" s="7422">
        <v>0.0</v>
      </c>
      <c r="Z11" t="n" s="7423">
        <v>0.0</v>
      </c>
      <c r="AA11" s="7424">
        <f>h11+i11+j11+k11+l11+m11+n11+o11+w11+x11+y11+z11</f>
      </c>
      <c r="AB11" t="n" s="7425">
        <v>190.0</v>
      </c>
      <c r="AC11" t="n" s="7426">
        <v>30.65</v>
      </c>
      <c r="AD11" t="n" s="7427">
        <v>3.5</v>
      </c>
      <c r="AE11" t="n" s="7428">
        <v>80.0</v>
      </c>
      <c r="AF11" s="7429">
        <f>ROUND((aa11+ab11+ac11+ad11+ae11),2)</f>
      </c>
      <c r="AG11" s="7430">
        <f>ae11*0.06</f>
      </c>
      <c r="AH11" s="7431">
        <f>af11+ag11</f>
      </c>
      <c r="AI11" t="s" s="7432">
        <v>0</v>
      </c>
    </row>
    <row r="12" ht="15.0" customHeight="true">
      <c r="A12" t="s" s="7433">
        <v>315</v>
      </c>
      <c r="B12" t="s" s="7434">
        <v>316</v>
      </c>
      <c r="C12" t="s" s="7435">
        <v>317</v>
      </c>
      <c r="D12" t="s" s="7436">
        <v>318</v>
      </c>
      <c r="E12" t="s" s="7437">
        <v>302</v>
      </c>
      <c r="F12" t="n" s="7438">
        <v>42614.0</v>
      </c>
      <c r="G12" t="s" s="7439">
        <v>0</v>
      </c>
      <c r="H12" t="n" s="7440">
        <v>1400.0</v>
      </c>
      <c r="I12" t="n" s="7441">
        <v>100.0</v>
      </c>
      <c r="J12" t="n" s="7442">
        <v>0.0</v>
      </c>
      <c r="K12" t="n" s="7443">
        <v>0.0</v>
      </c>
      <c r="L12" t="n" s="7444">
        <v>0.0</v>
      </c>
      <c r="M12" t="n" s="7445">
        <v>10.0</v>
      </c>
      <c r="N12" t="n" s="7446">
        <v>0.0</v>
      </c>
      <c r="O12" t="n" s="7447">
        <v>0.0</v>
      </c>
      <c r="P12" t="n" s="7448">
        <v>8.0</v>
      </c>
      <c r="Q12" t="n" s="7449">
        <v>80.8</v>
      </c>
      <c r="R12" t="n" s="7450">
        <v>16.0</v>
      </c>
      <c r="S12" t="n" s="7451">
        <v>215.36</v>
      </c>
      <c r="T12" t="n" s="7452">
        <v>0.0</v>
      </c>
      <c r="U12" t="n" s="7453">
        <v>0.0</v>
      </c>
      <c r="V12" t="n" s="7454">
        <v>0.0</v>
      </c>
      <c r="W12" s="7455">
        <f>q12+s12+u12+v12</f>
      </c>
      <c r="X12" t="n" s="7456">
        <v>0.0</v>
      </c>
      <c r="Y12" t="n" s="7457">
        <v>0.0</v>
      </c>
      <c r="Z12" t="n" s="7458">
        <v>0.0</v>
      </c>
      <c r="AA12" s="7459">
        <f>h12+i12+j12+k12+l12+m12+n12+o12+w12+x12+y12+z12</f>
      </c>
      <c r="AB12" t="n" s="7460">
        <v>195.0</v>
      </c>
      <c r="AC12" t="n" s="7461">
        <v>30.65</v>
      </c>
      <c r="AD12" t="n" s="7462">
        <v>3.5</v>
      </c>
      <c r="AE12" t="n" s="7463">
        <v>80.0</v>
      </c>
      <c r="AF12" s="7464">
        <f>ROUND((aa12+ab12+ac12+ad12+ae12),2)</f>
      </c>
      <c r="AG12" s="7465">
        <f>ae12*0.06</f>
      </c>
      <c r="AH12" s="7466">
        <f>af12+ag12</f>
      </c>
      <c r="AI12" t="s" s="7467">
        <v>0</v>
      </c>
    </row>
    <row r="13" ht="15.0" customHeight="true">
      <c r="A13" t="s" s="7468">
        <v>319</v>
      </c>
      <c r="B13" t="s" s="7469">
        <v>320</v>
      </c>
      <c r="C13" t="s" s="7470">
        <v>321</v>
      </c>
      <c r="D13" t="s" s="7471">
        <v>322</v>
      </c>
      <c r="E13" t="s" s="7472">
        <v>302</v>
      </c>
      <c r="F13" t="n" s="7473">
        <v>42795.0</v>
      </c>
      <c r="G13" t="s" s="7474">
        <v>0</v>
      </c>
      <c r="H13" t="n" s="7475">
        <v>1350.0</v>
      </c>
      <c r="I13" t="n" s="7476">
        <v>100.0</v>
      </c>
      <c r="J13" t="n" s="7477">
        <v>0.0</v>
      </c>
      <c r="K13" t="n" s="7478">
        <v>1400.0</v>
      </c>
      <c r="L13" t="n" s="7479">
        <v>0.0</v>
      </c>
      <c r="M13" t="n" s="7480">
        <v>10.0</v>
      </c>
      <c r="N13" t="n" s="7481">
        <v>0.0</v>
      </c>
      <c r="O13" t="n" s="7482">
        <v>0.0</v>
      </c>
      <c r="P13" t="n" s="7483">
        <v>7.0</v>
      </c>
      <c r="Q13" t="n" s="7484">
        <v>68.18</v>
      </c>
      <c r="R13" t="n" s="7485">
        <v>16.0</v>
      </c>
      <c r="S13" t="n" s="7486">
        <v>207.68</v>
      </c>
      <c r="T13" t="n" s="7487">
        <v>0.0</v>
      </c>
      <c r="U13" t="n" s="7488">
        <v>0.0</v>
      </c>
      <c r="V13" t="n" s="7489">
        <v>0.0</v>
      </c>
      <c r="W13" s="7490">
        <f>q13+s13+u13+v13</f>
      </c>
      <c r="X13" t="n" s="7491">
        <v>0.0</v>
      </c>
      <c r="Y13" t="n" s="7492">
        <v>0.0</v>
      </c>
      <c r="Z13" t="n" s="7493">
        <v>0.0</v>
      </c>
      <c r="AA13" s="7494">
        <f>h13+i13+j13+k13+l13+m13+n13+o13+w13+x13+y13+z13</f>
      </c>
      <c r="AB13" t="n" s="7495">
        <v>372.0</v>
      </c>
      <c r="AC13" t="n" s="7496">
        <v>55.15</v>
      </c>
      <c r="AD13" t="n" s="7497">
        <v>6.3</v>
      </c>
      <c r="AE13" t="n" s="7498">
        <v>80.0</v>
      </c>
      <c r="AF13" s="7499">
        <f>ROUND((aa13+ab13+ac13+ad13+ae13),2)</f>
      </c>
      <c r="AG13" s="7500">
        <f>ae13*0.06</f>
      </c>
      <c r="AH13" s="7501">
        <f>af13+ag13</f>
      </c>
      <c r="AI13" t="s" s="7502">
        <v>0</v>
      </c>
    </row>
    <row r="14" ht="15.0" customHeight="true">
      <c r="A14" t="s" s="7503">
        <v>0</v>
      </c>
      <c r="B14" t="s" s="7504">
        <v>0</v>
      </c>
      <c r="C14" t="s" s="7505">
        <v>0</v>
      </c>
      <c r="D14" t="s" s="7506">
        <v>0</v>
      </c>
      <c r="E14" t="s" s="7507">
        <v>0</v>
      </c>
      <c r="F14" t="s" s="7508">
        <v>0</v>
      </c>
      <c r="G14" t="s" s="7509">
        <v>0</v>
      </c>
      <c r="H14" s="7510">
        <f>SUM(h8:h13)</f>
      </c>
      <c r="I14" s="7511">
        <f>SUM(i8:i13)</f>
      </c>
      <c r="J14" s="7512">
        <f>SUM(j8:j13)</f>
      </c>
      <c r="K14" s="7513">
        <f>SUM(k8:k13)</f>
      </c>
      <c r="L14" s="7514">
        <f>SUM(l8:l13)</f>
      </c>
      <c r="M14" s="7515">
        <f>SUM(m8:m13)</f>
      </c>
      <c r="N14" s="7516">
        <f>SUM(n8:n13)</f>
      </c>
      <c r="O14" s="7517">
        <f>SUM(o8:o13)</f>
      </c>
      <c r="P14" s="7518">
        <f>SUM(p8:p13)</f>
      </c>
      <c r="Q14" s="7519">
        <f>SUM(q8:q13)</f>
      </c>
      <c r="R14" s="7520">
        <f>SUM(r8:r13)</f>
      </c>
      <c r="S14" s="7521">
        <f>SUM(s8:s13)</f>
      </c>
      <c r="T14" s="7522">
        <f>SUM(t8:t13)</f>
      </c>
      <c r="U14" s="7523">
        <f>SUM(u8:u13)</f>
      </c>
      <c r="V14" s="7524">
        <f>SUM(v8:v13)</f>
      </c>
      <c r="W14" s="7525">
        <f>SUM(w8:w13)</f>
      </c>
      <c r="X14" s="7526">
        <f>SUM(x8:x13)</f>
      </c>
      <c r="Y14" s="7527">
        <f>SUM(y8:y13)</f>
      </c>
      <c r="Z14" s="7528">
        <f>SUM(z8:z13)</f>
      </c>
      <c r="AA14" s="7529">
        <f>SUM(aa8:aa13)</f>
      </c>
      <c r="AB14" s="7530">
        <f>SUM(ab8:ab13)</f>
      </c>
      <c r="AC14" s="7531">
        <f>SUM(ac8:ac13)</f>
      </c>
      <c r="AD14" s="7532">
        <f>SUM(ad8:ad13)</f>
      </c>
      <c r="AE14" s="7533">
        <f>SUM(ae8:ae13)</f>
      </c>
      <c r="AF14" s="7534">
        <f>SUM(af8:af13)</f>
      </c>
      <c r="AG14" s="7535">
        <f>SUM(ag8:ag13)</f>
      </c>
      <c r="AH14" s="7536">
        <f>SUM(ah8:ah13)</f>
      </c>
      <c r="AI14" t="s" s="7537">
        <v>0</v>
      </c>
    </row>
    <row r="15" ht="15.0" customHeight="true"/>
    <row r="16" ht="15.0" customHeight="true">
      <c r="A16" t="s" s="7538">
        <v>0</v>
      </c>
      <c r="B16" t="s" s="7539">
        <v>0</v>
      </c>
      <c r="C16" t="s" s="7540">
        <v>323</v>
      </c>
    </row>
    <row r="17" ht="15.0" customHeight="true">
      <c r="C17" s="7541">
        <f>COUNTA(A8:A13)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2019-10-10T12:37:36Z</dcterms:created>
  <dc:creator>Apache POI</dc:creator>
</coreProperties>
</file>