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<sst xmlns="http://schemas.openxmlformats.org/spreadsheetml/2006/main" count="7000" uniqueCount="650">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</sst>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87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269">
        <v>6</v>
      </c>
      <c r="Z1" t="n" s="8270">
        <v>2020.0</v>
      </c>
    </row>
    <row r="2">
      <c r="A2" t="s">
        <v>0</v>
      </c>
      <c r="B2" t="s">
        <v>2</v>
      </c>
      <c r="Y2" t="s" s="8271">
        <v>7</v>
      </c>
      <c r="Z2" t="n" s="827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130">
        <v>0</v>
      </c>
      <c r="B8" t="s" s="8131">
        <v>0</v>
      </c>
      <c r="C8" t="s" s="8132">
        <v>0</v>
      </c>
      <c r="D8" t="s" s="8133">
        <v>0</v>
      </c>
      <c r="E8" t="s" s="8134">
        <v>0</v>
      </c>
      <c r="F8" t="s" s="8135">
        <v>0</v>
      </c>
      <c r="G8" t="s" s="8136">
        <v>0</v>
      </c>
      <c r="H8" t="s" s="8137">
        <v>0</v>
      </c>
      <c r="I8" t="s" s="8138">
        <v>0</v>
      </c>
      <c r="J8" t="s" s="8139">
        <v>0</v>
      </c>
      <c r="K8" t="s" s="8140">
        <v>0</v>
      </c>
      <c r="L8" t="s" s="8141">
        <v>0</v>
      </c>
      <c r="M8" t="s" s="8142">
        <v>0</v>
      </c>
      <c r="N8" t="s" s="8143">
        <v>0</v>
      </c>
      <c r="O8" t="s" s="8144">
        <v>0</v>
      </c>
      <c r="P8" t="s" s="8145">
        <v>0</v>
      </c>
      <c r="Q8" t="s" s="8146">
        <v>0</v>
      </c>
      <c r="R8" t="s" s="8147">
        <v>0</v>
      </c>
      <c r="S8" t="s" s="8148">
        <v>0</v>
      </c>
      <c r="T8" t="s" s="8149">
        <v>0</v>
      </c>
      <c r="U8" t="s" s="8150">
        <v>0</v>
      </c>
      <c r="V8" t="s" s="8151">
        <v>0</v>
      </c>
      <c r="W8" t="s" s="8152">
        <v>0</v>
      </c>
      <c r="X8" t="s" s="8153">
        <v>0</v>
      </c>
      <c r="Y8" t="s" s="8163">
        <v>0</v>
      </c>
      <c r="Z8" t="s" s="8164">
        <v>0</v>
      </c>
      <c r="AA8" t="s" s="8165">
        <v>0</v>
      </c>
      <c r="AB8" t="s" s="8166">
        <v>0</v>
      </c>
      <c r="AC8" t="s" s="8167">
        <v>8</v>
      </c>
      <c r="AD8" s="8168"/>
      <c r="AE8" s="8169"/>
      <c r="AF8" s="8170"/>
      <c r="AG8" s="8154"/>
      <c r="AH8" s="8155"/>
      <c r="AI8" s="8156"/>
      <c r="AJ8" s="8157"/>
      <c r="AK8" s="8158"/>
      <c r="AL8" s="8159"/>
      <c r="AM8" s="8160"/>
      <c r="AN8" s="8161"/>
      <c r="AO8" s="8162"/>
    </row>
    <row r="9" ht="41.0" customHeight="true">
      <c r="A9" t="s" s="8187">
        <v>9</v>
      </c>
      <c r="B9" t="s" s="8188">
        <v>10</v>
      </c>
      <c r="C9" t="s" s="8189">
        <v>11</v>
      </c>
      <c r="D9" t="s" s="8190">
        <v>12</v>
      </c>
      <c r="E9" t="s" s="8191">
        <v>13</v>
      </c>
      <c r="F9" t="s" s="8192">
        <v>14</v>
      </c>
      <c r="G9" t="s" s="8193">
        <v>15</v>
      </c>
      <c r="H9" t="s" s="8194">
        <v>16</v>
      </c>
      <c r="I9" t="s" s="8273">
        <v>17</v>
      </c>
      <c r="J9" t="s" s="8274">
        <v>18</v>
      </c>
      <c r="K9" t="s" s="8197">
        <v>19</v>
      </c>
      <c r="L9" t="s" s="8198">
        <v>20</v>
      </c>
      <c r="M9" t="s" s="8199">
        <v>21</v>
      </c>
      <c r="N9" t="s" s="8200">
        <v>22</v>
      </c>
      <c r="O9" t="s" s="8201">
        <v>23</v>
      </c>
      <c r="P9" t="s" s="8202">
        <v>24</v>
      </c>
      <c r="Q9" t="s" s="8203">
        <v>25</v>
      </c>
      <c r="R9" t="s" s="8204">
        <v>26</v>
      </c>
      <c r="S9" t="s" s="8205">
        <v>27</v>
      </c>
      <c r="T9" t="s" s="8206">
        <v>28</v>
      </c>
      <c r="U9" t="s" s="8207">
        <v>29</v>
      </c>
      <c r="V9" t="s" s="8208">
        <v>30</v>
      </c>
      <c r="W9" t="s" s="8209">
        <v>31</v>
      </c>
      <c r="X9" t="s" s="8210">
        <v>32</v>
      </c>
      <c r="Y9" t="s" s="8211">
        <v>33</v>
      </c>
      <c r="Z9" t="s" s="8212">
        <v>34</v>
      </c>
      <c r="AA9" t="s" s="8213">
        <v>35</v>
      </c>
      <c r="AB9" t="s" s="8214">
        <v>36</v>
      </c>
      <c r="AC9" t="s" s="8215">
        <v>37</v>
      </c>
      <c r="AD9" t="s" s="8216">
        <v>38</v>
      </c>
      <c r="AE9" t="s" s="8217">
        <v>39</v>
      </c>
      <c r="AF9" t="s" s="8218">
        <v>40</v>
      </c>
      <c r="AG9" t="s" s="8219">
        <v>41</v>
      </c>
      <c r="AH9" t="s" s="8220">
        <v>42</v>
      </c>
      <c r="AI9" t="s" s="8221">
        <v>43</v>
      </c>
      <c r="AJ9" t="s" s="8222">
        <v>44</v>
      </c>
      <c r="AK9" t="s" s="8223">
        <v>45</v>
      </c>
      <c r="AL9" t="s" s="8224">
        <v>46</v>
      </c>
      <c r="AM9" t="s" s="8225">
        <v>47</v>
      </c>
      <c r="AN9" t="s" s="8226">
        <v>48</v>
      </c>
      <c r="AO9" t="s" s="8227">
        <v>49</v>
      </c>
    </row>
    <row r="10">
      <c r="A10" t="s" s="8228">
        <v>0</v>
      </c>
      <c r="B10" t="s" s="8229">
        <v>0</v>
      </c>
      <c r="C10" t="s" s="8230">
        <v>0</v>
      </c>
      <c r="D10" t="s" s="8231">
        <v>0</v>
      </c>
      <c r="E10" t="s" s="8232">
        <v>0</v>
      </c>
      <c r="F10" t="s" s="8233">
        <v>0</v>
      </c>
      <c r="G10" t="s" s="8234">
        <v>0</v>
      </c>
      <c r="H10" t="s" s="8235">
        <v>0</v>
      </c>
      <c r="I10" t="s" s="8275">
        <v>0</v>
      </c>
      <c r="J10" t="s" s="8276">
        <v>0</v>
      </c>
      <c r="K10" t="s" s="8238">
        <v>0</v>
      </c>
      <c r="L10" t="s" s="8239">
        <v>0</v>
      </c>
      <c r="M10" t="s" s="8240">
        <v>0</v>
      </c>
      <c r="N10" t="s" s="8241">
        <v>0</v>
      </c>
      <c r="O10" t="s" s="8242">
        <v>0</v>
      </c>
      <c r="P10" t="s" s="8243">
        <v>0</v>
      </c>
      <c r="Q10" t="s" s="8244">
        <v>0</v>
      </c>
      <c r="R10" t="s" s="8245">
        <v>0</v>
      </c>
      <c r="S10" t="s" s="8246">
        <v>0</v>
      </c>
      <c r="T10" t="s" s="8247">
        <v>0</v>
      </c>
      <c r="U10" t="s" s="8248">
        <v>0</v>
      </c>
      <c r="V10" t="s" s="8249">
        <v>0</v>
      </c>
      <c r="W10" t="s" s="8250">
        <v>0</v>
      </c>
      <c r="X10" t="s" s="8251">
        <v>0</v>
      </c>
      <c r="Y10" t="n" s="8252">
        <v>1.5</v>
      </c>
      <c r="Z10" t="n" s="8253">
        <v>1.5</v>
      </c>
      <c r="AA10" t="n" s="8254">
        <v>2.0</v>
      </c>
      <c r="AB10" t="n" s="8255">
        <v>2.0</v>
      </c>
      <c r="AC10" t="n" s="8256">
        <v>3.0</v>
      </c>
      <c r="AD10" t="n" s="8257">
        <v>3.0</v>
      </c>
      <c r="AE10" t="s" s="8258">
        <v>50</v>
      </c>
      <c r="AF10" t="s" s="8259">
        <v>50</v>
      </c>
      <c r="AG10" s="8260"/>
      <c r="AH10" s="8261"/>
      <c r="AI10" s="8262"/>
      <c r="AJ10" s="8263"/>
      <c r="AK10" s="8264"/>
      <c r="AL10" s="8265"/>
      <c r="AM10" s="8266"/>
      <c r="AN10" s="8267"/>
      <c r="AO10" s="8268"/>
    </row>
    <row r="11">
      <c r="A11" t="s" s="3216">
        <v>51</v>
      </c>
      <c r="B11" t="s" s="3217">
        <v>52</v>
      </c>
      <c r="C11" t="s" s="3218">
        <v>53</v>
      </c>
      <c r="D11" t="s" s="3219">
        <v>54</v>
      </c>
      <c r="E11" t="s" s="3220">
        <v>55</v>
      </c>
      <c r="F11" t="s" s="8013">
        <v>56</v>
      </c>
      <c r="G11" t="s" s="3222">
        <v>57</v>
      </c>
      <c r="H11" t="s" s="3223">
        <v>58</v>
      </c>
      <c r="I11" t="n" s="8277">
        <v>43831.0</v>
      </c>
      <c r="J11" t="n" s="8278">
        <v>44196.0</v>
      </c>
      <c r="K11" t="s" s="3226">
        <v>0</v>
      </c>
      <c r="L11" t="n" s="3227">
        <v>1610.0</v>
      </c>
      <c r="M11" t="n" s="3228">
        <v>0.0</v>
      </c>
      <c r="N11" t="n" s="3229">
        <v>0.0</v>
      </c>
      <c r="O11" t="n" s="3230">
        <f>M11*N11</f>
      </c>
      <c r="P11" t="n" s="3231">
        <v>0.0</v>
      </c>
      <c r="Q11" t="n" s="3232">
        <v>0.0</v>
      </c>
      <c r="R11" t="n" s="3233">
        <f>P11*Q11</f>
      </c>
      <c r="S11" t="n" s="3234">
        <f>L11+O11+R11</f>
      </c>
      <c r="T11" t="n" s="3235">
        <v>0.0</v>
      </c>
      <c r="U11" t="n" s="3236">
        <v>0.0</v>
      </c>
      <c r="V11" t="n" s="3237">
        <v>0.0</v>
      </c>
      <c r="W11" t="n" s="3238">
        <v>2400.0</v>
      </c>
      <c r="X11" t="n" s="3239">
        <f>s11+t11+u11+w11</f>
      </c>
      <c r="Y11" t="n" s="3240">
        <v>6.0</v>
      </c>
      <c r="Z11" t="n" s="3241">
        <v>69.66</v>
      </c>
      <c r="AA11" t="n" s="3242">
        <v>0.0</v>
      </c>
      <c r="AB11" t="n" s="3243">
        <v>0.0</v>
      </c>
      <c r="AC11" t="n" s="3244">
        <v>1.0</v>
      </c>
      <c r="AD11" t="n" s="3245">
        <v>23.22</v>
      </c>
      <c r="AE11" t="n" s="3246">
        <f>y11+aa11+ac11</f>
      </c>
      <c r="AF11" t="n" s="3247">
        <f>z11+ab11+ad11</f>
      </c>
      <c r="AG11" t="n" s="3248">
        <v>536.0</v>
      </c>
      <c r="AH11" t="n" s="3249">
        <v>69.05</v>
      </c>
      <c r="AI11" t="n" s="3250">
        <v>7.9</v>
      </c>
      <c r="AJ11" t="n" s="3251">
        <f>x11+af11+ag11+ah11+ai11</f>
      </c>
      <c r="AK11" t="n" s="3252">
        <f>ROUND((l11+t11+af11+ag11+ah11+ai11+w11)*0.05,2)</f>
      </c>
      <c r="AL11" t="n" s="3253">
        <f>aj11+ak11</f>
      </c>
      <c r="AM11" t="n" s="3254">
        <f>80*0.06</f>
      </c>
      <c r="AN11" t="n" s="3255">
        <f>al11+am11</f>
      </c>
      <c r="AO11" t="s" s="3256">
        <v>0</v>
      </c>
    </row>
    <row r="12">
      <c r="A12" t="s" s="3257">
        <v>59</v>
      </c>
      <c r="B12" t="s" s="3258">
        <v>60</v>
      </c>
      <c r="C12" t="s" s="3259">
        <v>61</v>
      </c>
      <c r="D12" t="s" s="3260">
        <v>62</v>
      </c>
      <c r="E12" t="s" s="3261">
        <v>55</v>
      </c>
      <c r="F12" t="s" s="8014">
        <v>63</v>
      </c>
      <c r="G12" t="s" s="3263">
        <v>57</v>
      </c>
      <c r="H12" t="s" s="3264">
        <v>58</v>
      </c>
      <c r="I12" t="n" s="8279">
        <v>43831.0</v>
      </c>
      <c r="J12" t="n" s="8280">
        <v>44196.0</v>
      </c>
      <c r="K12" t="s" s="3267">
        <v>0</v>
      </c>
      <c r="L12" t="n" s="3268">
        <v>1480.0</v>
      </c>
      <c r="M12" t="n" s="3269">
        <v>0.0</v>
      </c>
      <c r="N12" t="n" s="3270">
        <v>0.0</v>
      </c>
      <c r="O12" t="n" s="3271">
        <f>M12*N12</f>
      </c>
      <c r="P12" t="n" s="3272">
        <v>0.0</v>
      </c>
      <c r="Q12" t="n" s="3273">
        <v>0.0</v>
      </c>
      <c r="R12" t="n" s="3274">
        <f>P12*Q12</f>
      </c>
      <c r="S12" t="n" s="3275">
        <f>L12+O12+R12</f>
      </c>
      <c r="T12" t="n" s="3276">
        <v>0.0</v>
      </c>
      <c r="U12" t="n" s="3277">
        <v>0.0</v>
      </c>
      <c r="V12" t="n" s="3278">
        <v>0.0</v>
      </c>
      <c r="W12" t="n" s="3279">
        <v>0.0</v>
      </c>
      <c r="X12" t="n" s="3280">
        <f>s12+t12+u12+w12</f>
      </c>
      <c r="Y12" t="n" s="3281">
        <v>7.0</v>
      </c>
      <c r="Z12" t="n" s="3282">
        <v>74.69</v>
      </c>
      <c r="AA12" t="n" s="3283">
        <v>8.0</v>
      </c>
      <c r="AB12" t="n" s="3284">
        <v>113.84</v>
      </c>
      <c r="AC12" t="n" s="3285">
        <v>0.0</v>
      </c>
      <c r="AD12" t="n" s="3286">
        <v>0.0</v>
      </c>
      <c r="AE12" t="n" s="3287">
        <f>y12+aa12+ac12</f>
      </c>
      <c r="AF12" t="n" s="3288">
        <f>z12+ab12+ad12</f>
      </c>
      <c r="AG12" t="n" s="3289">
        <v>206.0</v>
      </c>
      <c r="AH12" t="n" s="3290">
        <v>30.65</v>
      </c>
      <c r="AI12" t="n" s="3291">
        <v>3.5</v>
      </c>
      <c r="AJ12" t="n" s="3292">
        <f>x12+af12+ag12+ah12+ai12</f>
      </c>
      <c r="AK12" t="n" s="3293">
        <f>ROUND((l12+t12+af12+ag12+ah12+ai12+w12)*0.05,2)</f>
      </c>
      <c r="AL12" t="n" s="3294">
        <f>aj12+ak12</f>
      </c>
      <c r="AM12" t="n" s="3295">
        <f>80*0.06</f>
      </c>
      <c r="AN12" t="n" s="3296">
        <f>al12+am12</f>
      </c>
      <c r="AO12" t="s" s="3297">
        <v>0</v>
      </c>
    </row>
    <row r="13">
      <c r="A13" t="s" s="3298">
        <v>64</v>
      </c>
      <c r="B13" t="s" s="3299">
        <v>65</v>
      </c>
      <c r="C13" t="s" s="3300">
        <v>66</v>
      </c>
      <c r="D13" t="s" s="3301">
        <v>67</v>
      </c>
      <c r="E13" t="s" s="3302">
        <v>55</v>
      </c>
      <c r="F13" t="s" s="8015">
        <v>68</v>
      </c>
      <c r="G13" t="s" s="3304">
        <v>57</v>
      </c>
      <c r="H13" t="s" s="3305">
        <v>58</v>
      </c>
      <c r="I13" t="n" s="8281">
        <v>43831.0</v>
      </c>
      <c r="J13" t="n" s="8282">
        <v>44196.0</v>
      </c>
      <c r="K13" t="s" s="3308">
        <v>0</v>
      </c>
      <c r="L13" t="n" s="3309">
        <v>1420.0</v>
      </c>
      <c r="M13" t="n" s="3310">
        <v>0.0</v>
      </c>
      <c r="N13" t="n" s="3311">
        <v>0.0</v>
      </c>
      <c r="O13" t="n" s="3312">
        <f>M13*N13</f>
      </c>
      <c r="P13" t="n" s="3313">
        <v>0.0</v>
      </c>
      <c r="Q13" t="n" s="3314">
        <v>0.0</v>
      </c>
      <c r="R13" t="n" s="3315">
        <f>P13*Q13</f>
      </c>
      <c r="S13" t="n" s="3316">
        <f>L13+O13+R13</f>
      </c>
      <c r="T13" t="n" s="3317">
        <v>0.0</v>
      </c>
      <c r="U13" t="n" s="3318">
        <v>0.0</v>
      </c>
      <c r="V13" t="n" s="3319">
        <v>0.0</v>
      </c>
      <c r="W13" t="n" s="3320">
        <v>1200.0</v>
      </c>
      <c r="X13" t="n" s="3321">
        <f>s13+t13+u13+w13</f>
      </c>
      <c r="Y13" t="n" s="3322">
        <v>6.5</v>
      </c>
      <c r="Z13" t="n" s="3323">
        <v>66.56</v>
      </c>
      <c r="AA13" t="n" s="3324">
        <v>8.0</v>
      </c>
      <c r="AB13" t="n" s="3325">
        <v>109.2</v>
      </c>
      <c r="AC13" t="n" s="3326">
        <v>0.0</v>
      </c>
      <c r="AD13" t="n" s="3327">
        <v>0.0</v>
      </c>
      <c r="AE13" t="n" s="3328">
        <f>y13+aa13+ac13</f>
      </c>
      <c r="AF13" t="n" s="3329">
        <f>z13+ab13+ad13</f>
      </c>
      <c r="AG13" t="n" s="3330">
        <v>354.0</v>
      </c>
      <c r="AH13" t="n" s="3331">
        <v>49.85</v>
      </c>
      <c r="AI13" t="n" s="3332">
        <v>5.7</v>
      </c>
      <c r="AJ13" t="n" s="3333">
        <f>x13+af13+ag13+ah13+ai13</f>
      </c>
      <c r="AK13" t="n" s="3334">
        <f>ROUND((l13+t13+af13+ag13+ah13+ai13+w13)*0.05,2)</f>
      </c>
      <c r="AL13" t="n" s="3335">
        <f>aj13+ak13</f>
      </c>
      <c r="AM13" t="n" s="3336">
        <f>80*0.06</f>
      </c>
      <c r="AN13" t="n" s="3337">
        <f>al13+am13</f>
      </c>
      <c r="AO13" t="s" s="3338">
        <v>0</v>
      </c>
    </row>
    <row r="14">
      <c r="A14" t="s" s="3339">
        <v>69</v>
      </c>
      <c r="B14" t="s" s="3340">
        <v>70</v>
      </c>
      <c r="C14" t="s" s="3341">
        <v>71</v>
      </c>
      <c r="D14" t="s" s="3342">
        <v>72</v>
      </c>
      <c r="E14" t="s" s="3343">
        <v>55</v>
      </c>
      <c r="F14" t="s" s="8016">
        <v>73</v>
      </c>
      <c r="G14" t="s" s="3345">
        <v>57</v>
      </c>
      <c r="H14" t="s" s="3346">
        <v>58</v>
      </c>
      <c r="I14" t="n" s="8283">
        <v>43831.0</v>
      </c>
      <c r="J14" t="n" s="8284">
        <v>44196.0</v>
      </c>
      <c r="K14" t="s" s="3349">
        <v>0</v>
      </c>
      <c r="L14" t="n" s="3350">
        <v>1390.0</v>
      </c>
      <c r="M14" t="n" s="3351">
        <v>0.0</v>
      </c>
      <c r="N14" t="n" s="3352">
        <v>0.0</v>
      </c>
      <c r="O14" t="n" s="3353">
        <f>M14*N14</f>
      </c>
      <c r="P14" t="n" s="3354">
        <v>0.0</v>
      </c>
      <c r="Q14" t="n" s="3355">
        <v>0.0</v>
      </c>
      <c r="R14" t="n" s="3356">
        <f>P14*Q14</f>
      </c>
      <c r="S14" t="n" s="3357">
        <f>L14+O14+R14</f>
      </c>
      <c r="T14" t="n" s="3358">
        <v>0.0</v>
      </c>
      <c r="U14" t="n" s="3359">
        <v>0.0</v>
      </c>
      <c r="V14" t="n" s="3360">
        <v>0.0</v>
      </c>
      <c r="W14" t="n" s="3361">
        <v>1650.0</v>
      </c>
      <c r="X14" t="n" s="3362">
        <f>s14+t14+u14+w14</f>
      </c>
      <c r="Y14" t="n" s="3363">
        <v>3.0</v>
      </c>
      <c r="Z14" t="n" s="3364">
        <v>30.06</v>
      </c>
      <c r="AA14" t="n" s="3365">
        <v>0.0</v>
      </c>
      <c r="AB14" t="n" s="3366">
        <v>0.0</v>
      </c>
      <c r="AC14" t="n" s="3367">
        <v>0.0</v>
      </c>
      <c r="AD14" t="n" s="3368">
        <v>0.0</v>
      </c>
      <c r="AE14" t="n" s="3369">
        <f>y14+aa14+ac14</f>
      </c>
      <c r="AF14" t="n" s="3370">
        <f>z14+ab14+ad14</f>
      </c>
      <c r="AG14" t="n" s="3371">
        <v>416.0</v>
      </c>
      <c r="AH14" t="n" s="3372">
        <v>56.85</v>
      </c>
      <c r="AI14" t="n" s="3373">
        <v>6.5</v>
      </c>
      <c r="AJ14" t="n" s="3374">
        <f>x14+af14+ag14+ah14+ai14</f>
      </c>
      <c r="AK14" t="n" s="3375">
        <f>ROUND((l14+t14+af14+ag14+ah14+ai14+w14)*0.05,2)</f>
      </c>
      <c r="AL14" t="n" s="3376">
        <f>aj14+ak14</f>
      </c>
      <c r="AM14" t="n" s="3377">
        <f>80*0.06</f>
      </c>
      <c r="AN14" t="n" s="3378">
        <f>al14+am14</f>
      </c>
      <c r="AO14" t="s" s="3379">
        <v>0</v>
      </c>
    </row>
    <row r="15">
      <c r="A15" t="s" s="3380">
        <v>74</v>
      </c>
      <c r="B15" t="s" s="3381">
        <v>75</v>
      </c>
      <c r="C15" t="s" s="3382">
        <v>76</v>
      </c>
      <c r="D15" t="s" s="3383">
        <v>77</v>
      </c>
      <c r="E15" t="s" s="3384">
        <v>55</v>
      </c>
      <c r="F15" t="s" s="8017">
        <v>78</v>
      </c>
      <c r="G15" t="s" s="3386">
        <v>57</v>
      </c>
      <c r="H15" t="s" s="3387">
        <v>58</v>
      </c>
      <c r="I15" t="n" s="8285">
        <v>43831.0</v>
      </c>
      <c r="J15" t="n" s="8286">
        <v>44196.0</v>
      </c>
      <c r="K15" t="s" s="3390">
        <v>0</v>
      </c>
      <c r="L15" t="n" s="3391">
        <v>1780.0</v>
      </c>
      <c r="M15" t="n" s="3392">
        <v>0.0</v>
      </c>
      <c r="N15" t="n" s="3393">
        <v>0.0</v>
      </c>
      <c r="O15" t="n" s="3394">
        <f>M15*N15</f>
      </c>
      <c r="P15" t="n" s="3395">
        <v>0.0</v>
      </c>
      <c r="Q15" t="n" s="3396">
        <v>0.0</v>
      </c>
      <c r="R15" t="n" s="3397">
        <f>P15*Q15</f>
      </c>
      <c r="S15" t="n" s="3398">
        <f>L15+O15+R15</f>
      </c>
      <c r="T15" t="n" s="3399">
        <v>0.0</v>
      </c>
      <c r="U15" t="n" s="3400">
        <v>0.0</v>
      </c>
      <c r="V15" t="n" s="3401">
        <v>0.0</v>
      </c>
      <c r="W15" t="n" s="3402">
        <v>2400.0</v>
      </c>
      <c r="X15" t="n" s="3403">
        <f>s15+t15+u15+w15</f>
      </c>
      <c r="Y15" t="n" s="3404">
        <v>10.5</v>
      </c>
      <c r="Z15" t="n" s="3405">
        <v>134.82</v>
      </c>
      <c r="AA15" t="n" s="3406">
        <v>0.0</v>
      </c>
      <c r="AB15" t="n" s="3407">
        <v>0.0</v>
      </c>
      <c r="AC15" t="n" s="3408">
        <v>1.0</v>
      </c>
      <c r="AD15" t="n" s="3409">
        <v>25.67</v>
      </c>
      <c r="AE15" t="n" s="3410">
        <f>y15+aa15+ac15</f>
      </c>
      <c r="AF15" t="n" s="3411">
        <f>z15+ab15+ad15</f>
      </c>
      <c r="AG15" t="n" s="3412">
        <v>557.0</v>
      </c>
      <c r="AH15" t="n" s="3413">
        <v>69.05</v>
      </c>
      <c r="AI15" t="n" s="3414">
        <v>7.9</v>
      </c>
      <c r="AJ15" t="n" s="3415">
        <f>x15+af15+ag15+ah15+ai15</f>
      </c>
      <c r="AK15" t="n" s="3416">
        <f>ROUND((l15+t15+af15+ag15+ah15+ai15+w15)*0.05,2)</f>
      </c>
      <c r="AL15" t="n" s="3417">
        <f>aj15+ak15</f>
      </c>
      <c r="AM15" t="n" s="3418">
        <f>80*0.06</f>
      </c>
      <c r="AN15" t="n" s="3419">
        <f>al15+am15</f>
      </c>
      <c r="AO15" t="s" s="3420">
        <v>0</v>
      </c>
    </row>
    <row r="16">
      <c r="A16" t="s" s="3421">
        <v>79</v>
      </c>
      <c r="B16" t="s" s="3422">
        <v>80</v>
      </c>
      <c r="C16" t="s" s="3423">
        <v>81</v>
      </c>
      <c r="D16" t="s" s="3424">
        <v>82</v>
      </c>
      <c r="E16" t="s" s="3425">
        <v>55</v>
      </c>
      <c r="F16" t="s" s="8018">
        <v>83</v>
      </c>
      <c r="G16" t="s" s="3427">
        <v>57</v>
      </c>
      <c r="H16" t="s" s="3428">
        <v>58</v>
      </c>
      <c r="I16" t="n" s="8287">
        <v>43831.0</v>
      </c>
      <c r="J16" t="n" s="8288">
        <v>44196.0</v>
      </c>
      <c r="K16" t="s" s="3431">
        <v>0</v>
      </c>
      <c r="L16" t="n" s="3432">
        <v>1640.0</v>
      </c>
      <c r="M16" t="n" s="3433">
        <v>0.0</v>
      </c>
      <c r="N16" t="n" s="3434">
        <v>0.0</v>
      </c>
      <c r="O16" t="n" s="3435">
        <f>M16*N16</f>
      </c>
      <c r="P16" t="n" s="3436">
        <v>0.0</v>
      </c>
      <c r="Q16" t="n" s="3437">
        <v>0.0</v>
      </c>
      <c r="R16" t="n" s="3438">
        <f>P16*Q16</f>
      </c>
      <c r="S16" t="n" s="3439">
        <f>L16+O16+R16</f>
      </c>
      <c r="T16" t="n" s="3440">
        <v>0.0</v>
      </c>
      <c r="U16" t="n" s="3441">
        <v>0.0</v>
      </c>
      <c r="V16" t="n" s="3442">
        <v>0.0</v>
      </c>
      <c r="W16" t="n" s="3443">
        <v>1400.0</v>
      </c>
      <c r="X16" t="n" s="3444">
        <f>s16+t16+u16+w16</f>
      </c>
      <c r="Y16" t="n" s="3445">
        <v>11.0</v>
      </c>
      <c r="Z16" t="n" s="3446">
        <v>130.13</v>
      </c>
      <c r="AA16" t="n" s="3447">
        <v>0.0</v>
      </c>
      <c r="AB16" t="n" s="3448">
        <v>0.0</v>
      </c>
      <c r="AC16" t="n" s="3449">
        <v>1.0</v>
      </c>
      <c r="AD16" t="n" s="3450">
        <v>23.65</v>
      </c>
      <c r="AE16" t="n" s="3451">
        <f>y16+aa16+ac16</f>
      </c>
      <c r="AF16" t="n" s="3452">
        <f>z16+ab16+ad16</f>
      </c>
      <c r="AG16" t="n" s="3453">
        <v>409.0</v>
      </c>
      <c r="AH16" t="n" s="3454">
        <v>56.85</v>
      </c>
      <c r="AI16" t="n" s="3455">
        <v>6.5</v>
      </c>
      <c r="AJ16" t="n" s="3456">
        <f>x16+af16+ag16+ah16+ai16</f>
      </c>
      <c r="AK16" t="n" s="3457">
        <f>ROUND((l16+t16+af16+ag16+ah16+ai16+w16)*0.05,2)</f>
      </c>
      <c r="AL16" t="n" s="3458">
        <f>aj16+ak16</f>
      </c>
      <c r="AM16" t="n" s="3459">
        <f>80*0.06</f>
      </c>
      <c r="AN16" t="n" s="3460">
        <f>al16+am16</f>
      </c>
      <c r="AO16" t="s" s="3461">
        <v>0</v>
      </c>
    </row>
    <row r="17">
      <c r="A17" t="s" s="3462">
        <v>84</v>
      </c>
      <c r="B17" t="s" s="3463">
        <v>85</v>
      </c>
      <c r="C17" t="s" s="3464">
        <v>86</v>
      </c>
      <c r="D17" t="s" s="3465">
        <v>87</v>
      </c>
      <c r="E17" t="s" s="3466">
        <v>55</v>
      </c>
      <c r="F17" t="s" s="8019">
        <v>88</v>
      </c>
      <c r="G17" t="s" s="3468">
        <v>57</v>
      </c>
      <c r="H17" t="s" s="3469">
        <v>58</v>
      </c>
      <c r="I17" t="n" s="8289">
        <v>43831.0</v>
      </c>
      <c r="J17" t="n" s="8290">
        <v>44196.0</v>
      </c>
      <c r="K17" t="s" s="3472">
        <v>0</v>
      </c>
      <c r="L17" t="n" s="3473">
        <v>1510.0</v>
      </c>
      <c r="M17" t="n" s="3474">
        <v>0.0</v>
      </c>
      <c r="N17" t="n" s="3475">
        <v>0.0</v>
      </c>
      <c r="O17" t="n" s="3476">
        <f>M17*N17</f>
      </c>
      <c r="P17" t="n" s="3477">
        <v>0.0</v>
      </c>
      <c r="Q17" t="n" s="3478">
        <v>0.0</v>
      </c>
      <c r="R17" t="n" s="3479">
        <f>P17*Q17</f>
      </c>
      <c r="S17" t="n" s="3480">
        <f>L17+O17+R17</f>
      </c>
      <c r="T17" t="n" s="3481">
        <v>0.0</v>
      </c>
      <c r="U17" t="n" s="3482">
        <v>0.0</v>
      </c>
      <c r="V17" t="n" s="3483">
        <v>0.0</v>
      </c>
      <c r="W17" t="n" s="3484">
        <v>420.0</v>
      </c>
      <c r="X17" t="n" s="3485">
        <f>s17+t17+u17+w17</f>
      </c>
      <c r="Y17" t="n" s="3486">
        <v>5.0</v>
      </c>
      <c r="Z17" t="n" s="3487">
        <v>54.45</v>
      </c>
      <c r="AA17" t="n" s="3488">
        <v>8.0</v>
      </c>
      <c r="AB17" t="n" s="3489">
        <v>116.16</v>
      </c>
      <c r="AC17" t="n" s="3490">
        <v>0.0</v>
      </c>
      <c r="AD17" t="n" s="3491">
        <v>0.0</v>
      </c>
      <c r="AE17" t="n" s="3492">
        <f>y17+aa17+ac17</f>
      </c>
      <c r="AF17" t="n" s="3493">
        <f>z17+ab17+ad17</f>
      </c>
      <c r="AG17" t="n" s="3494">
        <v>266.0</v>
      </c>
      <c r="AH17" t="n" s="3495">
        <v>39.35</v>
      </c>
      <c r="AI17" t="n" s="3496">
        <v>4.5</v>
      </c>
      <c r="AJ17" t="n" s="3497">
        <f>x17+af17+ag17+ah17+ai17</f>
      </c>
      <c r="AK17" t="n" s="3498">
        <f>ROUND((l17+t17+af17+ag17+ah17+ai17+w17)*0.05,2)</f>
      </c>
      <c r="AL17" t="n" s="3499">
        <f>aj17+ak17</f>
      </c>
      <c r="AM17" t="n" s="3500">
        <f>80*0.06</f>
      </c>
      <c r="AN17" t="n" s="3501">
        <f>al17+am17</f>
      </c>
      <c r="AO17" t="s" s="3502">
        <v>0</v>
      </c>
    </row>
    <row r="18">
      <c r="A18" t="s" s="3503">
        <v>89</v>
      </c>
      <c r="B18" t="s" s="3504">
        <v>90</v>
      </c>
      <c r="C18" t="s" s="3505">
        <v>91</v>
      </c>
      <c r="D18" t="s" s="3506">
        <v>92</v>
      </c>
      <c r="E18" t="s" s="3507">
        <v>93</v>
      </c>
      <c r="F18" t="s" s="8020">
        <v>94</v>
      </c>
      <c r="G18" t="s" s="3509">
        <v>57</v>
      </c>
      <c r="H18" t="s" s="3510">
        <v>58</v>
      </c>
      <c r="I18" t="n" s="8291">
        <v>43831.0</v>
      </c>
      <c r="J18" t="n" s="8292">
        <v>44196.0</v>
      </c>
      <c r="K18" t="s" s="3513">
        <v>0</v>
      </c>
      <c r="L18" t="n" s="3514">
        <v>1500.0</v>
      </c>
      <c r="M18" t="n" s="3515">
        <v>0.0</v>
      </c>
      <c r="N18" t="n" s="3516">
        <v>0.0</v>
      </c>
      <c r="O18" t="n" s="3517">
        <f>M18*N18</f>
      </c>
      <c r="P18" t="n" s="3518">
        <v>0.0</v>
      </c>
      <c r="Q18" t="n" s="3519">
        <v>0.0</v>
      </c>
      <c r="R18" t="n" s="3520">
        <f>P18*Q18</f>
      </c>
      <c r="S18" t="n" s="3521">
        <f>L18+O18+R18</f>
      </c>
      <c r="T18" t="n" s="3522">
        <v>0.0</v>
      </c>
      <c r="U18" t="n" s="3523">
        <v>0.0</v>
      </c>
      <c r="V18" t="n" s="3524">
        <v>0.0</v>
      </c>
      <c r="W18" t="n" s="3525">
        <v>80.0</v>
      </c>
      <c r="X18" t="n" s="3526">
        <f>s18+t18+u18+w18</f>
      </c>
      <c r="Y18" t="n" s="3527">
        <v>6.0</v>
      </c>
      <c r="Z18" t="n" s="3528">
        <v>64.92</v>
      </c>
      <c r="AA18" t="n" s="3529">
        <v>8.0</v>
      </c>
      <c r="AB18" t="n" s="3530">
        <v>115.36</v>
      </c>
      <c r="AC18" t="n" s="3531">
        <v>0.0</v>
      </c>
      <c r="AD18" t="n" s="3532">
        <v>0.0</v>
      </c>
      <c r="AE18" t="n" s="3533">
        <f>y18+aa18+ac18</f>
      </c>
      <c r="AF18" t="n" s="3534">
        <f>z18+ab18+ad18</f>
      </c>
      <c r="AG18" t="n" s="3535">
        <v>219.0</v>
      </c>
      <c r="AH18" t="n" s="3536">
        <v>32.35</v>
      </c>
      <c r="AI18" t="n" s="3537">
        <v>3.7</v>
      </c>
      <c r="AJ18" t="n" s="3538">
        <f>x18+af18+ag18+ah18+ai18</f>
      </c>
      <c r="AK18" t="n" s="3539">
        <f>ROUND((l18+t18+af18+ag18+ah18+ai18+w18)*0.05,2)</f>
      </c>
      <c r="AL18" t="n" s="3540">
        <f>aj18+ak18</f>
      </c>
      <c r="AM18" t="n" s="3541">
        <f>80*0.06</f>
      </c>
      <c r="AN18" t="n" s="3542">
        <f>al18+am18</f>
      </c>
      <c r="AO18" t="s" s="3543">
        <v>0</v>
      </c>
    </row>
    <row r="19">
      <c r="A19" t="s" s="3544">
        <v>95</v>
      </c>
      <c r="B19" t="s" s="3545">
        <v>96</v>
      </c>
      <c r="C19" t="s" s="3546">
        <v>97</v>
      </c>
      <c r="D19" t="s" s="3547">
        <v>98</v>
      </c>
      <c r="E19" t="s" s="3548">
        <v>55</v>
      </c>
      <c r="F19" t="s" s="8021">
        <v>99</v>
      </c>
      <c r="G19" t="s" s="3550">
        <v>57</v>
      </c>
      <c r="H19" t="s" s="3551">
        <v>58</v>
      </c>
      <c r="I19" t="n" s="8293">
        <v>43831.0</v>
      </c>
      <c r="J19" t="n" s="8294">
        <v>44196.0</v>
      </c>
      <c r="K19" t="s" s="3554">
        <v>0</v>
      </c>
      <c r="L19" t="n" s="3555">
        <v>1530.0</v>
      </c>
      <c r="M19" t="n" s="3556">
        <v>0.0</v>
      </c>
      <c r="N19" t="n" s="3557">
        <v>0.0</v>
      </c>
      <c r="O19" t="n" s="3558">
        <f>M19*N19</f>
      </c>
      <c r="P19" t="n" s="3559">
        <v>0.0</v>
      </c>
      <c r="Q19" t="n" s="3560">
        <v>0.0</v>
      </c>
      <c r="R19" t="n" s="3561">
        <f>P19*Q19</f>
      </c>
      <c r="S19" t="n" s="3562">
        <f>L19+O19+R19</f>
      </c>
      <c r="T19" t="n" s="3563">
        <v>0.0</v>
      </c>
      <c r="U19" t="n" s="3564">
        <v>0.0</v>
      </c>
      <c r="V19" t="n" s="3565">
        <v>0.0</v>
      </c>
      <c r="W19" t="n" s="3566">
        <v>1000.0</v>
      </c>
      <c r="X19" t="n" s="3567">
        <f>s19+t19+u19+w19</f>
      </c>
      <c r="Y19" t="n" s="3568">
        <v>32.0</v>
      </c>
      <c r="Z19" t="n" s="3569">
        <v>352.96</v>
      </c>
      <c r="AA19" t="n" s="3570">
        <v>0.0</v>
      </c>
      <c r="AB19" t="n" s="3571">
        <v>0.0</v>
      </c>
      <c r="AC19" t="n" s="3572">
        <v>0.0</v>
      </c>
      <c r="AD19" t="n" s="3573">
        <v>0.0</v>
      </c>
      <c r="AE19" t="n" s="3574">
        <f>y19+aa19+ac19</f>
      </c>
      <c r="AF19" t="n" s="3575">
        <f>z19+ab19+ad19</f>
      </c>
      <c r="AG19" t="n" s="3576">
        <v>351.0</v>
      </c>
      <c r="AH19" t="n" s="3577">
        <v>53.35</v>
      </c>
      <c r="AI19" t="n" s="3578">
        <v>6.1</v>
      </c>
      <c r="AJ19" t="n" s="3579">
        <f>x19+af19+ag19+ah19+ai19</f>
      </c>
      <c r="AK19" t="n" s="3580">
        <f>ROUND((l19+t19+af19+ag19+ah19+ai19+w19)*0.05,2)</f>
      </c>
      <c r="AL19" t="n" s="3581">
        <f>aj19+ak19</f>
      </c>
      <c r="AM19" t="n" s="3582">
        <f>80*0.06</f>
      </c>
      <c r="AN19" t="n" s="3583">
        <f>al19+am19</f>
      </c>
      <c r="AO19" t="s" s="3584">
        <v>0</v>
      </c>
    </row>
    <row r="20">
      <c r="A20" t="s" s="3585">
        <v>100</v>
      </c>
      <c r="B20" t="s" s="3586">
        <v>101</v>
      </c>
      <c r="C20" t="s" s="3587">
        <v>102</v>
      </c>
      <c r="D20" t="s" s="3588">
        <v>103</v>
      </c>
      <c r="E20" t="s" s="3589">
        <v>0</v>
      </c>
      <c r="F20" t="s" s="8022">
        <v>104</v>
      </c>
      <c r="G20" t="s" s="3591">
        <v>105</v>
      </c>
      <c r="H20" t="s" s="3592">
        <v>58</v>
      </c>
      <c r="I20" t="n" s="8295">
        <v>43836.0</v>
      </c>
      <c r="J20" t="n" s="8296">
        <v>44196.0</v>
      </c>
      <c r="K20" t="s" s="3595">
        <v>0</v>
      </c>
      <c r="L20" t="n" s="3596">
        <v>1174.19</v>
      </c>
      <c r="M20" t="n" s="3597">
        <v>0.0</v>
      </c>
      <c r="N20" t="n" s="3598">
        <v>0.0</v>
      </c>
      <c r="O20" t="n" s="3599">
        <f>M20*N20</f>
      </c>
      <c r="P20" t="n" s="3600">
        <v>0.0</v>
      </c>
      <c r="Q20" t="n" s="3601">
        <v>0.0</v>
      </c>
      <c r="R20" t="n" s="3602">
        <f>P20*Q20</f>
      </c>
      <c r="S20" t="n" s="3603">
        <f>L20+O20+R20</f>
      </c>
      <c r="T20" t="n" s="3604">
        <v>0.0</v>
      </c>
      <c r="U20" t="n" s="3605">
        <v>0.0</v>
      </c>
      <c r="V20" t="n" s="3606">
        <v>0.0</v>
      </c>
      <c r="W20" t="n" s="3607">
        <v>0.0</v>
      </c>
      <c r="X20" t="n" s="3608">
        <f>s20+t20+u20+w20</f>
      </c>
      <c r="Y20" t="n" s="3609">
        <v>0.0</v>
      </c>
      <c r="Z20" t="n" s="3610">
        <v>0.0</v>
      </c>
      <c r="AA20" t="n" s="3611">
        <v>0.0</v>
      </c>
      <c r="AB20" t="n" s="3612">
        <v>0.0</v>
      </c>
      <c r="AC20" t="n" s="3613">
        <v>0.0</v>
      </c>
      <c r="AD20" t="n" s="3614">
        <v>0.0</v>
      </c>
      <c r="AE20" t="n" s="3615">
        <f>y20+aa20+ac20</f>
      </c>
      <c r="AF20" t="n" s="3616">
        <f>z20+ab20+ad20</f>
      </c>
      <c r="AG20" t="n" s="3617">
        <v>164.0</v>
      </c>
      <c r="AH20" t="n" s="3618">
        <v>21.85</v>
      </c>
      <c r="AI20" t="n" s="3619">
        <v>2.5</v>
      </c>
      <c r="AJ20" t="n" s="3620">
        <f>x20+af20+ag20+ah20+ai20</f>
      </c>
      <c r="AK20" t="n" s="3621">
        <f>ROUND((l20+t20+af20+ag20+ah20+ai20+w20)*0.05,2)</f>
      </c>
      <c r="AL20" t="n" s="3622">
        <f>aj20+ak20</f>
      </c>
      <c r="AM20" t="n" s="3623">
        <f>80*0.06</f>
      </c>
      <c r="AN20" t="n" s="3624">
        <f>al20+am20</f>
      </c>
      <c r="AO20" t="s" s="3625">
        <v>0</v>
      </c>
    </row>
    <row r="21">
      <c r="A21" t="s" s="3626">
        <v>106</v>
      </c>
      <c r="B21" t="s" s="3627">
        <v>107</v>
      </c>
      <c r="C21" t="s" s="3628">
        <v>108</v>
      </c>
      <c r="D21" t="s" s="3629">
        <v>109</v>
      </c>
      <c r="E21" t="s" s="3630">
        <v>55</v>
      </c>
      <c r="F21" t="s" s="8023">
        <v>110</v>
      </c>
      <c r="G21" t="s" s="3632">
        <v>57</v>
      </c>
      <c r="H21" t="s" s="3633">
        <v>58</v>
      </c>
      <c r="I21" t="n" s="8297">
        <v>43831.0</v>
      </c>
      <c r="J21" t="n" s="8298">
        <v>44196.0</v>
      </c>
      <c r="K21" t="s" s="3636">
        <v>0</v>
      </c>
      <c r="L21" t="n" s="3637">
        <v>1710.0</v>
      </c>
      <c r="M21" t="n" s="3638">
        <v>0.0</v>
      </c>
      <c r="N21" t="n" s="3639">
        <v>0.0</v>
      </c>
      <c r="O21" t="n" s="3640">
        <f>M21*N21</f>
      </c>
      <c r="P21" t="n" s="3641">
        <v>0.0</v>
      </c>
      <c r="Q21" t="n" s="3642">
        <v>0.0</v>
      </c>
      <c r="R21" t="n" s="3643">
        <f>P21*Q21</f>
      </c>
      <c r="S21" t="n" s="3644">
        <f>L21+O21+R21</f>
      </c>
      <c r="T21" t="n" s="3645">
        <v>0.0</v>
      </c>
      <c r="U21" t="n" s="3646">
        <v>0.0</v>
      </c>
      <c r="V21" t="n" s="3647">
        <v>0.0</v>
      </c>
      <c r="W21" t="n" s="3648">
        <v>1600.0</v>
      </c>
      <c r="X21" t="n" s="3649">
        <f>s21+t21+u21+w21</f>
      </c>
      <c r="Y21" t="n" s="3650">
        <v>9.5</v>
      </c>
      <c r="Z21" t="n" s="3651">
        <v>117.14</v>
      </c>
      <c r="AA21" t="n" s="3652">
        <v>8.0</v>
      </c>
      <c r="AB21" t="n" s="3653">
        <v>131.52</v>
      </c>
      <c r="AC21" t="n" s="3654">
        <v>1.0</v>
      </c>
      <c r="AD21" t="n" s="3655">
        <v>24.66</v>
      </c>
      <c r="AE21" t="n" s="3656">
        <f>y21+aa21+ac21</f>
      </c>
      <c r="AF21" t="n" s="3657">
        <f>z21+ab21+ad21</f>
      </c>
      <c r="AG21" t="n" s="3658">
        <v>445.0</v>
      </c>
      <c r="AH21" t="n" s="3659">
        <v>63.85</v>
      </c>
      <c r="AI21" t="n" s="3660">
        <v>7.3</v>
      </c>
      <c r="AJ21" t="n" s="3661">
        <f>x21+af21+ag21+ah21+ai21</f>
      </c>
      <c r="AK21" t="n" s="3662">
        <f>ROUND((l21+t21+af21+ag21+ah21+ai21+w21)*0.05,2)</f>
      </c>
      <c r="AL21" t="n" s="3663">
        <f>aj21+ak21</f>
      </c>
      <c r="AM21" t="n" s="3664">
        <f>80*0.06</f>
      </c>
      <c r="AN21" t="n" s="3665">
        <f>al21+am21</f>
      </c>
      <c r="AO21" t="s" s="3666">
        <v>0</v>
      </c>
    </row>
    <row r="22">
      <c r="A22" t="s" s="3667">
        <v>111</v>
      </c>
      <c r="B22" t="s" s="3668">
        <v>112</v>
      </c>
      <c r="C22" t="s" s="3669">
        <v>113</v>
      </c>
      <c r="D22" t="s" s="3670">
        <v>114</v>
      </c>
      <c r="E22" t="s" s="3671">
        <v>55</v>
      </c>
      <c r="F22" t="s" s="8024">
        <v>115</v>
      </c>
      <c r="G22" t="s" s="3673">
        <v>57</v>
      </c>
      <c r="H22" t="s" s="3674">
        <v>58</v>
      </c>
      <c r="I22" t="n" s="8299">
        <v>43831.0</v>
      </c>
      <c r="J22" t="n" s="8300">
        <v>44196.0</v>
      </c>
      <c r="K22" t="s" s="3677">
        <v>0</v>
      </c>
      <c r="L22" t="n" s="3678">
        <v>1770.0</v>
      </c>
      <c r="M22" t="n" s="3679">
        <v>0.0</v>
      </c>
      <c r="N22" t="n" s="3680">
        <v>0.0</v>
      </c>
      <c r="O22" t="n" s="3681">
        <f>M22*N22</f>
      </c>
      <c r="P22" t="n" s="3682">
        <v>0.0</v>
      </c>
      <c r="Q22" t="n" s="3683">
        <v>0.0</v>
      </c>
      <c r="R22" t="n" s="3684">
        <f>P22*Q22</f>
      </c>
      <c r="S22" t="n" s="3685">
        <f>L22+O22+R22</f>
      </c>
      <c r="T22" t="n" s="3686">
        <v>0.0</v>
      </c>
      <c r="U22" t="n" s="3687">
        <v>14.2</v>
      </c>
      <c r="V22" t="n" s="3688">
        <v>0.0</v>
      </c>
      <c r="W22" t="n" s="3689">
        <v>2000.0</v>
      </c>
      <c r="X22" t="n" s="3690">
        <f>s22+t22+u22+w22</f>
      </c>
      <c r="Y22" t="n" s="3691">
        <v>9.0</v>
      </c>
      <c r="Z22" t="n" s="3692">
        <v>114.84</v>
      </c>
      <c r="AA22" t="n" s="3693">
        <v>0.0</v>
      </c>
      <c r="AB22" t="n" s="3694">
        <v>0.0</v>
      </c>
      <c r="AC22" t="n" s="3695">
        <v>1.0</v>
      </c>
      <c r="AD22" t="n" s="3696">
        <v>25.53</v>
      </c>
      <c r="AE22" t="n" s="3697">
        <f>y22+aa22+ac22</f>
      </c>
      <c r="AF22" t="n" s="3698">
        <f>z22+ab22+ad22</f>
      </c>
      <c r="AG22" t="n" s="3699">
        <v>505.0</v>
      </c>
      <c r="AH22" t="n" s="3700">
        <v>69.05</v>
      </c>
      <c r="AI22" t="n" s="3701">
        <v>7.9</v>
      </c>
      <c r="AJ22" t="n" s="3702">
        <f>x22+af22+ag22+ah22+ai22</f>
      </c>
      <c r="AK22" t="n" s="3703">
        <f>ROUND((l22+t22+af22+ag22+ah22+ai22+w22)*0.05,2)</f>
      </c>
      <c r="AL22" t="n" s="3704">
        <f>aj22+ak22</f>
      </c>
      <c r="AM22" t="n" s="3705">
        <f>94.2*0.06</f>
      </c>
      <c r="AN22" t="n" s="3706">
        <f>al22+am22</f>
      </c>
      <c r="AO22" t="s" s="3707">
        <v>0</v>
      </c>
    </row>
    <row r="23">
      <c r="A23" t="s" s="3708">
        <v>116</v>
      </c>
      <c r="B23" t="s" s="3709">
        <v>117</v>
      </c>
      <c r="C23" t="s" s="3710">
        <v>118</v>
      </c>
      <c r="D23" t="s" s="3711">
        <v>119</v>
      </c>
      <c r="E23" t="s" s="3712">
        <v>55</v>
      </c>
      <c r="F23" t="s" s="8025">
        <v>120</v>
      </c>
      <c r="G23" t="s" s="3714">
        <v>57</v>
      </c>
      <c r="H23" t="s" s="3715">
        <v>58</v>
      </c>
      <c r="I23" t="n" s="8301">
        <v>43831.0</v>
      </c>
      <c r="J23" t="n" s="8302">
        <v>44196.0</v>
      </c>
      <c r="K23" t="s" s="3718">
        <v>0</v>
      </c>
      <c r="L23" t="n" s="3719">
        <v>1430.0</v>
      </c>
      <c r="M23" t="n" s="3720">
        <v>0.0</v>
      </c>
      <c r="N23" t="n" s="3721">
        <v>0.0</v>
      </c>
      <c r="O23" t="n" s="3722">
        <f>M23*N23</f>
      </c>
      <c r="P23" t="n" s="3723">
        <v>0.0</v>
      </c>
      <c r="Q23" t="n" s="3724">
        <v>0.0</v>
      </c>
      <c r="R23" t="n" s="3725">
        <f>P23*Q23</f>
      </c>
      <c r="S23" t="n" s="3726">
        <f>L23+O23+R23</f>
      </c>
      <c r="T23" t="n" s="3727">
        <v>0.0</v>
      </c>
      <c r="U23" t="n" s="3728">
        <v>0.0</v>
      </c>
      <c r="V23" t="n" s="3729">
        <v>0.0</v>
      </c>
      <c r="W23" t="n" s="3730">
        <v>0.0</v>
      </c>
      <c r="X23" t="n" s="3731">
        <f>s23+t23+u23+w23</f>
      </c>
      <c r="Y23" t="n" s="3732">
        <v>2.0</v>
      </c>
      <c r="Z23" t="n" s="3733">
        <v>20.62</v>
      </c>
      <c r="AA23" t="n" s="3734">
        <v>0.0</v>
      </c>
      <c r="AB23" t="n" s="3735">
        <v>0.0</v>
      </c>
      <c r="AC23" t="n" s="3736">
        <v>0.0</v>
      </c>
      <c r="AD23" t="n" s="3737">
        <v>0.0</v>
      </c>
      <c r="AE23" t="n" s="3738">
        <f>y23+aa23+ac23</f>
      </c>
      <c r="AF23" t="n" s="3739">
        <f>z23+ab23+ad23</f>
      </c>
      <c r="AG23" t="n" s="3740">
        <v>201.0</v>
      </c>
      <c r="AH23" t="n" s="3741">
        <v>27.15</v>
      </c>
      <c r="AI23" t="n" s="3742">
        <v>3.1</v>
      </c>
      <c r="AJ23" t="n" s="3743">
        <f>x23+af23+ag23+ah23+ai23</f>
      </c>
      <c r="AK23" t="n" s="3744">
        <f>ROUND((l23+t23+af23+ag23+ah23+ai23+w23)*0.05,2)</f>
      </c>
      <c r="AL23" t="n" s="3745">
        <f>aj23+ak23</f>
      </c>
      <c r="AM23" t="n" s="3746">
        <f>80*0.06</f>
      </c>
      <c r="AN23" t="n" s="3747">
        <f>al23+am23</f>
      </c>
      <c r="AO23" t="s" s="3748">
        <v>0</v>
      </c>
    </row>
    <row r="24">
      <c r="A24" t="s" s="3749">
        <v>121</v>
      </c>
      <c r="B24" t="s" s="3750">
        <v>122</v>
      </c>
      <c r="C24" t="s" s="3751">
        <v>123</v>
      </c>
      <c r="D24" t="s" s="3752">
        <v>124</v>
      </c>
      <c r="E24" t="s" s="3753">
        <v>55</v>
      </c>
      <c r="F24" t="s" s="8026">
        <v>125</v>
      </c>
      <c r="G24" t="s" s="3755">
        <v>57</v>
      </c>
      <c r="H24" t="s" s="3756">
        <v>58</v>
      </c>
      <c r="I24" t="n" s="8303">
        <v>43831.0</v>
      </c>
      <c r="J24" t="n" s="8304">
        <v>44196.0</v>
      </c>
      <c r="K24" t="s" s="3759">
        <v>0</v>
      </c>
      <c r="L24" t="n" s="3760">
        <v>1590.0</v>
      </c>
      <c r="M24" t="n" s="3761">
        <v>0.0</v>
      </c>
      <c r="N24" t="n" s="3762">
        <v>0.0</v>
      </c>
      <c r="O24" t="n" s="3763">
        <f>M24*N24</f>
      </c>
      <c r="P24" t="n" s="3764">
        <v>0.0</v>
      </c>
      <c r="Q24" t="n" s="3765">
        <v>0.0</v>
      </c>
      <c r="R24" t="n" s="3766">
        <f>P24*Q24</f>
      </c>
      <c r="S24" t="n" s="3767">
        <f>L24+O24+R24</f>
      </c>
      <c r="T24" t="n" s="3768">
        <v>0.0</v>
      </c>
      <c r="U24" t="n" s="3769">
        <v>0.0</v>
      </c>
      <c r="V24" t="n" s="3770">
        <v>0.0</v>
      </c>
      <c r="W24" t="n" s="3771">
        <v>1650.0</v>
      </c>
      <c r="X24" t="n" s="3772">
        <f>s24+t24+u24+w24</f>
      </c>
      <c r="Y24" t="n" s="3773">
        <v>0.0</v>
      </c>
      <c r="Z24" t="n" s="3774">
        <v>0.0</v>
      </c>
      <c r="AA24" t="n" s="3775">
        <v>0.0</v>
      </c>
      <c r="AB24" t="n" s="3776">
        <v>0.0</v>
      </c>
      <c r="AC24" t="n" s="3777">
        <v>0.0</v>
      </c>
      <c r="AD24" t="n" s="3778">
        <v>0.0</v>
      </c>
      <c r="AE24" t="n" s="3779">
        <f>y24+aa24+ac24</f>
      </c>
      <c r="AF24" t="n" s="3780">
        <f>z24+ab24+ad24</f>
      </c>
      <c r="AG24" t="n" s="3781">
        <v>442.0</v>
      </c>
      <c r="AH24" t="n" s="3782">
        <v>58.65</v>
      </c>
      <c r="AI24" t="n" s="3783">
        <v>6.7</v>
      </c>
      <c r="AJ24" t="n" s="3784">
        <f>x24+af24+ag24+ah24+ai24</f>
      </c>
      <c r="AK24" t="n" s="3785">
        <f>ROUND((l24+t24+af24+ag24+ah24+ai24+w24)*0.05,2)</f>
      </c>
      <c r="AL24" t="n" s="3786">
        <f>aj24+ak24</f>
      </c>
      <c r="AM24" t="n" s="3787">
        <f>80*0.06</f>
      </c>
      <c r="AN24" t="n" s="3788">
        <f>al24+am24</f>
      </c>
      <c r="AO24" t="s" s="3789">
        <v>0</v>
      </c>
    </row>
    <row r="25">
      <c r="A25" t="s" s="3790">
        <v>126</v>
      </c>
      <c r="B25" t="s" s="3791">
        <v>127</v>
      </c>
      <c r="C25" t="s" s="3792">
        <v>128</v>
      </c>
      <c r="D25" t="s" s="3793">
        <v>129</v>
      </c>
      <c r="E25" t="s" s="3794">
        <v>55</v>
      </c>
      <c r="F25" t="s" s="8027">
        <v>130</v>
      </c>
      <c r="G25" t="s" s="3796">
        <v>57</v>
      </c>
      <c r="H25" t="s" s="3797">
        <v>58</v>
      </c>
      <c r="I25" t="n" s="8305">
        <v>43831.0</v>
      </c>
      <c r="J25" t="n" s="8306">
        <v>44196.0</v>
      </c>
      <c r="K25" t="s" s="3800">
        <v>0</v>
      </c>
      <c r="L25" t="n" s="3801">
        <v>1440.0</v>
      </c>
      <c r="M25" t="n" s="3802">
        <v>0.0</v>
      </c>
      <c r="N25" t="n" s="3803">
        <v>0.0</v>
      </c>
      <c r="O25" t="n" s="3804">
        <f>M25*N25</f>
      </c>
      <c r="P25" t="n" s="3805">
        <v>0.0</v>
      </c>
      <c r="Q25" t="n" s="3806">
        <v>0.0</v>
      </c>
      <c r="R25" t="n" s="3807">
        <f>P25*Q25</f>
      </c>
      <c r="S25" t="n" s="3808">
        <f>L25+O25+R25</f>
      </c>
      <c r="T25" t="n" s="3809">
        <v>0.0</v>
      </c>
      <c r="U25" t="n" s="3810">
        <v>0.0</v>
      </c>
      <c r="V25" t="n" s="3811">
        <v>0.0</v>
      </c>
      <c r="W25" t="n" s="3812">
        <v>2200.0</v>
      </c>
      <c r="X25" t="n" s="3813">
        <f>s25+t25+u25+w25</f>
      </c>
      <c r="Y25" t="n" s="3814">
        <v>7.0</v>
      </c>
      <c r="Z25" t="n" s="3815">
        <v>72.66</v>
      </c>
      <c r="AA25" t="n" s="3816">
        <v>8.0</v>
      </c>
      <c r="AB25" t="n" s="3817">
        <v>110.8</v>
      </c>
      <c r="AC25" t="n" s="3818">
        <v>0.0</v>
      </c>
      <c r="AD25" t="n" s="3819">
        <v>0.0</v>
      </c>
      <c r="AE25" t="n" s="3820">
        <f>y25+aa25+ac25</f>
      </c>
      <c r="AF25" t="n" s="3821">
        <f>z25+ab25+ad25</f>
      </c>
      <c r="AG25" t="n" s="3822">
        <v>487.0</v>
      </c>
      <c r="AH25" t="n" s="3823">
        <v>69.05</v>
      </c>
      <c r="AI25" t="n" s="3824">
        <v>7.9</v>
      </c>
      <c r="AJ25" t="n" s="3825">
        <f>x25+af25+ag25+ah25+ai25</f>
      </c>
      <c r="AK25" t="n" s="3826">
        <f>ROUND((l25+t25+af25+ag25+ah25+ai25+w25)*0.05,2)</f>
      </c>
      <c r="AL25" t="n" s="3827">
        <f>aj25+ak25</f>
      </c>
      <c r="AM25" t="n" s="3828">
        <f>80*0.06</f>
      </c>
      <c r="AN25" t="n" s="3829">
        <f>al25+am25</f>
      </c>
      <c r="AO25" t="s" s="3830">
        <v>0</v>
      </c>
    </row>
    <row r="26">
      <c r="A26" t="s" s="3831">
        <v>131</v>
      </c>
      <c r="B26" t="s" s="3832">
        <v>132</v>
      </c>
      <c r="C26" t="s" s="3833">
        <v>133</v>
      </c>
      <c r="D26" t="s" s="3834">
        <v>134</v>
      </c>
      <c r="E26" t="s" s="3835">
        <v>55</v>
      </c>
      <c r="F26" t="s" s="8028">
        <v>135</v>
      </c>
      <c r="G26" t="s" s="3837">
        <v>57</v>
      </c>
      <c r="H26" t="s" s="3838">
        <v>58</v>
      </c>
      <c r="I26" t="n" s="8307">
        <v>43831.0</v>
      </c>
      <c r="J26" t="n" s="8308">
        <v>44196.0</v>
      </c>
      <c r="K26" t="s" s="3841">
        <v>0</v>
      </c>
      <c r="L26" t="n" s="3842">
        <v>1620.0</v>
      </c>
      <c r="M26" t="n" s="3843">
        <v>0.0</v>
      </c>
      <c r="N26" t="n" s="3844">
        <v>0.0</v>
      </c>
      <c r="O26" t="n" s="3845">
        <f>M26*N26</f>
      </c>
      <c r="P26" t="n" s="3846">
        <v>0.0</v>
      </c>
      <c r="Q26" t="n" s="3847">
        <v>0.0</v>
      </c>
      <c r="R26" t="n" s="3848">
        <f>P26*Q26</f>
      </c>
      <c r="S26" t="n" s="3849">
        <f>L26+O26+R26</f>
      </c>
      <c r="T26" t="n" s="3850">
        <v>0.0</v>
      </c>
      <c r="U26" t="n" s="3851">
        <v>0.0</v>
      </c>
      <c r="V26" t="n" s="3852">
        <v>0.0</v>
      </c>
      <c r="W26" t="n" s="3853">
        <v>2000.0</v>
      </c>
      <c r="X26" t="n" s="3854">
        <f>s26+t26+u26+w26</f>
      </c>
      <c r="Y26" t="n" s="3855">
        <v>11.5</v>
      </c>
      <c r="Z26" t="n" s="3856">
        <v>134.32</v>
      </c>
      <c r="AA26" t="n" s="3857">
        <v>0.0</v>
      </c>
      <c r="AB26" t="n" s="3858">
        <v>0.0</v>
      </c>
      <c r="AC26" t="n" s="3859">
        <v>1.0</v>
      </c>
      <c r="AD26" t="n" s="3860">
        <v>23.37</v>
      </c>
      <c r="AE26" t="n" s="3861">
        <f>y26+aa26+ac26</f>
      </c>
      <c r="AF26" t="n" s="3862">
        <f>z26+ab26+ad26</f>
      </c>
      <c r="AG26" t="n" s="3863">
        <v>492.0</v>
      </c>
      <c r="AH26" t="n" s="3864">
        <v>69.05</v>
      </c>
      <c r="AI26" t="n" s="3865">
        <v>7.9</v>
      </c>
      <c r="AJ26" t="n" s="3866">
        <f>x26+af26+ag26+ah26+ai26</f>
      </c>
      <c r="AK26" t="n" s="3867">
        <f>ROUND((l26+t26+af26+ag26+ah26+ai26+w26)*0.05,2)</f>
      </c>
      <c r="AL26" t="n" s="3868">
        <f>aj26+ak26</f>
      </c>
      <c r="AM26" t="n" s="3869">
        <f>80*0.06</f>
      </c>
      <c r="AN26" t="n" s="3870">
        <f>al26+am26</f>
      </c>
      <c r="AO26" t="s" s="3871">
        <v>0</v>
      </c>
    </row>
    <row r="27">
      <c r="A27" t="s" s="3872">
        <v>136</v>
      </c>
      <c r="B27" t="s" s="3873">
        <v>137</v>
      </c>
      <c r="C27" t="s" s="3874">
        <v>138</v>
      </c>
      <c r="D27" t="s" s="3875">
        <v>139</v>
      </c>
      <c r="E27" t="s" s="3876">
        <v>55</v>
      </c>
      <c r="F27" t="s" s="8029">
        <v>140</v>
      </c>
      <c r="G27" t="s" s="3878">
        <v>57</v>
      </c>
      <c r="H27" t="s" s="3879">
        <v>58</v>
      </c>
      <c r="I27" t="n" s="8309">
        <v>43831.0</v>
      </c>
      <c r="J27" t="n" s="8310">
        <v>44196.0</v>
      </c>
      <c r="K27" t="s" s="3882">
        <v>0</v>
      </c>
      <c r="L27" t="n" s="3883">
        <v>1540.0</v>
      </c>
      <c r="M27" t="n" s="3884">
        <v>0.0</v>
      </c>
      <c r="N27" t="n" s="3885">
        <v>0.0</v>
      </c>
      <c r="O27" t="n" s="3886">
        <f>M27*N27</f>
      </c>
      <c r="P27" t="n" s="3887">
        <v>0.0</v>
      </c>
      <c r="Q27" t="n" s="3888">
        <v>0.0</v>
      </c>
      <c r="R27" t="n" s="3889">
        <f>P27*Q27</f>
      </c>
      <c r="S27" t="n" s="3890">
        <f>L27+O27+R27</f>
      </c>
      <c r="T27" t="n" s="3891">
        <v>0.0</v>
      </c>
      <c r="U27" t="n" s="3892">
        <v>0.0</v>
      </c>
      <c r="V27" t="n" s="3893">
        <v>0.0</v>
      </c>
      <c r="W27" t="n" s="3894">
        <v>2000.0</v>
      </c>
      <c r="X27" t="n" s="3895">
        <f>s27+t27+u27+w27</f>
      </c>
      <c r="Y27" t="n" s="3896">
        <v>0.0</v>
      </c>
      <c r="Z27" t="n" s="3897">
        <v>0.0</v>
      </c>
      <c r="AA27" t="n" s="3898">
        <v>0.0</v>
      </c>
      <c r="AB27" t="n" s="3899">
        <v>0.0</v>
      </c>
      <c r="AC27" t="n" s="3900">
        <v>0.0</v>
      </c>
      <c r="AD27" t="n" s="3901">
        <v>0.0</v>
      </c>
      <c r="AE27" t="n" s="3902">
        <f>y27+aa27+ac27</f>
      </c>
      <c r="AF27" t="n" s="3903">
        <f>z27+ab27+ad27</f>
      </c>
      <c r="AG27" t="n" s="3904">
        <v>481.0</v>
      </c>
      <c r="AH27" t="n" s="3905">
        <v>63.85</v>
      </c>
      <c r="AI27" t="n" s="3906">
        <v>7.3</v>
      </c>
      <c r="AJ27" t="n" s="3907">
        <f>x27+af27+ag27+ah27+ai27</f>
      </c>
      <c r="AK27" t="n" s="3908">
        <f>ROUND((l27+t27+af27+ag27+ah27+ai27+w27)*0.05,2)</f>
      </c>
      <c r="AL27" t="n" s="3909">
        <f>aj27+ak27</f>
      </c>
      <c r="AM27" t="n" s="3910">
        <f>80*0.06</f>
      </c>
      <c r="AN27" t="n" s="3911">
        <f>al27+am27</f>
      </c>
      <c r="AO27" t="s" s="3912">
        <v>0</v>
      </c>
    </row>
    <row r="28">
      <c r="A28" t="s" s="3913">
        <v>141</v>
      </c>
      <c r="B28" t="s" s="3914">
        <v>142</v>
      </c>
      <c r="C28" t="s" s="3915">
        <v>143</v>
      </c>
      <c r="D28" t="s" s="3916">
        <v>144</v>
      </c>
      <c r="E28" t="s" s="3917">
        <v>55</v>
      </c>
      <c r="F28" t="s" s="8030">
        <v>145</v>
      </c>
      <c r="G28" t="s" s="3919">
        <v>57</v>
      </c>
      <c r="H28" t="s" s="3920">
        <v>58</v>
      </c>
      <c r="I28" t="n" s="8311">
        <v>43831.0</v>
      </c>
      <c r="J28" t="n" s="8312">
        <v>44196.0</v>
      </c>
      <c r="K28" t="s" s="3923">
        <v>0</v>
      </c>
      <c r="L28" t="n" s="3924">
        <v>1470.0</v>
      </c>
      <c r="M28" t="n" s="3925">
        <v>0.0</v>
      </c>
      <c r="N28" t="n" s="3926">
        <v>0.0</v>
      </c>
      <c r="O28" t="n" s="3927">
        <f>M28*N28</f>
      </c>
      <c r="P28" t="n" s="3928">
        <v>0.0</v>
      </c>
      <c r="Q28" t="n" s="3929">
        <v>0.0</v>
      </c>
      <c r="R28" t="n" s="3930">
        <f>P28*Q28</f>
      </c>
      <c r="S28" t="n" s="3931">
        <f>L28+O28+R28</f>
      </c>
      <c r="T28" t="n" s="3932">
        <v>0.0</v>
      </c>
      <c r="U28" t="n" s="3933">
        <v>0.0</v>
      </c>
      <c r="V28" t="n" s="3934">
        <v>0.0</v>
      </c>
      <c r="W28" t="n" s="3935">
        <v>1850.0</v>
      </c>
      <c r="X28" t="n" s="3936">
        <f>s28+t28+u28+w28</f>
      </c>
      <c r="Y28" t="n" s="3937">
        <v>8.0</v>
      </c>
      <c r="Z28" t="n" s="3938">
        <v>84.8</v>
      </c>
      <c r="AA28" t="n" s="3939">
        <v>8.0</v>
      </c>
      <c r="AB28" t="n" s="3940">
        <v>113.04</v>
      </c>
      <c r="AC28" t="n" s="3941">
        <v>1.0</v>
      </c>
      <c r="AD28" t="n" s="3942">
        <v>21.2</v>
      </c>
      <c r="AE28" t="n" s="3943">
        <f>y28+aa28+ac28</f>
      </c>
      <c r="AF28" t="n" s="3944">
        <f>z28+ab28+ad28</f>
      </c>
      <c r="AG28" t="n" s="3945">
        <v>445.0</v>
      </c>
      <c r="AH28" t="n" s="3946">
        <v>63.85</v>
      </c>
      <c r="AI28" t="n" s="3947">
        <v>7.3</v>
      </c>
      <c r="AJ28" t="n" s="3948">
        <f>x28+af28+ag28+ah28+ai28</f>
      </c>
      <c r="AK28" t="n" s="3949">
        <f>ROUND((l28+t28+af28+ag28+ah28+ai28+w28)*0.05,2)</f>
      </c>
      <c r="AL28" t="n" s="3950">
        <f>aj28+ak28</f>
      </c>
      <c r="AM28" t="n" s="3951">
        <f>80*0.06</f>
      </c>
      <c r="AN28" t="n" s="3952">
        <f>al28+am28</f>
      </c>
      <c r="AO28" t="s" s="3953">
        <v>0</v>
      </c>
    </row>
    <row r="29">
      <c r="A29" t="s" s="3954">
        <v>146</v>
      </c>
      <c r="B29" t="s" s="3955">
        <v>147</v>
      </c>
      <c r="C29" t="s" s="3956">
        <v>148</v>
      </c>
      <c r="D29" t="s" s="3957">
        <v>149</v>
      </c>
      <c r="E29" t="s" s="3958">
        <v>93</v>
      </c>
      <c r="F29" t="s" s="8031">
        <v>150</v>
      </c>
      <c r="G29" t="s" s="3960">
        <v>57</v>
      </c>
      <c r="H29" t="s" s="3961">
        <v>58</v>
      </c>
      <c r="I29" t="n" s="8313">
        <v>43831.0</v>
      </c>
      <c r="J29" t="n" s="8314">
        <v>44196.0</v>
      </c>
      <c r="K29" t="s" s="3964">
        <v>0</v>
      </c>
      <c r="L29" t="n" s="3965">
        <v>2050.0</v>
      </c>
      <c r="M29" t="n" s="3966">
        <v>0.0</v>
      </c>
      <c r="N29" t="n" s="3967">
        <v>0.0</v>
      </c>
      <c r="O29" t="n" s="3968">
        <f>M29*N29</f>
      </c>
      <c r="P29" t="n" s="3969">
        <v>0.0</v>
      </c>
      <c r="Q29" t="n" s="3970">
        <v>0.0</v>
      </c>
      <c r="R29" t="n" s="3971">
        <f>P29*Q29</f>
      </c>
      <c r="S29" t="n" s="3972">
        <f>L29+O29+R29</f>
      </c>
      <c r="T29" t="n" s="3973">
        <v>0.0</v>
      </c>
      <c r="U29" t="n" s="3974">
        <v>0.0</v>
      </c>
      <c r="V29" t="n" s="3975">
        <v>0.0</v>
      </c>
      <c r="W29" t="n" s="3976">
        <v>2200.0</v>
      </c>
      <c r="X29" t="n" s="3977">
        <f>s29+t29+u29+w29</f>
      </c>
      <c r="Y29" t="n" s="3978">
        <v>0.0</v>
      </c>
      <c r="Z29" t="n" s="3979">
        <v>0.0</v>
      </c>
      <c r="AA29" t="n" s="3980">
        <v>0.0</v>
      </c>
      <c r="AB29" t="n" s="3981">
        <v>0.0</v>
      </c>
      <c r="AC29" t="n" s="3982">
        <v>0.0</v>
      </c>
      <c r="AD29" t="n" s="3983">
        <v>0.0</v>
      </c>
      <c r="AE29" t="n" s="3984">
        <f>y29+aa29+ac29</f>
      </c>
      <c r="AF29" t="n" s="3985">
        <f>z29+ab29+ad29</f>
      </c>
      <c r="AG29" t="n" s="3986">
        <v>567.0</v>
      </c>
      <c r="AH29" t="n" s="3987">
        <v>69.05</v>
      </c>
      <c r="AI29" t="n" s="3988">
        <v>7.9</v>
      </c>
      <c r="AJ29" t="n" s="3989">
        <f>x29+af29+ag29+ah29+ai29</f>
      </c>
      <c r="AK29" t="n" s="3990">
        <f>ROUND((l29+t29+af29+ag29+ah29+ai29+w29)*0.05,2)</f>
      </c>
      <c r="AL29" t="n" s="3991">
        <f>aj29+ak29</f>
      </c>
      <c r="AM29" t="n" s="3992">
        <f>80*0.06</f>
      </c>
      <c r="AN29" t="n" s="3993">
        <f>al29+am29</f>
      </c>
      <c r="AO29" t="s" s="3994">
        <v>0</v>
      </c>
    </row>
    <row r="30">
      <c r="A30" t="s" s="3995">
        <v>151</v>
      </c>
      <c r="B30" t="s" s="3996">
        <v>152</v>
      </c>
      <c r="C30" t="s" s="3997">
        <v>153</v>
      </c>
      <c r="D30" t="s" s="3998">
        <v>154</v>
      </c>
      <c r="E30" t="s" s="3999">
        <v>93</v>
      </c>
      <c r="F30" t="s" s="8032">
        <v>155</v>
      </c>
      <c r="G30" t="s" s="4001">
        <v>57</v>
      </c>
      <c r="H30" t="s" s="4002">
        <v>58</v>
      </c>
      <c r="I30" t="n" s="8315">
        <v>43831.0</v>
      </c>
      <c r="J30" t="n" s="8316">
        <v>44196.0</v>
      </c>
      <c r="K30" t="s" s="4005">
        <v>0</v>
      </c>
      <c r="L30" t="n" s="4006">
        <v>1540.0</v>
      </c>
      <c r="M30" t="n" s="4007">
        <v>0.0</v>
      </c>
      <c r="N30" t="n" s="4008">
        <v>0.0</v>
      </c>
      <c r="O30" t="n" s="4009">
        <f>M30*N30</f>
      </c>
      <c r="P30" t="n" s="4010">
        <v>0.0</v>
      </c>
      <c r="Q30" t="n" s="4011">
        <v>0.0</v>
      </c>
      <c r="R30" t="n" s="4012">
        <f>P30*Q30</f>
      </c>
      <c r="S30" t="n" s="4013">
        <f>L30+O30+R30</f>
      </c>
      <c r="T30" t="n" s="4014">
        <v>0.0</v>
      </c>
      <c r="U30" t="n" s="4015">
        <v>0.0</v>
      </c>
      <c r="V30" t="n" s="4016">
        <v>0.0</v>
      </c>
      <c r="W30" t="n" s="4017">
        <v>2000.0</v>
      </c>
      <c r="X30" t="n" s="4018">
        <f>s30+t30+u30+w30</f>
      </c>
      <c r="Y30" t="n" s="4019">
        <v>0.0</v>
      </c>
      <c r="Z30" t="n" s="4020">
        <v>0.0</v>
      </c>
      <c r="AA30" t="n" s="4021">
        <v>0.0</v>
      </c>
      <c r="AB30" t="n" s="4022">
        <v>0.0</v>
      </c>
      <c r="AC30" t="n" s="4023">
        <v>0.0</v>
      </c>
      <c r="AD30" t="n" s="4024">
        <v>0.0</v>
      </c>
      <c r="AE30" t="n" s="4025">
        <f>y30+aa30+ac30</f>
      </c>
      <c r="AF30" t="n" s="4026">
        <f>z30+ab30+ad30</f>
      </c>
      <c r="AG30" t="n" s="4027">
        <v>481.0</v>
      </c>
      <c r="AH30" t="n" s="4028">
        <v>63.85</v>
      </c>
      <c r="AI30" t="n" s="4029">
        <v>7.3</v>
      </c>
      <c r="AJ30" t="n" s="4030">
        <f>x30+af30+ag30+ah30+ai30</f>
      </c>
      <c r="AK30" t="n" s="4031">
        <f>ROUND((l30+t30+af30+ag30+ah30+ai30+w30)*0.05,2)</f>
      </c>
      <c r="AL30" t="n" s="4032">
        <f>aj30+ak30</f>
      </c>
      <c r="AM30" t="n" s="4033">
        <f>80*0.06</f>
      </c>
      <c r="AN30" t="n" s="4034">
        <f>al30+am30</f>
      </c>
      <c r="AO30" t="s" s="4035">
        <v>0</v>
      </c>
    </row>
    <row r="31">
      <c r="A31" t="s" s="4036">
        <v>156</v>
      </c>
      <c r="B31" t="s" s="4037">
        <v>157</v>
      </c>
      <c r="C31" t="s" s="4038">
        <v>158</v>
      </c>
      <c r="D31" t="s" s="4039">
        <v>159</v>
      </c>
      <c r="E31" t="s" s="4040">
        <v>55</v>
      </c>
      <c r="F31" t="s" s="8033">
        <v>160</v>
      </c>
      <c r="G31" t="s" s="4042">
        <v>57</v>
      </c>
      <c r="H31" t="s" s="4043">
        <v>58</v>
      </c>
      <c r="I31" t="n" s="8317">
        <v>43831.0</v>
      </c>
      <c r="J31" t="n" s="8318">
        <v>44196.0</v>
      </c>
      <c r="K31" t="s" s="4046">
        <v>0</v>
      </c>
      <c r="L31" t="n" s="4047">
        <v>1380.0</v>
      </c>
      <c r="M31" t="n" s="4048">
        <v>0.0</v>
      </c>
      <c r="N31" t="n" s="4049">
        <v>0.0</v>
      </c>
      <c r="O31" t="n" s="4050">
        <f>M31*N31</f>
      </c>
      <c r="P31" t="n" s="4051">
        <v>0.0</v>
      </c>
      <c r="Q31" t="n" s="4052">
        <v>0.0</v>
      </c>
      <c r="R31" t="n" s="4053">
        <f>P31*Q31</f>
      </c>
      <c r="S31" t="n" s="4054">
        <f>L31+O31+R31</f>
      </c>
      <c r="T31" t="n" s="4055">
        <v>0.0</v>
      </c>
      <c r="U31" t="n" s="4056">
        <v>0.0</v>
      </c>
      <c r="V31" t="n" s="4057">
        <v>0.0</v>
      </c>
      <c r="W31" t="n" s="4058">
        <v>1700.0</v>
      </c>
      <c r="X31" t="n" s="4059">
        <f>s31+t31+u31+w31</f>
      </c>
      <c r="Y31" t="n" s="4060">
        <v>1.5</v>
      </c>
      <c r="Z31" t="n" s="4061">
        <v>14.93</v>
      </c>
      <c r="AA31" t="n" s="4062">
        <v>0.0</v>
      </c>
      <c r="AB31" t="n" s="4063">
        <v>0.0</v>
      </c>
      <c r="AC31" t="n" s="4064">
        <v>0.0</v>
      </c>
      <c r="AD31" t="n" s="4065">
        <v>0.0</v>
      </c>
      <c r="AE31" t="n" s="4066">
        <f>y31+aa31+ac31</f>
      </c>
      <c r="AF31" t="n" s="4067">
        <f>z31+ab31+ad31</f>
      </c>
      <c r="AG31" t="n" s="4068">
        <v>422.0</v>
      </c>
      <c r="AH31" t="n" s="4069">
        <v>56.85</v>
      </c>
      <c r="AI31" t="n" s="4070">
        <v>6.5</v>
      </c>
      <c r="AJ31" t="n" s="4071">
        <f>x31+af31+ag31+ah31+ai31</f>
      </c>
      <c r="AK31" t="n" s="4072">
        <f>ROUND((l31+t31+af31+ag31+ah31+ai31+w31)*0.05,2)</f>
      </c>
      <c r="AL31" t="n" s="4073">
        <f>aj31+ak31</f>
      </c>
      <c r="AM31" t="n" s="4074">
        <f>80*0.06</f>
      </c>
      <c r="AN31" t="n" s="4075">
        <f>al31+am31</f>
      </c>
      <c r="AO31" t="s" s="4076">
        <v>0</v>
      </c>
    </row>
    <row r="32">
      <c r="A32" t="s" s="4077">
        <v>161</v>
      </c>
      <c r="B32" t="s" s="4078">
        <v>162</v>
      </c>
      <c r="C32" t="s" s="4079">
        <v>163</v>
      </c>
      <c r="D32" t="s" s="4080">
        <v>164</v>
      </c>
      <c r="E32" t="s" s="4081">
        <v>55</v>
      </c>
      <c r="F32" t="s" s="8034">
        <v>165</v>
      </c>
      <c r="G32" t="s" s="4083">
        <v>57</v>
      </c>
      <c r="H32" t="s" s="4084">
        <v>58</v>
      </c>
      <c r="I32" t="n" s="8319">
        <v>43831.0</v>
      </c>
      <c r="J32" t="n" s="8320">
        <v>44196.0</v>
      </c>
      <c r="K32" t="s" s="4087">
        <v>0</v>
      </c>
      <c r="L32" t="n" s="4088">
        <v>1450.0</v>
      </c>
      <c r="M32" t="n" s="4089">
        <v>0.0</v>
      </c>
      <c r="N32" t="n" s="4090">
        <v>0.0</v>
      </c>
      <c r="O32" t="n" s="4091">
        <f>M32*N32</f>
      </c>
      <c r="P32" t="n" s="4092">
        <v>0.0</v>
      </c>
      <c r="Q32" t="n" s="4093">
        <v>0.0</v>
      </c>
      <c r="R32" t="n" s="4094">
        <f>P32*Q32</f>
      </c>
      <c r="S32" t="n" s="4095">
        <f>L32+O32+R32</f>
      </c>
      <c r="T32" t="n" s="4096">
        <v>0.0</v>
      </c>
      <c r="U32" t="n" s="4097">
        <v>32.4</v>
      </c>
      <c r="V32" t="n" s="4098">
        <v>0.0</v>
      </c>
      <c r="W32" t="n" s="4099">
        <v>2000.0</v>
      </c>
      <c r="X32" t="n" s="4100">
        <f>s32+t32+u32+w32</f>
      </c>
      <c r="Y32" t="n" s="4101">
        <v>8.5</v>
      </c>
      <c r="Z32" t="n" s="4102">
        <v>88.91</v>
      </c>
      <c r="AA32" t="n" s="4103">
        <v>0.0</v>
      </c>
      <c r="AB32" t="n" s="4104">
        <v>0.0</v>
      </c>
      <c r="AC32" t="n" s="4105">
        <v>1.0</v>
      </c>
      <c r="AD32" t="n" s="4106">
        <v>20.91</v>
      </c>
      <c r="AE32" t="n" s="4107">
        <f>y32+aa32+ac32</f>
      </c>
      <c r="AF32" t="n" s="4108">
        <f>z32+ab32+ad32</f>
      </c>
      <c r="AG32" t="n" s="4109">
        <v>463.0</v>
      </c>
      <c r="AH32" t="n" s="4110">
        <v>63.85</v>
      </c>
      <c r="AI32" t="n" s="4111">
        <v>7.3</v>
      </c>
      <c r="AJ32" t="n" s="4112">
        <f>x32+af32+ag32+ah32+ai32</f>
      </c>
      <c r="AK32" t="n" s="4113">
        <f>ROUND((l32+t32+af32+ag32+ah32+ai32+w32)*0.05,2)</f>
      </c>
      <c r="AL32" t="n" s="4114">
        <f>aj32+ak32</f>
      </c>
      <c r="AM32" t="n" s="4115">
        <f>112.4*0.06</f>
      </c>
      <c r="AN32" t="n" s="4116">
        <f>al32+am32</f>
      </c>
      <c r="AO32" t="s" s="4117">
        <v>0</v>
      </c>
    </row>
    <row r="33">
      <c r="A33" t="s" s="4118">
        <v>166</v>
      </c>
      <c r="B33" t="s" s="4119">
        <v>167</v>
      </c>
      <c r="C33" t="s" s="4120">
        <v>168</v>
      </c>
      <c r="D33" t="s" s="4121">
        <v>169</v>
      </c>
      <c r="E33" t="s" s="4122">
        <v>55</v>
      </c>
      <c r="F33" t="s" s="8035">
        <v>170</v>
      </c>
      <c r="G33" t="s" s="4124">
        <v>57</v>
      </c>
      <c r="H33" t="s" s="4125">
        <v>58</v>
      </c>
      <c r="I33" t="n" s="8321">
        <v>43831.0</v>
      </c>
      <c r="J33" t="n" s="8322">
        <v>44196.0</v>
      </c>
      <c r="K33" t="s" s="4128">
        <v>0</v>
      </c>
      <c r="L33" t="n" s="4129">
        <v>1300.0</v>
      </c>
      <c r="M33" t="n" s="4130">
        <v>0.0</v>
      </c>
      <c r="N33" t="n" s="4131">
        <v>0.0</v>
      </c>
      <c r="O33" t="n" s="4132">
        <f>M33*N33</f>
      </c>
      <c r="P33" t="n" s="4133">
        <v>0.0</v>
      </c>
      <c r="Q33" t="n" s="4134">
        <v>0.0</v>
      </c>
      <c r="R33" t="n" s="4135">
        <f>P33*Q33</f>
      </c>
      <c r="S33" t="n" s="4136">
        <f>L33+O33+R33</f>
      </c>
      <c r="T33" t="n" s="4137">
        <v>0.0</v>
      </c>
      <c r="U33" t="n" s="4138">
        <v>0.0</v>
      </c>
      <c r="V33" t="n" s="4139">
        <v>0.0</v>
      </c>
      <c r="W33" t="n" s="4140">
        <v>100.0</v>
      </c>
      <c r="X33" t="n" s="4141">
        <f>s33+t33+u33+w33</f>
      </c>
      <c r="Y33" t="n" s="4142">
        <v>0.0</v>
      </c>
      <c r="Z33" t="n" s="4143">
        <v>0.0</v>
      </c>
      <c r="AA33" t="n" s="4144">
        <v>0.0</v>
      </c>
      <c r="AB33" t="n" s="4145">
        <v>0.0</v>
      </c>
      <c r="AC33" t="n" s="4146">
        <v>0.0</v>
      </c>
      <c r="AD33" t="n" s="4147">
        <v>0.0</v>
      </c>
      <c r="AE33" t="n" s="4148">
        <f>y33+aa33+ac33</f>
      </c>
      <c r="AF33" t="n" s="4149">
        <f>z33+ab33+ad33</f>
      </c>
      <c r="AG33" t="n" s="4150">
        <v>203.0</v>
      </c>
      <c r="AH33" t="n" s="4151">
        <v>27.15</v>
      </c>
      <c r="AI33" t="n" s="4152">
        <v>3.1</v>
      </c>
      <c r="AJ33" t="n" s="4153">
        <f>x33+af33+ag33+ah33+ai33</f>
      </c>
      <c r="AK33" t="n" s="4154">
        <f>ROUND((l33+t33+af33+ag33+ah33+ai33+w33)*0.05,2)</f>
      </c>
      <c r="AL33" t="n" s="4155">
        <f>aj33+ak33</f>
      </c>
      <c r="AM33" t="n" s="4156">
        <f>80*0.06</f>
      </c>
      <c r="AN33" t="n" s="4157">
        <f>al33+am33</f>
      </c>
      <c r="AO33" t="s" s="4158">
        <v>0</v>
      </c>
    </row>
    <row r="34">
      <c r="A34" t="s" s="4159">
        <v>171</v>
      </c>
      <c r="B34" t="s" s="4160">
        <v>172</v>
      </c>
      <c r="C34" t="s" s="4161">
        <v>173</v>
      </c>
      <c r="D34" t="s" s="4162">
        <v>174</v>
      </c>
      <c r="E34" t="s" s="4163">
        <v>55</v>
      </c>
      <c r="F34" t="s" s="8036">
        <v>175</v>
      </c>
      <c r="G34" t="s" s="4165">
        <v>57</v>
      </c>
      <c r="H34" t="s" s="4166">
        <v>58</v>
      </c>
      <c r="I34" t="n" s="8323">
        <v>43831.0</v>
      </c>
      <c r="J34" t="n" s="8324">
        <v>44196.0</v>
      </c>
      <c r="K34" t="s" s="4169">
        <v>0</v>
      </c>
      <c r="L34" t="n" s="4170">
        <v>1260.0</v>
      </c>
      <c r="M34" t="n" s="4171">
        <v>0.0</v>
      </c>
      <c r="N34" t="n" s="4172">
        <v>0.0</v>
      </c>
      <c r="O34" t="n" s="4173">
        <f>M34*N34</f>
      </c>
      <c r="P34" t="n" s="4174">
        <v>0.0</v>
      </c>
      <c r="Q34" t="n" s="4175">
        <v>0.0</v>
      </c>
      <c r="R34" t="n" s="4176">
        <f>P34*Q34</f>
      </c>
      <c r="S34" t="n" s="4177">
        <f>L34+O34+R34</f>
      </c>
      <c r="T34" t="n" s="4178">
        <v>0.0</v>
      </c>
      <c r="U34" t="n" s="4179">
        <v>0.0</v>
      </c>
      <c r="V34" t="n" s="4180">
        <v>0.0</v>
      </c>
      <c r="W34" t="n" s="4181">
        <v>100.0</v>
      </c>
      <c r="X34" t="n" s="4182">
        <f>s34+t34+u34+w34</f>
      </c>
      <c r="Y34" t="n" s="4183">
        <v>0.0</v>
      </c>
      <c r="Z34" t="n" s="4184">
        <v>0.0</v>
      </c>
      <c r="AA34" t="n" s="4185">
        <v>0.0</v>
      </c>
      <c r="AB34" t="n" s="4186">
        <v>0.0</v>
      </c>
      <c r="AC34" t="n" s="4187">
        <v>0.0</v>
      </c>
      <c r="AD34" t="n" s="4188">
        <v>0.0</v>
      </c>
      <c r="AE34" t="n" s="4189">
        <f>y34+aa34+ac34</f>
      </c>
      <c r="AF34" t="n" s="4190">
        <f>z34+ab34+ad34</f>
      </c>
      <c r="AG34" t="n" s="4191">
        <v>190.0</v>
      </c>
      <c r="AH34" t="n" s="4192">
        <v>25.35</v>
      </c>
      <c r="AI34" t="n" s="4193">
        <v>2.9</v>
      </c>
      <c r="AJ34" t="n" s="4194">
        <f>x34+af34+ag34+ah34+ai34</f>
      </c>
      <c r="AK34" t="n" s="4195">
        <f>ROUND((l34+t34+af34+ag34+ah34+ai34+w34)*0.05,2)</f>
      </c>
      <c r="AL34" t="n" s="4196">
        <f>aj34+ak34</f>
      </c>
      <c r="AM34" t="n" s="4197">
        <f>80*0.06</f>
      </c>
      <c r="AN34" t="n" s="4198">
        <f>al34+am34</f>
      </c>
      <c r="AO34" t="s" s="4199">
        <v>0</v>
      </c>
    </row>
    <row r="35">
      <c r="A35" t="s" s="4200">
        <v>176</v>
      </c>
      <c r="B35" t="s" s="4201">
        <v>177</v>
      </c>
      <c r="C35" t="s" s="4202">
        <v>178</v>
      </c>
      <c r="D35" t="s" s="4203">
        <v>179</v>
      </c>
      <c r="E35" t="s" s="4204">
        <v>55</v>
      </c>
      <c r="F35" t="s" s="8037">
        <v>180</v>
      </c>
      <c r="G35" t="s" s="4206">
        <v>57</v>
      </c>
      <c r="H35" t="s" s="4207">
        <v>58</v>
      </c>
      <c r="I35" t="n" s="8325">
        <v>43831.0</v>
      </c>
      <c r="J35" t="n" s="8326">
        <v>44196.0</v>
      </c>
      <c r="K35" t="s" s="4210">
        <v>0</v>
      </c>
      <c r="L35" t="n" s="4211">
        <v>1260.0</v>
      </c>
      <c r="M35" t="n" s="4212">
        <v>0.0</v>
      </c>
      <c r="N35" t="n" s="4213">
        <v>0.0</v>
      </c>
      <c r="O35" t="n" s="4214">
        <f>M35*N35</f>
      </c>
      <c r="P35" t="n" s="4215">
        <v>0.0</v>
      </c>
      <c r="Q35" t="n" s="4216">
        <v>0.0</v>
      </c>
      <c r="R35" t="n" s="4217">
        <f>P35*Q35</f>
      </c>
      <c r="S35" t="n" s="4218">
        <f>L35+O35+R35</f>
      </c>
      <c r="T35" t="n" s="4219">
        <v>0.0</v>
      </c>
      <c r="U35" t="n" s="4220">
        <v>0.0</v>
      </c>
      <c r="V35" t="n" s="4221">
        <v>0.0</v>
      </c>
      <c r="W35" t="n" s="4222">
        <v>1500.0</v>
      </c>
      <c r="X35" t="n" s="4223">
        <f>s35+t35+u35+w35</f>
      </c>
      <c r="Y35" t="n" s="4224">
        <v>5.0</v>
      </c>
      <c r="Z35" t="n" s="4225">
        <v>45.45</v>
      </c>
      <c r="AA35" t="n" s="4226">
        <v>0.0</v>
      </c>
      <c r="AB35" t="n" s="4227">
        <v>0.0</v>
      </c>
      <c r="AC35" t="n" s="4228">
        <v>1.0</v>
      </c>
      <c r="AD35" t="n" s="4229">
        <v>18.17</v>
      </c>
      <c r="AE35" t="n" s="4230">
        <f>y35+aa35+ac35</f>
      </c>
      <c r="AF35" t="n" s="4231">
        <f>z35+ab35+ad35</f>
      </c>
      <c r="AG35" t="n" s="4232">
        <v>380.0</v>
      </c>
      <c r="AH35" t="n" s="4233">
        <v>51.65</v>
      </c>
      <c r="AI35" t="n" s="4234">
        <v>5.9</v>
      </c>
      <c r="AJ35" t="n" s="4235">
        <f>x35+af35+ag35+ah35+ai35</f>
      </c>
      <c r="AK35" t="n" s="4236">
        <f>ROUND((l35+t35+af35+ag35+ah35+ai35+w35)*0.05,2)</f>
      </c>
      <c r="AL35" t="n" s="4237">
        <f>aj35+ak35</f>
      </c>
      <c r="AM35" t="n" s="4238">
        <f>80*0.06</f>
      </c>
      <c r="AN35" t="n" s="4239">
        <f>al35+am35</f>
      </c>
      <c r="AO35" t="s" s="4240">
        <v>0</v>
      </c>
    </row>
    <row r="36">
      <c r="A36" t="s" s="4241">
        <v>181</v>
      </c>
      <c r="B36" t="s" s="4242">
        <v>182</v>
      </c>
      <c r="C36" t="s" s="4243">
        <v>183</v>
      </c>
      <c r="D36" t="s" s="4244">
        <v>184</v>
      </c>
      <c r="E36" t="s" s="4245">
        <v>55</v>
      </c>
      <c r="F36" t="s" s="8038">
        <v>185</v>
      </c>
      <c r="G36" t="s" s="4247">
        <v>57</v>
      </c>
      <c r="H36" t="s" s="4248">
        <v>58</v>
      </c>
      <c r="I36" t="n" s="8327">
        <v>43831.0</v>
      </c>
      <c r="J36" t="n" s="8328">
        <v>44196.0</v>
      </c>
      <c r="K36" t="s" s="4251">
        <v>0</v>
      </c>
      <c r="L36" t="n" s="4252">
        <v>1340.0</v>
      </c>
      <c r="M36" t="n" s="4253">
        <v>0.0</v>
      </c>
      <c r="N36" t="n" s="4254">
        <v>0.0</v>
      </c>
      <c r="O36" t="n" s="4255">
        <f>M36*N36</f>
      </c>
      <c r="P36" t="n" s="4256">
        <v>0.0</v>
      </c>
      <c r="Q36" t="n" s="4257">
        <v>0.0</v>
      </c>
      <c r="R36" t="n" s="4258">
        <f>P36*Q36</f>
      </c>
      <c r="S36" t="n" s="4259">
        <f>L36+O36+R36</f>
      </c>
      <c r="T36" t="n" s="4260">
        <v>0.0</v>
      </c>
      <c r="U36" t="n" s="4261">
        <v>0.0</v>
      </c>
      <c r="V36" t="n" s="4262">
        <v>0.0</v>
      </c>
      <c r="W36" t="n" s="4263">
        <v>1400.0</v>
      </c>
      <c r="X36" t="n" s="4264">
        <f>s36+t36+u36+w36</f>
      </c>
      <c r="Y36" t="n" s="4265">
        <v>8.5</v>
      </c>
      <c r="Z36" t="n" s="4266">
        <v>82.11</v>
      </c>
      <c r="AA36" t="n" s="4267">
        <v>0.0</v>
      </c>
      <c r="AB36" t="n" s="4268">
        <v>0.0</v>
      </c>
      <c r="AC36" t="n" s="4269">
        <v>1.0</v>
      </c>
      <c r="AD36" t="n" s="4270">
        <v>19.33</v>
      </c>
      <c r="AE36" t="n" s="4271">
        <f>y36+aa36+ac36</f>
      </c>
      <c r="AF36" t="n" s="4272">
        <f>z36+ab36+ad36</f>
      </c>
      <c r="AG36" t="n" s="4273">
        <v>370.0</v>
      </c>
      <c r="AH36" t="n" s="4274">
        <v>51.65</v>
      </c>
      <c r="AI36" t="n" s="4275">
        <v>5.9</v>
      </c>
      <c r="AJ36" t="n" s="4276">
        <f>x36+af36+ag36+ah36+ai36</f>
      </c>
      <c r="AK36" t="n" s="4277">
        <f>ROUND((l36+t36+af36+ag36+ah36+ai36+w36)*0.05,2)</f>
      </c>
      <c r="AL36" t="n" s="4278">
        <f>aj36+ak36</f>
      </c>
      <c r="AM36" t="n" s="4279">
        <f>80*0.06</f>
      </c>
      <c r="AN36" t="n" s="4280">
        <f>al36+am36</f>
      </c>
      <c r="AO36" t="s" s="4281">
        <v>0</v>
      </c>
    </row>
    <row r="37">
      <c r="A37" t="s" s="4282">
        <v>186</v>
      </c>
      <c r="B37" t="s" s="4283">
        <v>187</v>
      </c>
      <c r="C37" t="s" s="4284">
        <v>188</v>
      </c>
      <c r="D37" t="s" s="4285">
        <v>189</v>
      </c>
      <c r="E37" t="s" s="4286">
        <v>55</v>
      </c>
      <c r="F37" t="s" s="8039">
        <v>190</v>
      </c>
      <c r="G37" t="s" s="4288">
        <v>57</v>
      </c>
      <c r="H37" t="s" s="4289">
        <v>58</v>
      </c>
      <c r="I37" t="n" s="8329">
        <v>43831.0</v>
      </c>
      <c r="J37" t="n" s="8330">
        <v>44196.0</v>
      </c>
      <c r="K37" t="s" s="4292">
        <v>0</v>
      </c>
      <c r="L37" t="n" s="4293">
        <v>1470.0</v>
      </c>
      <c r="M37" t="n" s="4294">
        <v>0.0</v>
      </c>
      <c r="N37" t="n" s="4295">
        <v>0.0</v>
      </c>
      <c r="O37" t="n" s="4296">
        <f>M37*N37</f>
      </c>
      <c r="P37" t="n" s="4297">
        <v>0.0</v>
      </c>
      <c r="Q37" t="n" s="4298">
        <v>0.0</v>
      </c>
      <c r="R37" t="n" s="4299">
        <f>P37*Q37</f>
      </c>
      <c r="S37" t="n" s="4300">
        <f>L37+O37+R37</f>
      </c>
      <c r="T37" t="n" s="4301">
        <v>0.0</v>
      </c>
      <c r="U37" t="n" s="4302">
        <v>0.0</v>
      </c>
      <c r="V37" t="n" s="4303">
        <v>0.0</v>
      </c>
      <c r="W37" t="n" s="4304">
        <v>1700.0</v>
      </c>
      <c r="X37" t="n" s="4305">
        <f>s37+t37+u37+w37</f>
      </c>
      <c r="Y37" t="n" s="4306">
        <v>6.0</v>
      </c>
      <c r="Z37" t="n" s="4307">
        <v>63.6</v>
      </c>
      <c r="AA37" t="n" s="4308">
        <v>0.0</v>
      </c>
      <c r="AB37" t="n" s="4309">
        <v>0.0</v>
      </c>
      <c r="AC37" t="n" s="4310">
        <v>1.0</v>
      </c>
      <c r="AD37" t="n" s="4311">
        <v>21.2</v>
      </c>
      <c r="AE37" t="n" s="4312">
        <f>y37+aa37+ac37</f>
      </c>
      <c r="AF37" t="n" s="4313">
        <f>z37+ab37+ad37</f>
      </c>
      <c r="AG37" t="n" s="4314">
        <v>435.0</v>
      </c>
      <c r="AH37" t="n" s="4315">
        <v>60.35</v>
      </c>
      <c r="AI37" t="n" s="4316">
        <v>6.9</v>
      </c>
      <c r="AJ37" t="n" s="4317">
        <f>x37+af37+ag37+ah37+ai37</f>
      </c>
      <c r="AK37" t="n" s="4318">
        <f>ROUND((l37+t37+af37+ag37+ah37+ai37+w37)*0.05,2)</f>
      </c>
      <c r="AL37" t="n" s="4319">
        <f>aj37+ak37</f>
      </c>
      <c r="AM37" t="n" s="4320">
        <f>80*0.06</f>
      </c>
      <c r="AN37" t="n" s="4321">
        <f>al37+am37</f>
      </c>
      <c r="AO37" t="s" s="4322">
        <v>0</v>
      </c>
    </row>
    <row r="38">
      <c r="A38" t="s" s="4323">
        <v>191</v>
      </c>
      <c r="B38" t="s" s="4324">
        <v>192</v>
      </c>
      <c r="C38" t="s" s="4325">
        <v>193</v>
      </c>
      <c r="D38" t="s" s="4326">
        <v>194</v>
      </c>
      <c r="E38" t="s" s="4327">
        <v>55</v>
      </c>
      <c r="F38" t="s" s="8040">
        <v>195</v>
      </c>
      <c r="G38" t="s" s="4329">
        <v>57</v>
      </c>
      <c r="H38" t="s" s="4330">
        <v>58</v>
      </c>
      <c r="I38" t="n" s="8331">
        <v>43831.0</v>
      </c>
      <c r="J38" t="n" s="8332">
        <v>44196.0</v>
      </c>
      <c r="K38" t="s" s="4333">
        <v>0</v>
      </c>
      <c r="L38" t="n" s="4334">
        <v>1370.0</v>
      </c>
      <c r="M38" t="n" s="4335">
        <v>0.0</v>
      </c>
      <c r="N38" t="n" s="4336">
        <v>0.0</v>
      </c>
      <c r="O38" t="n" s="4337">
        <f>M38*N38</f>
      </c>
      <c r="P38" t="n" s="4338">
        <v>0.0</v>
      </c>
      <c r="Q38" t="n" s="4339">
        <v>0.0</v>
      </c>
      <c r="R38" t="n" s="4340">
        <f>P38*Q38</f>
      </c>
      <c r="S38" t="n" s="4341">
        <f>L38+O38+R38</f>
      </c>
      <c r="T38" t="n" s="4342">
        <v>0.0</v>
      </c>
      <c r="U38" t="n" s="4343">
        <v>0.0</v>
      </c>
      <c r="V38" t="n" s="4344">
        <v>0.0</v>
      </c>
      <c r="W38" t="n" s="4345">
        <v>1000.0</v>
      </c>
      <c r="X38" t="n" s="4346">
        <f>s38+t38+u38+w38</f>
      </c>
      <c r="Y38" t="n" s="4347">
        <v>21.0</v>
      </c>
      <c r="Z38" t="n" s="4348">
        <v>207.48</v>
      </c>
      <c r="AA38" t="n" s="4349">
        <v>0.0</v>
      </c>
      <c r="AB38" t="n" s="4350">
        <v>0.0</v>
      </c>
      <c r="AC38" t="n" s="4351">
        <v>0.0</v>
      </c>
      <c r="AD38" t="n" s="4352">
        <v>0.0</v>
      </c>
      <c r="AE38" t="n" s="4353">
        <f>y38+aa38+ac38</f>
      </c>
      <c r="AF38" t="n" s="4354">
        <f>z38+ab38+ad38</f>
      </c>
      <c r="AG38" t="n" s="4355">
        <v>331.0</v>
      </c>
      <c r="AH38" t="n" s="4356">
        <v>48.15</v>
      </c>
      <c r="AI38" t="n" s="4357">
        <v>5.5</v>
      </c>
      <c r="AJ38" t="n" s="4358">
        <f>x38+af38+ag38+ah38+ai38</f>
      </c>
      <c r="AK38" t="n" s="4359">
        <f>ROUND((l38+t38+af38+ag38+ah38+ai38+w38)*0.05,2)</f>
      </c>
      <c r="AL38" t="n" s="4360">
        <f>aj38+ak38</f>
      </c>
      <c r="AM38" t="n" s="4361">
        <f>80*0.06</f>
      </c>
      <c r="AN38" t="n" s="4362">
        <f>al38+am38</f>
      </c>
      <c r="AO38" t="s" s="4363">
        <v>0</v>
      </c>
    </row>
    <row r="39">
      <c r="A39" t="s" s="4364">
        <v>196</v>
      </c>
      <c r="B39" t="s" s="4365">
        <v>197</v>
      </c>
      <c r="C39" t="s" s="4366">
        <v>198</v>
      </c>
      <c r="D39" t="s" s="4367">
        <v>199</v>
      </c>
      <c r="E39" t="s" s="4368">
        <v>55</v>
      </c>
      <c r="F39" t="s" s="8041">
        <v>200</v>
      </c>
      <c r="G39" t="s" s="4370">
        <v>57</v>
      </c>
      <c r="H39" t="s" s="4371">
        <v>58</v>
      </c>
      <c r="I39" t="n" s="8333">
        <v>43831.0</v>
      </c>
      <c r="J39" t="n" s="8334">
        <v>44196.0</v>
      </c>
      <c r="K39" t="s" s="4374">
        <v>0</v>
      </c>
      <c r="L39" t="n" s="4375">
        <v>1370.0</v>
      </c>
      <c r="M39" t="n" s="4376">
        <v>0.0</v>
      </c>
      <c r="N39" t="n" s="4377">
        <v>0.0</v>
      </c>
      <c r="O39" t="n" s="4378">
        <f>M39*N39</f>
      </c>
      <c r="P39" t="n" s="4379">
        <v>0.0</v>
      </c>
      <c r="Q39" t="n" s="4380">
        <v>0.0</v>
      </c>
      <c r="R39" t="n" s="4381">
        <f>P39*Q39</f>
      </c>
      <c r="S39" t="n" s="4382">
        <f>L39+O39+R39</f>
      </c>
      <c r="T39" t="n" s="4383">
        <v>0.0</v>
      </c>
      <c r="U39" t="n" s="4384">
        <v>0.0</v>
      </c>
      <c r="V39" t="n" s="4385">
        <v>0.0</v>
      </c>
      <c r="W39" t="n" s="4386">
        <v>100.0</v>
      </c>
      <c r="X39" t="n" s="4387">
        <f>s39+t39+u39+w39</f>
      </c>
      <c r="Y39" t="n" s="4388">
        <v>9.0</v>
      </c>
      <c r="Z39" t="n" s="4389">
        <v>88.92</v>
      </c>
      <c r="AA39" t="n" s="4390">
        <v>8.0</v>
      </c>
      <c r="AB39" t="n" s="4391">
        <v>105.36</v>
      </c>
      <c r="AC39" t="n" s="4392">
        <v>1.0</v>
      </c>
      <c r="AD39" t="n" s="4393">
        <v>19.76</v>
      </c>
      <c r="AE39" t="n" s="4394">
        <f>y39+aa39+ac39</f>
      </c>
      <c r="AF39" t="n" s="4395">
        <f>z39+ab39+ad39</f>
      </c>
      <c r="AG39" t="n" s="4396">
        <v>206.0</v>
      </c>
      <c r="AH39" t="n" s="4397">
        <v>30.65</v>
      </c>
      <c r="AI39" t="n" s="4398">
        <v>3.5</v>
      </c>
      <c r="AJ39" t="n" s="4399">
        <f>x39+af39+ag39+ah39+ai39</f>
      </c>
      <c r="AK39" t="n" s="4400">
        <f>ROUND((l39+t39+af39+ag39+ah39+ai39+w39)*0.05,2)</f>
      </c>
      <c r="AL39" t="n" s="4401">
        <f>aj39+ak39</f>
      </c>
      <c r="AM39" t="n" s="4402">
        <f>80*0.06</f>
      </c>
      <c r="AN39" t="n" s="4403">
        <f>al39+am39</f>
      </c>
      <c r="AO39" t="s" s="4404">
        <v>0</v>
      </c>
    </row>
    <row r="40">
      <c r="A40" t="s" s="4405">
        <v>201</v>
      </c>
      <c r="B40" t="s" s="4406">
        <v>202</v>
      </c>
      <c r="C40" t="s" s="4407">
        <v>203</v>
      </c>
      <c r="D40" t="s" s="4408">
        <v>204</v>
      </c>
      <c r="E40" t="s" s="4409">
        <v>55</v>
      </c>
      <c r="F40" t="s" s="8042">
        <v>205</v>
      </c>
      <c r="G40" t="s" s="4411">
        <v>57</v>
      </c>
      <c r="H40" t="s" s="4412">
        <v>58</v>
      </c>
      <c r="I40" t="n" s="8335">
        <v>43831.0</v>
      </c>
      <c r="J40" t="n" s="8336">
        <v>44196.0</v>
      </c>
      <c r="K40" t="s" s="4415">
        <v>0</v>
      </c>
      <c r="L40" t="n" s="4416">
        <v>1470.0</v>
      </c>
      <c r="M40" t="n" s="4417">
        <v>0.0</v>
      </c>
      <c r="N40" t="n" s="4418">
        <v>0.0</v>
      </c>
      <c r="O40" t="n" s="4419">
        <f>M40*N40</f>
      </c>
      <c r="P40" t="n" s="4420">
        <v>0.0</v>
      </c>
      <c r="Q40" t="n" s="4421">
        <v>0.0</v>
      </c>
      <c r="R40" t="n" s="4422">
        <f>P40*Q40</f>
      </c>
      <c r="S40" t="n" s="4423">
        <f>L40+O40+R40</f>
      </c>
      <c r="T40" t="n" s="4424">
        <v>0.0</v>
      </c>
      <c r="U40" t="n" s="4425">
        <v>0.0</v>
      </c>
      <c r="V40" t="n" s="4426">
        <v>0.0</v>
      </c>
      <c r="W40" t="n" s="4427">
        <v>1300.0</v>
      </c>
      <c r="X40" t="n" s="4428">
        <f>s40+t40+u40+w40</f>
      </c>
      <c r="Y40" t="n" s="4429">
        <v>10.0</v>
      </c>
      <c r="Z40" t="n" s="4430">
        <v>106.0</v>
      </c>
      <c r="AA40" t="n" s="4431">
        <v>8.0</v>
      </c>
      <c r="AB40" t="n" s="4432">
        <v>113.04</v>
      </c>
      <c r="AC40" t="n" s="4433">
        <v>1.5</v>
      </c>
      <c r="AD40" t="n" s="4434">
        <v>31.8</v>
      </c>
      <c r="AE40" t="n" s="4435">
        <f>y40+aa40+ac40</f>
      </c>
      <c r="AF40" t="n" s="4436">
        <f>z40+ab40+ad40</f>
      </c>
      <c r="AG40" t="n" s="4437">
        <v>375.0</v>
      </c>
      <c r="AH40" t="n" s="4438">
        <v>55.15</v>
      </c>
      <c r="AI40" t="n" s="4439">
        <v>6.3</v>
      </c>
      <c r="AJ40" t="n" s="4440">
        <f>x40+af40+ag40+ah40+ai40</f>
      </c>
      <c r="AK40" t="n" s="4441">
        <f>ROUND((l40+t40+af40+ag40+ah40+ai40+w40)*0.05,2)</f>
      </c>
      <c r="AL40" t="n" s="4442">
        <f>aj40+ak40</f>
      </c>
      <c r="AM40" t="n" s="4443">
        <f>80*0.06</f>
      </c>
      <c r="AN40" t="n" s="4444">
        <f>al40+am40</f>
      </c>
      <c r="AO40" t="s" s="4445">
        <v>0</v>
      </c>
    </row>
    <row r="41">
      <c r="A41" t="s" s="4446">
        <v>206</v>
      </c>
      <c r="B41" t="s" s="4447">
        <v>207</v>
      </c>
      <c r="C41" t="s" s="4448">
        <v>208</v>
      </c>
      <c r="D41" t="s" s="4449">
        <v>209</v>
      </c>
      <c r="E41" t="s" s="4450">
        <v>55</v>
      </c>
      <c r="F41" t="s" s="8043">
        <v>210</v>
      </c>
      <c r="G41" t="s" s="4452">
        <v>57</v>
      </c>
      <c r="H41" t="s" s="4453">
        <v>58</v>
      </c>
      <c r="I41" t="n" s="8337">
        <v>43831.0</v>
      </c>
      <c r="J41" t="n" s="8338">
        <v>44196.0</v>
      </c>
      <c r="K41" t="s" s="4456">
        <v>0</v>
      </c>
      <c r="L41" t="n" s="4457">
        <v>1360.0</v>
      </c>
      <c r="M41" t="n" s="4458">
        <v>0.0</v>
      </c>
      <c r="N41" t="n" s="4459">
        <v>0.0</v>
      </c>
      <c r="O41" t="n" s="4460">
        <f>M41*N41</f>
      </c>
      <c r="P41" t="n" s="4461">
        <v>0.0</v>
      </c>
      <c r="Q41" t="n" s="4462">
        <v>0.0</v>
      </c>
      <c r="R41" t="n" s="4463">
        <f>P41*Q41</f>
      </c>
      <c r="S41" t="n" s="4464">
        <f>L41+O41+R41</f>
      </c>
      <c r="T41" t="n" s="4465">
        <v>0.0</v>
      </c>
      <c r="U41" t="n" s="4466">
        <v>0.0</v>
      </c>
      <c r="V41" t="n" s="4467">
        <v>0.0</v>
      </c>
      <c r="W41" t="n" s="4468">
        <v>1300.0</v>
      </c>
      <c r="X41" t="n" s="4469">
        <f>s41+t41+u41+w41</f>
      </c>
      <c r="Y41" t="n" s="4470">
        <v>16.0</v>
      </c>
      <c r="Z41" t="n" s="4471">
        <v>156.96</v>
      </c>
      <c r="AA41" t="n" s="4472">
        <v>0.0</v>
      </c>
      <c r="AB41" t="n" s="4473">
        <v>0.0</v>
      </c>
      <c r="AC41" t="n" s="4474">
        <v>0.0</v>
      </c>
      <c r="AD41" t="n" s="4475">
        <v>0.0</v>
      </c>
      <c r="AE41" t="n" s="4476">
        <f>y41+aa41+ac41</f>
      </c>
      <c r="AF41" t="n" s="4477">
        <f>z41+ab41+ad41</f>
      </c>
      <c r="AG41" t="n" s="4478">
        <v>367.0</v>
      </c>
      <c r="AH41" t="n" s="4479">
        <v>51.65</v>
      </c>
      <c r="AI41" t="n" s="4480">
        <v>5.9</v>
      </c>
      <c r="AJ41" t="n" s="4481">
        <f>x41+af41+ag41+ah41+ai41</f>
      </c>
      <c r="AK41" t="n" s="4482">
        <f>ROUND((l41+t41+af41+ag41+ah41+ai41+w41)*0.05,2)</f>
      </c>
      <c r="AL41" t="n" s="4483">
        <f>aj41+ak41</f>
      </c>
      <c r="AM41" t="n" s="4484">
        <f>80*0.06</f>
      </c>
      <c r="AN41" t="n" s="4485">
        <f>al41+am41</f>
      </c>
      <c r="AO41" t="s" s="4486">
        <v>0</v>
      </c>
    </row>
    <row r="42">
      <c r="A42" t="s" s="4487">
        <v>211</v>
      </c>
      <c r="B42" t="s" s="4488">
        <v>212</v>
      </c>
      <c r="C42" t="s" s="4489">
        <v>213</v>
      </c>
      <c r="D42" t="s" s="4490">
        <v>214</v>
      </c>
      <c r="E42" t="s" s="4491">
        <v>55</v>
      </c>
      <c r="F42" t="s" s="8044">
        <v>110</v>
      </c>
      <c r="G42" t="s" s="4493">
        <v>57</v>
      </c>
      <c r="H42" t="s" s="4494">
        <v>58</v>
      </c>
      <c r="I42" t="n" s="8339">
        <v>43831.0</v>
      </c>
      <c r="J42" t="n" s="8340">
        <v>44196.0</v>
      </c>
      <c r="K42" t="s" s="4497">
        <v>0</v>
      </c>
      <c r="L42" t="n" s="4498">
        <v>1450.0</v>
      </c>
      <c r="M42" t="n" s="4499">
        <v>0.0</v>
      </c>
      <c r="N42" t="n" s="4500">
        <v>0.0</v>
      </c>
      <c r="O42" t="n" s="4501">
        <f>M42*N42</f>
      </c>
      <c r="P42" t="n" s="4502">
        <v>0.0</v>
      </c>
      <c r="Q42" t="n" s="4503">
        <v>0.0</v>
      </c>
      <c r="R42" t="n" s="4504">
        <f>P42*Q42</f>
      </c>
      <c r="S42" t="n" s="4505">
        <f>L42+O42+R42</f>
      </c>
      <c r="T42" t="n" s="4506">
        <v>0.0</v>
      </c>
      <c r="U42" t="n" s="4507">
        <v>0.0</v>
      </c>
      <c r="V42" t="n" s="4508">
        <v>0.0</v>
      </c>
      <c r="W42" t="n" s="4509">
        <v>1600.0</v>
      </c>
      <c r="X42" t="n" s="4510">
        <f>s42+t42+u42+w42</f>
      </c>
      <c r="Y42" t="n" s="4511">
        <v>6.0</v>
      </c>
      <c r="Z42" t="n" s="4512">
        <v>62.76</v>
      </c>
      <c r="AA42" t="n" s="4513">
        <v>8.0</v>
      </c>
      <c r="AB42" t="n" s="4514">
        <v>111.52</v>
      </c>
      <c r="AC42" t="n" s="4515">
        <v>1.0</v>
      </c>
      <c r="AD42" t="n" s="4516">
        <v>20.91</v>
      </c>
      <c r="AE42" t="n" s="4517">
        <f>y42+aa42+ac42</f>
      </c>
      <c r="AF42" t="n" s="4518">
        <f>z42+ab42+ad42</f>
      </c>
      <c r="AG42" t="n" s="4519">
        <v>411.0</v>
      </c>
      <c r="AH42" t="n" s="4520">
        <v>58.65</v>
      </c>
      <c r="AI42" t="n" s="4521">
        <v>6.7</v>
      </c>
      <c r="AJ42" t="n" s="4522">
        <f>x42+af42+ag42+ah42+ai42</f>
      </c>
      <c r="AK42" t="n" s="4523">
        <f>ROUND((l42+t42+af42+ag42+ah42+ai42+w42)*0.05,2)</f>
      </c>
      <c r="AL42" t="n" s="4524">
        <f>aj42+ak42</f>
      </c>
      <c r="AM42" t="n" s="4525">
        <f>80*0.06</f>
      </c>
      <c r="AN42" t="n" s="4526">
        <f>al42+am42</f>
      </c>
      <c r="AO42" t="s" s="4527">
        <v>0</v>
      </c>
    </row>
    <row r="43">
      <c r="A43" t="s" s="4528">
        <v>215</v>
      </c>
      <c r="B43" t="s" s="4529">
        <v>216</v>
      </c>
      <c r="C43" t="s" s="4530">
        <v>217</v>
      </c>
      <c r="D43" t="s" s="4531">
        <v>218</v>
      </c>
      <c r="E43" t="s" s="4532">
        <v>55</v>
      </c>
      <c r="F43" t="s" s="8045">
        <v>219</v>
      </c>
      <c r="G43" t="s" s="4534">
        <v>57</v>
      </c>
      <c r="H43" t="s" s="4535">
        <v>58</v>
      </c>
      <c r="I43" t="n" s="8341">
        <v>43831.0</v>
      </c>
      <c r="J43" t="n" s="8342">
        <v>44196.0</v>
      </c>
      <c r="K43" t="s" s="4538">
        <v>0</v>
      </c>
      <c r="L43" t="n" s="4539">
        <v>1530.0</v>
      </c>
      <c r="M43" t="n" s="4540">
        <v>0.0</v>
      </c>
      <c r="N43" t="n" s="4541">
        <v>0.0</v>
      </c>
      <c r="O43" t="n" s="4542">
        <f>M43*N43</f>
      </c>
      <c r="P43" t="n" s="4543">
        <v>0.0</v>
      </c>
      <c r="Q43" t="n" s="4544">
        <v>0.0</v>
      </c>
      <c r="R43" t="n" s="4545">
        <f>P43*Q43</f>
      </c>
      <c r="S43" t="n" s="4546">
        <f>L43+O43+R43</f>
      </c>
      <c r="T43" t="n" s="4547">
        <v>0.0</v>
      </c>
      <c r="U43" t="n" s="4548">
        <v>0.0</v>
      </c>
      <c r="V43" t="n" s="4549">
        <v>0.0</v>
      </c>
      <c r="W43" t="n" s="4550">
        <v>1000.0</v>
      </c>
      <c r="X43" t="n" s="4551">
        <f>s43+t43+u43+w43</f>
      </c>
      <c r="Y43" t="n" s="4552">
        <v>6.0</v>
      </c>
      <c r="Z43" t="n" s="4553">
        <v>66.18</v>
      </c>
      <c r="AA43" t="n" s="4554">
        <v>8.0</v>
      </c>
      <c r="AB43" t="n" s="4555">
        <v>117.68</v>
      </c>
      <c r="AC43" t="n" s="4556">
        <v>1.0</v>
      </c>
      <c r="AD43" t="n" s="4557">
        <v>22.07</v>
      </c>
      <c r="AE43" t="n" s="4558">
        <f>y43+aa43+ac43</f>
      </c>
      <c r="AF43" t="n" s="4559">
        <f>z43+ab43+ad43</f>
      </c>
      <c r="AG43" t="n" s="4560">
        <v>344.0</v>
      </c>
      <c r="AH43" t="n" s="4561">
        <v>49.85</v>
      </c>
      <c r="AI43" t="n" s="4562">
        <v>5.7</v>
      </c>
      <c r="AJ43" t="n" s="4563">
        <f>x43+af43+ag43+ah43+ai43</f>
      </c>
      <c r="AK43" t="n" s="4564">
        <f>ROUND((l43+t43+af43+ag43+ah43+ai43+w43)*0.05,2)</f>
      </c>
      <c r="AL43" t="n" s="4565">
        <f>aj43+ak43</f>
      </c>
      <c r="AM43" t="n" s="4566">
        <f>80*0.06</f>
      </c>
      <c r="AN43" t="n" s="4567">
        <f>al43+am43</f>
      </c>
      <c r="AO43" t="s" s="4568">
        <v>0</v>
      </c>
    </row>
    <row r="44">
      <c r="A44" t="s" s="4569">
        <v>220</v>
      </c>
      <c r="B44" t="s" s="4570">
        <v>221</v>
      </c>
      <c r="C44" t="s" s="4571">
        <v>222</v>
      </c>
      <c r="D44" t="s" s="4572">
        <v>223</v>
      </c>
      <c r="E44" t="s" s="4573">
        <v>55</v>
      </c>
      <c r="F44" t="s" s="8046">
        <v>224</v>
      </c>
      <c r="G44" t="s" s="4575">
        <v>105</v>
      </c>
      <c r="H44" t="s" s="4576">
        <v>58</v>
      </c>
      <c r="I44" t="n" s="8343">
        <v>43831.0</v>
      </c>
      <c r="J44" t="n" s="8344">
        <v>44196.0</v>
      </c>
      <c r="K44" t="s" s="4579">
        <v>0</v>
      </c>
      <c r="L44" t="n" s="4580">
        <v>1400.0</v>
      </c>
      <c r="M44" t="n" s="4581">
        <v>0.0</v>
      </c>
      <c r="N44" t="n" s="4582">
        <v>0.0</v>
      </c>
      <c r="O44" t="n" s="4583">
        <f>M44*N44</f>
      </c>
      <c r="P44" t="n" s="4584">
        <v>0.0</v>
      </c>
      <c r="Q44" t="n" s="4585">
        <v>0.0</v>
      </c>
      <c r="R44" t="n" s="4586">
        <f>P44*Q44</f>
      </c>
      <c r="S44" t="n" s="4587">
        <f>L44+O44+R44</f>
      </c>
      <c r="T44" t="n" s="4588">
        <v>0.0</v>
      </c>
      <c r="U44" t="n" s="4589">
        <v>0.0</v>
      </c>
      <c r="V44" t="n" s="4590">
        <v>0.0</v>
      </c>
      <c r="W44" t="n" s="4591">
        <v>1700.0</v>
      </c>
      <c r="X44" t="n" s="4592">
        <f>s44+t44+u44+w44</f>
      </c>
      <c r="Y44" t="n" s="4593">
        <v>10.0</v>
      </c>
      <c r="Z44" t="n" s="4594">
        <v>101.0</v>
      </c>
      <c r="AA44" t="n" s="4595">
        <v>0.0</v>
      </c>
      <c r="AB44" t="n" s="4596">
        <v>0.0</v>
      </c>
      <c r="AC44" t="n" s="4597">
        <v>1.0</v>
      </c>
      <c r="AD44" t="n" s="4598">
        <v>20.19</v>
      </c>
      <c r="AE44" t="n" s="4599">
        <f>y44+aa44+ac44</f>
      </c>
      <c r="AF44" t="n" s="4600">
        <f>z44+ab44+ad44</f>
      </c>
      <c r="AG44" t="n" s="4601">
        <v>424.0</v>
      </c>
      <c r="AH44" t="n" s="4602">
        <v>58.65</v>
      </c>
      <c r="AI44" t="n" s="4603">
        <v>6.7</v>
      </c>
      <c r="AJ44" t="n" s="4604">
        <f>x44+af44+ag44+ah44+ai44</f>
      </c>
      <c r="AK44" t="n" s="4605">
        <f>ROUND((l44+t44+af44+ag44+ah44+ai44+w44)*0.05,2)</f>
      </c>
      <c r="AL44" t="n" s="4606">
        <f>aj44+ak44</f>
      </c>
      <c r="AM44" t="n" s="4607">
        <f>80*0.06</f>
      </c>
      <c r="AN44" t="n" s="4608">
        <f>al44+am44</f>
      </c>
      <c r="AO44" t="s" s="4609">
        <v>0</v>
      </c>
    </row>
    <row r="45">
      <c r="A45" t="s" s="4610">
        <v>225</v>
      </c>
      <c r="B45" t="s" s="4611">
        <v>226</v>
      </c>
      <c r="C45" t="s" s="4612">
        <v>227</v>
      </c>
      <c r="D45" t="s" s="4613">
        <v>228</v>
      </c>
      <c r="E45" t="s" s="4614">
        <v>55</v>
      </c>
      <c r="F45" t="s" s="8047">
        <v>229</v>
      </c>
      <c r="G45" t="s" s="4616">
        <v>230</v>
      </c>
      <c r="H45" t="s" s="4617">
        <v>231</v>
      </c>
      <c r="I45" t="n" s="8345">
        <v>43831.0</v>
      </c>
      <c r="J45" t="n" s="8346">
        <v>44196.0</v>
      </c>
      <c r="K45" t="s" s="4620">
        <v>0</v>
      </c>
      <c r="L45" t="n" s="4621">
        <v>1440.0</v>
      </c>
      <c r="M45" t="n" s="4622">
        <v>0.0</v>
      </c>
      <c r="N45" t="n" s="4623">
        <v>0.0</v>
      </c>
      <c r="O45" t="n" s="4624">
        <f>M45*N45</f>
      </c>
      <c r="P45" t="n" s="4625">
        <v>0.0</v>
      </c>
      <c r="Q45" t="n" s="4626">
        <v>0.0</v>
      </c>
      <c r="R45" t="n" s="4627">
        <f>P45*Q45</f>
      </c>
      <c r="S45" t="n" s="4628">
        <f>L45+O45+R45</f>
      </c>
      <c r="T45" t="n" s="4629">
        <v>0.0</v>
      </c>
      <c r="U45" t="n" s="4630">
        <v>0.0</v>
      </c>
      <c r="V45" t="n" s="4631">
        <v>0.0</v>
      </c>
      <c r="W45" t="n" s="4632">
        <v>500.0</v>
      </c>
      <c r="X45" t="n" s="4633">
        <f>s45+t45+u45+w45</f>
      </c>
      <c r="Y45" t="n" s="4634">
        <v>0.0</v>
      </c>
      <c r="Z45" t="n" s="4635">
        <v>0.0</v>
      </c>
      <c r="AA45" t="n" s="4636">
        <v>0.0</v>
      </c>
      <c r="AB45" t="n" s="4637">
        <v>0.0</v>
      </c>
      <c r="AC45" t="n" s="4638">
        <v>0.0</v>
      </c>
      <c r="AD45" t="n" s="4639">
        <v>0.0</v>
      </c>
      <c r="AE45" t="n" s="4640">
        <f>y45+aa45+ac45</f>
      </c>
      <c r="AF45" t="n" s="4641">
        <f>z45+ab45+ad45</f>
      </c>
      <c r="AG45" t="n" s="4642">
        <v>273.0</v>
      </c>
      <c r="AH45" t="n" s="4643">
        <v>35.85</v>
      </c>
      <c r="AI45" t="n" s="4644">
        <v>4.1</v>
      </c>
      <c r="AJ45" t="n" s="4645">
        <f>x45+af45+ag45+ah45+ai45</f>
      </c>
      <c r="AK45" t="n" s="4646">
        <f>ROUND((l45+t45+af45+ag45+ah45+ai45+w45)*0.05,2)</f>
      </c>
      <c r="AL45" t="n" s="4647">
        <f>aj45+ak45</f>
      </c>
      <c r="AM45" t="n" s="4648">
        <f>80*0.06</f>
      </c>
      <c r="AN45" t="n" s="4649">
        <f>al45+am45</f>
      </c>
      <c r="AO45" t="s" s="4650">
        <v>0</v>
      </c>
    </row>
    <row r="46">
      <c r="A46" t="s" s="4651">
        <v>232</v>
      </c>
      <c r="B46" t="s" s="4652">
        <v>233</v>
      </c>
      <c r="C46" t="s" s="4653">
        <v>234</v>
      </c>
      <c r="D46" t="s" s="4654">
        <v>235</v>
      </c>
      <c r="E46" t="s" s="4655">
        <v>55</v>
      </c>
      <c r="F46" t="s" s="8048">
        <v>236</v>
      </c>
      <c r="G46" t="s" s="4657">
        <v>230</v>
      </c>
      <c r="H46" t="s" s="4658">
        <v>231</v>
      </c>
      <c r="I46" t="n" s="8347">
        <v>43831.0</v>
      </c>
      <c r="J46" t="n" s="8348">
        <v>44196.0</v>
      </c>
      <c r="K46" t="s" s="4661">
        <v>0</v>
      </c>
      <c r="L46" t="n" s="4662">
        <v>2220.0</v>
      </c>
      <c r="M46" t="n" s="4663">
        <v>0.0</v>
      </c>
      <c r="N46" t="n" s="4664">
        <v>0.0</v>
      </c>
      <c r="O46" t="n" s="4665">
        <f>M46*N46</f>
      </c>
      <c r="P46" t="n" s="4666">
        <v>0.0</v>
      </c>
      <c r="Q46" t="n" s="4667">
        <v>0.0</v>
      </c>
      <c r="R46" t="n" s="4668">
        <f>P46*Q46</f>
      </c>
      <c r="S46" t="n" s="4669">
        <f>L46+O46+R46</f>
      </c>
      <c r="T46" t="n" s="4670">
        <v>0.0</v>
      </c>
      <c r="U46" t="n" s="4671">
        <v>0.0</v>
      </c>
      <c r="V46" t="n" s="4672">
        <v>0.0</v>
      </c>
      <c r="W46" t="n" s="4673">
        <v>0.0</v>
      </c>
      <c r="X46" t="n" s="4674">
        <f>s46+t46+u46+w46</f>
      </c>
      <c r="Y46" t="n" s="4675">
        <v>8.0</v>
      </c>
      <c r="Z46" t="n" s="4676">
        <v>128.08</v>
      </c>
      <c r="AA46" t="n" s="4677">
        <v>0.0</v>
      </c>
      <c r="AB46" t="n" s="4678">
        <v>0.0</v>
      </c>
      <c r="AC46" t="n" s="4679">
        <v>0.0</v>
      </c>
      <c r="AD46" t="n" s="4680">
        <v>0.0</v>
      </c>
      <c r="AE46" t="n" s="4681">
        <f>y46+aa46+ac46</f>
      </c>
      <c r="AF46" t="n" s="4682">
        <f>z46+ab46+ad46</f>
      </c>
      <c r="AG46" t="n" s="4683">
        <v>96.0</v>
      </c>
      <c r="AH46" t="n" s="4684">
        <v>31.9</v>
      </c>
      <c r="AI46" t="n" s="4685">
        <v>0.0</v>
      </c>
      <c r="AJ46" t="n" s="4686">
        <f>x46+af46+ag46+ah46+ai46</f>
      </c>
      <c r="AK46" t="n" s="4687">
        <f>ROUND((l46+t46+af46+ag46+ah46+ai46+w46)*0.05,2)</f>
      </c>
      <c r="AL46" t="n" s="4688">
        <f>aj46+ak46</f>
      </c>
      <c r="AM46" t="n" s="4689">
        <f>80*0.06</f>
      </c>
      <c r="AN46" t="n" s="4690">
        <f>al46+am46</f>
      </c>
      <c r="AO46" t="s" s="4691">
        <v>0</v>
      </c>
    </row>
    <row r="47">
      <c r="A47" t="s" s="4692">
        <v>237</v>
      </c>
      <c r="B47" t="s" s="4693">
        <v>238</v>
      </c>
      <c r="C47" t="s" s="4694">
        <v>239</v>
      </c>
      <c r="D47" t="s" s="4695">
        <v>240</v>
      </c>
      <c r="E47" t="s" s="4696">
        <v>55</v>
      </c>
      <c r="F47" t="s" s="8049">
        <v>241</v>
      </c>
      <c r="G47" t="s" s="4698">
        <v>230</v>
      </c>
      <c r="H47" t="s" s="4699">
        <v>231</v>
      </c>
      <c r="I47" t="n" s="8349">
        <v>43831.0</v>
      </c>
      <c r="J47" t="n" s="8350">
        <v>44196.0</v>
      </c>
      <c r="K47" t="s" s="4702">
        <v>0</v>
      </c>
      <c r="L47" t="n" s="4703">
        <v>1420.0</v>
      </c>
      <c r="M47" t="n" s="4704">
        <v>0.0</v>
      </c>
      <c r="N47" t="n" s="4705">
        <v>0.0</v>
      </c>
      <c r="O47" t="n" s="4706">
        <f>M47*N47</f>
      </c>
      <c r="P47" t="n" s="4707">
        <v>0.0</v>
      </c>
      <c r="Q47" t="n" s="4708">
        <v>0.0</v>
      </c>
      <c r="R47" t="n" s="4709">
        <f>P47*Q47</f>
      </c>
      <c r="S47" t="n" s="4710">
        <f>L47+O47+R47</f>
      </c>
      <c r="T47" t="n" s="4711">
        <v>0.0</v>
      </c>
      <c r="U47" t="n" s="4712">
        <v>8.0</v>
      </c>
      <c r="V47" t="n" s="4713">
        <v>0.0</v>
      </c>
      <c r="W47" t="n" s="4714">
        <v>200.0</v>
      </c>
      <c r="X47" t="n" s="4715">
        <f>s47+t47+u47+w47</f>
      </c>
      <c r="Y47" t="n" s="4716">
        <v>8.0</v>
      </c>
      <c r="Z47" t="n" s="4717">
        <v>81.92</v>
      </c>
      <c r="AA47" t="n" s="4718">
        <v>0.0</v>
      </c>
      <c r="AB47" t="n" s="4719">
        <v>0.0</v>
      </c>
      <c r="AC47" t="n" s="4720">
        <v>0.0</v>
      </c>
      <c r="AD47" t="n" s="4721">
        <v>0.0</v>
      </c>
      <c r="AE47" t="n" s="4722">
        <f>y47+aa47+ac47</f>
      </c>
      <c r="AF47" t="n" s="4723">
        <f>z47+ab47+ad47</f>
      </c>
      <c r="AG47" t="n" s="4724">
        <v>232.0</v>
      </c>
      <c r="AH47" t="n" s="4725">
        <v>32.35</v>
      </c>
      <c r="AI47" t="n" s="4726">
        <v>3.7</v>
      </c>
      <c r="AJ47" t="n" s="4727">
        <f>x47+af47+ag47+ah47+ai47</f>
      </c>
      <c r="AK47" t="n" s="4728">
        <f>ROUND((l47+t47+af47+ag47+ah47+ai47+w47)*0.05,2)</f>
      </c>
      <c r="AL47" t="n" s="4729">
        <f>aj47+ak47</f>
      </c>
      <c r="AM47" t="n" s="4730">
        <f>88*0.06</f>
      </c>
      <c r="AN47" t="n" s="4731">
        <f>al47+am47</f>
      </c>
      <c r="AO47" t="s" s="4732">
        <v>0</v>
      </c>
    </row>
    <row r="48">
      <c r="A48" t="s" s="4733">
        <v>242</v>
      </c>
      <c r="B48" t="s" s="4734">
        <v>243</v>
      </c>
      <c r="C48" t="s" s="4735">
        <v>244</v>
      </c>
      <c r="D48" t="s" s="4736">
        <v>245</v>
      </c>
      <c r="E48" t="s" s="4737">
        <v>55</v>
      </c>
      <c r="F48" t="s" s="8050">
        <v>246</v>
      </c>
      <c r="G48" t="s" s="4739">
        <v>230</v>
      </c>
      <c r="H48" t="s" s="4740">
        <v>231</v>
      </c>
      <c r="I48" t="n" s="8351">
        <v>43831.0</v>
      </c>
      <c r="J48" t="n" s="8352">
        <v>44196.0</v>
      </c>
      <c r="K48" t="s" s="4743">
        <v>0</v>
      </c>
      <c r="L48" t="n" s="4744">
        <v>1510.0</v>
      </c>
      <c r="M48" t="n" s="4745">
        <v>0.0</v>
      </c>
      <c r="N48" t="n" s="4746">
        <v>0.0</v>
      </c>
      <c r="O48" t="n" s="4747">
        <f>M48*N48</f>
      </c>
      <c r="P48" t="n" s="4748">
        <v>0.0</v>
      </c>
      <c r="Q48" t="n" s="4749">
        <v>0.0</v>
      </c>
      <c r="R48" t="n" s="4750">
        <f>P48*Q48</f>
      </c>
      <c r="S48" t="n" s="4751">
        <f>L48+O48+R48</f>
      </c>
      <c r="T48" t="n" s="4752">
        <v>0.0</v>
      </c>
      <c r="U48" t="n" s="4753">
        <v>0.0</v>
      </c>
      <c r="V48" t="n" s="4754">
        <v>0.0</v>
      </c>
      <c r="W48" t="n" s="4755">
        <v>170.0</v>
      </c>
      <c r="X48" t="n" s="4756">
        <f>s48+t48+u48+w48</f>
      </c>
      <c r="Y48" t="n" s="4757">
        <v>0.0</v>
      </c>
      <c r="Z48" t="n" s="4758">
        <v>0.0</v>
      </c>
      <c r="AA48" t="n" s="4759">
        <v>0.0</v>
      </c>
      <c r="AB48" t="n" s="4760">
        <v>0.0</v>
      </c>
      <c r="AC48" t="n" s="4761">
        <v>0.0</v>
      </c>
      <c r="AD48" t="n" s="4762">
        <v>0.0</v>
      </c>
      <c r="AE48" t="n" s="4763">
        <f>y48+aa48+ac48</f>
      </c>
      <c r="AF48" t="n" s="4764">
        <f>z48+ab48+ad48</f>
      </c>
      <c r="AG48" t="n" s="4765">
        <v>240.0</v>
      </c>
      <c r="AH48" t="n" s="4766">
        <v>32.35</v>
      </c>
      <c r="AI48" t="n" s="4767">
        <v>3.7</v>
      </c>
      <c r="AJ48" t="n" s="4768">
        <f>x48+af48+ag48+ah48+ai48</f>
      </c>
      <c r="AK48" t="n" s="4769">
        <f>ROUND((l48+t48+af48+ag48+ah48+ai48+w48)*0.05,2)</f>
      </c>
      <c r="AL48" t="n" s="4770">
        <f>aj48+ak48</f>
      </c>
      <c r="AM48" t="n" s="4771">
        <f>80*0.06</f>
      </c>
      <c r="AN48" t="n" s="4772">
        <f>al48+am48</f>
      </c>
      <c r="AO48" t="s" s="4773">
        <v>0</v>
      </c>
    </row>
    <row r="49">
      <c r="A49" t="s" s="4774">
        <v>247</v>
      </c>
      <c r="B49" t="s" s="4775">
        <v>248</v>
      </c>
      <c r="C49" t="s" s="4776">
        <v>249</v>
      </c>
      <c r="D49" t="s" s="4777">
        <v>250</v>
      </c>
      <c r="E49" t="s" s="4778">
        <v>55</v>
      </c>
      <c r="F49" t="s" s="8051">
        <v>251</v>
      </c>
      <c r="G49" t="s" s="4780">
        <v>230</v>
      </c>
      <c r="H49" t="s" s="4781">
        <v>231</v>
      </c>
      <c r="I49" t="n" s="8353">
        <v>43831.0</v>
      </c>
      <c r="J49" t="n" s="8354">
        <v>44196.0</v>
      </c>
      <c r="K49" t="s" s="4784">
        <v>0</v>
      </c>
      <c r="L49" t="n" s="4785">
        <v>1620.0</v>
      </c>
      <c r="M49" t="n" s="4786">
        <v>0.0</v>
      </c>
      <c r="N49" t="n" s="4787">
        <v>0.0</v>
      </c>
      <c r="O49" t="n" s="4788">
        <f>M49*N49</f>
      </c>
      <c r="P49" t="n" s="4789">
        <v>0.0</v>
      </c>
      <c r="Q49" t="n" s="4790">
        <v>0.0</v>
      </c>
      <c r="R49" t="n" s="4791">
        <f>P49*Q49</f>
      </c>
      <c r="S49" t="n" s="4792">
        <f>L49+O49+R49</f>
      </c>
      <c r="T49" t="n" s="4793">
        <v>0.0</v>
      </c>
      <c r="U49" t="n" s="4794">
        <v>0.0</v>
      </c>
      <c r="V49" t="n" s="4795">
        <v>0.0</v>
      </c>
      <c r="W49" t="n" s="4796">
        <v>800.0</v>
      </c>
      <c r="X49" t="n" s="4797">
        <f>s49+t49+u49+w49</f>
      </c>
      <c r="Y49" t="n" s="4798">
        <v>1.0</v>
      </c>
      <c r="Z49" t="n" s="4799">
        <v>11.68</v>
      </c>
      <c r="AA49" t="n" s="4800">
        <v>0.0</v>
      </c>
      <c r="AB49" t="n" s="4801">
        <v>0.0</v>
      </c>
      <c r="AC49" t="n" s="4802">
        <v>0.0</v>
      </c>
      <c r="AD49" t="n" s="4803">
        <v>0.0</v>
      </c>
      <c r="AE49" t="n" s="4804">
        <f>y49+aa49+ac49</f>
      </c>
      <c r="AF49" t="n" s="4805">
        <f>z49+ab49+ad49</f>
      </c>
      <c r="AG49" t="n" s="4806">
        <v>336.0</v>
      </c>
      <c r="AH49" t="n" s="4807">
        <v>44.65</v>
      </c>
      <c r="AI49" t="n" s="4808">
        <v>5.1</v>
      </c>
      <c r="AJ49" t="n" s="4809">
        <f>x49+af49+ag49+ah49+ai49</f>
      </c>
      <c r="AK49" t="n" s="4810">
        <f>ROUND((l49+t49+af49+ag49+ah49+ai49+w49)*0.05,2)</f>
      </c>
      <c r="AL49" t="n" s="4811">
        <f>aj49+ak49</f>
      </c>
      <c r="AM49" t="n" s="4812">
        <f>80*0.06</f>
      </c>
      <c r="AN49" t="n" s="4813">
        <f>al49+am49</f>
      </c>
      <c r="AO49" t="s" s="4814">
        <v>0</v>
      </c>
    </row>
    <row r="50">
      <c r="A50" t="s" s="4815">
        <v>252</v>
      </c>
      <c r="B50" t="s" s="4816">
        <v>253</v>
      </c>
      <c r="C50" t="s" s="4817">
        <v>254</v>
      </c>
      <c r="D50" t="s" s="4818">
        <v>255</v>
      </c>
      <c r="E50" t="s" s="4819">
        <v>55</v>
      </c>
      <c r="F50" t="s" s="8052">
        <v>256</v>
      </c>
      <c r="G50" t="s" s="4821">
        <v>230</v>
      </c>
      <c r="H50" t="s" s="4822">
        <v>231</v>
      </c>
      <c r="I50" t="n" s="8355">
        <v>43831.0</v>
      </c>
      <c r="J50" t="n" s="8356">
        <v>44196.0</v>
      </c>
      <c r="K50" t="s" s="4825">
        <v>0</v>
      </c>
      <c r="L50" t="n" s="4826">
        <v>1540.0</v>
      </c>
      <c r="M50" t="n" s="4827">
        <v>0.0</v>
      </c>
      <c r="N50" t="n" s="4828">
        <v>0.0</v>
      </c>
      <c r="O50" t="n" s="4829">
        <f>M50*N50</f>
      </c>
      <c r="P50" t="n" s="4830">
        <v>0.0</v>
      </c>
      <c r="Q50" t="n" s="4831">
        <v>0.0</v>
      </c>
      <c r="R50" t="n" s="4832">
        <f>P50*Q50</f>
      </c>
      <c r="S50" t="n" s="4833">
        <f>L50+O50+R50</f>
      </c>
      <c r="T50" t="n" s="4834">
        <v>0.0</v>
      </c>
      <c r="U50" t="n" s="4835">
        <v>9.0</v>
      </c>
      <c r="V50" t="n" s="4836">
        <v>0.0</v>
      </c>
      <c r="W50" t="n" s="4837">
        <v>530.0</v>
      </c>
      <c r="X50" t="n" s="4838">
        <f>s50+t50+u50+w50</f>
      </c>
      <c r="Y50" t="n" s="4839">
        <v>7.0</v>
      </c>
      <c r="Z50" t="n" s="4840">
        <v>77.77</v>
      </c>
      <c r="AA50" t="n" s="4841">
        <v>0.0</v>
      </c>
      <c r="AB50" t="n" s="4842">
        <v>0.0</v>
      </c>
      <c r="AC50" t="n" s="4843">
        <v>0.0</v>
      </c>
      <c r="AD50" t="n" s="4844">
        <v>0.0</v>
      </c>
      <c r="AE50" t="n" s="4845">
        <f>y50+aa50+ac50</f>
      </c>
      <c r="AF50" t="n" s="4846">
        <f>z50+ab50+ad50</f>
      </c>
      <c r="AG50" t="n" s="4847">
        <v>292.0</v>
      </c>
      <c r="AH50" t="n" s="4848">
        <v>41.15</v>
      </c>
      <c r="AI50" t="n" s="4849">
        <v>4.7</v>
      </c>
      <c r="AJ50" t="n" s="4850">
        <f>x50+af50+ag50+ah50+ai50</f>
      </c>
      <c r="AK50" t="n" s="4851">
        <f>ROUND((l50+t50+af50+ag50+ah50+ai50+w50)*0.05,2)</f>
      </c>
      <c r="AL50" t="n" s="4852">
        <f>aj50+ak50</f>
      </c>
      <c r="AM50" t="n" s="4853">
        <f>89*0.06</f>
      </c>
      <c r="AN50" t="n" s="4854">
        <f>al50+am50</f>
      </c>
      <c r="AO50" t="s" s="4855">
        <v>0</v>
      </c>
    </row>
    <row r="51">
      <c r="A51" t="s" s="4856">
        <v>257</v>
      </c>
      <c r="B51" t="s" s="4857">
        <v>258</v>
      </c>
      <c r="C51" t="s" s="4858">
        <v>259</v>
      </c>
      <c r="D51" t="s" s="4859">
        <v>260</v>
      </c>
      <c r="E51" t="s" s="4860">
        <v>55</v>
      </c>
      <c r="F51" t="s" s="8053">
        <v>261</v>
      </c>
      <c r="G51" t="s" s="4862">
        <v>230</v>
      </c>
      <c r="H51" t="s" s="4863">
        <v>231</v>
      </c>
      <c r="I51" t="n" s="8357">
        <v>43831.0</v>
      </c>
      <c r="J51" t="n" s="8358">
        <v>44196.0</v>
      </c>
      <c r="K51" t="s" s="4866">
        <v>0</v>
      </c>
      <c r="L51" t="n" s="4867">
        <v>1420.0</v>
      </c>
      <c r="M51" t="n" s="4868">
        <v>0.0</v>
      </c>
      <c r="N51" t="n" s="4869">
        <v>0.0</v>
      </c>
      <c r="O51" t="n" s="4870">
        <f>M51*N51</f>
      </c>
      <c r="P51" t="n" s="4871">
        <v>0.0</v>
      </c>
      <c r="Q51" t="n" s="4872">
        <v>0.0</v>
      </c>
      <c r="R51" t="n" s="4873">
        <f>P51*Q51</f>
      </c>
      <c r="S51" t="n" s="4874">
        <f>L51+O51+R51</f>
      </c>
      <c r="T51" t="n" s="4875">
        <v>0.0</v>
      </c>
      <c r="U51" t="n" s="4876">
        <v>0.0</v>
      </c>
      <c r="V51" t="n" s="4877">
        <v>0.0</v>
      </c>
      <c r="W51" t="n" s="4878">
        <v>0.0</v>
      </c>
      <c r="X51" t="n" s="4879">
        <f>s51+t51+u51+w51</f>
      </c>
      <c r="Y51" t="n" s="4880">
        <v>5.0</v>
      </c>
      <c r="Z51" t="n" s="4881">
        <v>51.2</v>
      </c>
      <c r="AA51" t="n" s="4882">
        <v>0.0</v>
      </c>
      <c r="AB51" t="n" s="4883">
        <v>0.0</v>
      </c>
      <c r="AC51" t="n" s="4884">
        <v>0.0</v>
      </c>
      <c r="AD51" t="n" s="4885">
        <v>0.0</v>
      </c>
      <c r="AE51" t="n" s="4886">
        <f>y51+aa51+ac51</f>
      </c>
      <c r="AF51" t="n" s="4887">
        <f>z51+ab51+ad51</f>
      </c>
      <c r="AG51" t="n" s="4888">
        <v>206.0</v>
      </c>
      <c r="AH51" t="n" s="4889">
        <v>28.85</v>
      </c>
      <c r="AI51" t="n" s="4890">
        <v>3.3</v>
      </c>
      <c r="AJ51" t="n" s="4891">
        <f>x51+af51+ag51+ah51+ai51</f>
      </c>
      <c r="AK51" t="n" s="4892">
        <f>ROUND((l51+t51+af51+ag51+ah51+ai51+w51)*0.05,2)</f>
      </c>
      <c r="AL51" t="n" s="4893">
        <f>aj51+ak51</f>
      </c>
      <c r="AM51" t="n" s="4894">
        <f>80*0.06</f>
      </c>
      <c r="AN51" t="n" s="4895">
        <f>al51+am51</f>
      </c>
      <c r="AO51" t="s" s="4896">
        <v>0</v>
      </c>
    </row>
    <row r="52">
      <c r="A52" t="s" s="4897">
        <v>262</v>
      </c>
      <c r="B52" t="s" s="4898">
        <v>263</v>
      </c>
      <c r="C52" t="s" s="4899">
        <v>264</v>
      </c>
      <c r="D52" t="s" s="4900">
        <v>265</v>
      </c>
      <c r="E52" t="s" s="4901">
        <v>55</v>
      </c>
      <c r="F52" t="s" s="8054">
        <v>266</v>
      </c>
      <c r="G52" t="s" s="4903">
        <v>230</v>
      </c>
      <c r="H52" t="s" s="4904">
        <v>231</v>
      </c>
      <c r="I52" t="n" s="8359">
        <v>43831.0</v>
      </c>
      <c r="J52" t="n" s="8360">
        <v>44196.0</v>
      </c>
      <c r="K52" t="s" s="4907">
        <v>0</v>
      </c>
      <c r="L52" t="n" s="4908">
        <v>1330.0</v>
      </c>
      <c r="M52" t="n" s="4909">
        <v>0.0</v>
      </c>
      <c r="N52" t="n" s="4910">
        <v>0.0</v>
      </c>
      <c r="O52" t="n" s="4911">
        <f>M52*N52</f>
      </c>
      <c r="P52" t="n" s="4912">
        <v>0.0</v>
      </c>
      <c r="Q52" t="n" s="4913">
        <v>0.0</v>
      </c>
      <c r="R52" t="n" s="4914">
        <f>P52*Q52</f>
      </c>
      <c r="S52" t="n" s="4915">
        <f>L52+O52+R52</f>
      </c>
      <c r="T52" t="n" s="4916">
        <v>0.0</v>
      </c>
      <c r="U52" t="n" s="4917">
        <v>8.0</v>
      </c>
      <c r="V52" t="n" s="4918">
        <v>0.0</v>
      </c>
      <c r="W52" t="n" s="4919">
        <v>530.0</v>
      </c>
      <c r="X52" t="n" s="4920">
        <f>s52+t52+u52+w52</f>
      </c>
      <c r="Y52" t="n" s="4921">
        <v>8.0</v>
      </c>
      <c r="Z52" t="n" s="4922">
        <v>76.72</v>
      </c>
      <c r="AA52" t="n" s="4923">
        <v>0.0</v>
      </c>
      <c r="AB52" t="n" s="4924">
        <v>0.0</v>
      </c>
      <c r="AC52" t="n" s="4925">
        <v>0.0</v>
      </c>
      <c r="AD52" t="n" s="4926">
        <v>0.0</v>
      </c>
      <c r="AE52" t="n" s="4927">
        <f>y52+aa52+ac52</f>
      </c>
      <c r="AF52" t="n" s="4928">
        <f>z52+ab52+ad52</f>
      </c>
      <c r="AG52" t="n" s="4929">
        <v>263.0</v>
      </c>
      <c r="AH52" t="n" s="4930">
        <v>35.85</v>
      </c>
      <c r="AI52" t="n" s="4931">
        <v>4.1</v>
      </c>
      <c r="AJ52" t="n" s="4932">
        <f>x52+af52+ag52+ah52+ai52</f>
      </c>
      <c r="AK52" t="n" s="4933">
        <f>ROUND((l52+t52+af52+ag52+ah52+ai52+w52)*0.05,2)</f>
      </c>
      <c r="AL52" t="n" s="4934">
        <f>aj52+ak52</f>
      </c>
      <c r="AM52" t="n" s="4935">
        <f>88*0.06</f>
      </c>
      <c r="AN52" t="n" s="4936">
        <f>al52+am52</f>
      </c>
      <c r="AO52" t="s" s="4937">
        <v>0</v>
      </c>
    </row>
    <row r="53">
      <c r="A53" t="s" s="4938">
        <v>267</v>
      </c>
      <c r="B53" t="s" s="4939">
        <v>268</v>
      </c>
      <c r="C53" t="s" s="4940">
        <v>269</v>
      </c>
      <c r="D53" t="s" s="4941">
        <v>270</v>
      </c>
      <c r="E53" t="s" s="4942">
        <v>0</v>
      </c>
      <c r="F53" t="s" s="8055">
        <v>0</v>
      </c>
      <c r="G53" t="s" s="4944">
        <v>230</v>
      </c>
      <c r="H53" t="s" s="4945">
        <v>231</v>
      </c>
      <c r="I53" t="n" s="8361">
        <v>43831.0</v>
      </c>
      <c r="J53" t="n" s="8362">
        <v>44196.0</v>
      </c>
      <c r="K53" t="s" s="4948">
        <v>0</v>
      </c>
      <c r="L53" t="n" s="4949">
        <v>1200.0</v>
      </c>
      <c r="M53" t="n" s="4950">
        <v>0.0</v>
      </c>
      <c r="N53" t="n" s="4951">
        <v>0.0</v>
      </c>
      <c r="O53" t="n" s="4952">
        <f>M53*N53</f>
      </c>
      <c r="P53" t="n" s="4953">
        <v>0.0</v>
      </c>
      <c r="Q53" t="n" s="4954">
        <v>0.0</v>
      </c>
      <c r="R53" t="n" s="4955">
        <f>P53*Q53</f>
      </c>
      <c r="S53" t="n" s="4956">
        <f>L53+O53+R53</f>
      </c>
      <c r="T53" t="n" s="4957">
        <v>0.0</v>
      </c>
      <c r="U53" t="n" s="4958">
        <v>0.0</v>
      </c>
      <c r="V53" t="n" s="4959">
        <v>0.0</v>
      </c>
      <c r="W53" t="n" s="4960">
        <v>0.0</v>
      </c>
      <c r="X53" t="n" s="4961">
        <f>s53+t53+u53+w53</f>
      </c>
      <c r="Y53" t="n" s="4962">
        <v>0.0</v>
      </c>
      <c r="Z53" t="n" s="4963">
        <v>0.0</v>
      </c>
      <c r="AA53" t="n" s="4964">
        <v>0.0</v>
      </c>
      <c r="AB53" t="n" s="4965">
        <v>0.0</v>
      </c>
      <c r="AC53" t="n" s="4966">
        <v>0.0</v>
      </c>
      <c r="AD53" t="n" s="4967">
        <v>0.0</v>
      </c>
      <c r="AE53" t="n" s="4968">
        <f>y53+aa53+ac53</f>
      </c>
      <c r="AF53" t="n" s="4969">
        <f>z53+ab53+ad53</f>
      </c>
      <c r="AG53" t="n" s="4970">
        <v>169.0</v>
      </c>
      <c r="AH53" t="n" s="4971">
        <v>21.85</v>
      </c>
      <c r="AI53" t="n" s="4972">
        <v>2.5</v>
      </c>
      <c r="AJ53" t="n" s="4973">
        <f>x53+af53+ag53+ah53+ai53</f>
      </c>
      <c r="AK53" t="n" s="4974">
        <f>ROUND((l53+t53+af53+ag53+ah53+ai53+w53)*0.05,2)</f>
      </c>
      <c r="AL53" t="n" s="4975">
        <f>aj53+ak53</f>
      </c>
      <c r="AM53" t="n" s="4976">
        <f>80*0.06</f>
      </c>
      <c r="AN53" t="n" s="4977">
        <f>al53+am53</f>
      </c>
      <c r="AO53" t="s" s="4978">
        <v>0</v>
      </c>
    </row>
    <row r="54">
      <c r="A54" t="s" s="4979">
        <v>271</v>
      </c>
      <c r="B54" t="s" s="4980">
        <v>272</v>
      </c>
      <c r="C54" t="s" s="4981">
        <v>273</v>
      </c>
      <c r="D54" t="s" s="4982">
        <v>274</v>
      </c>
      <c r="E54" t="s" s="4983">
        <v>93</v>
      </c>
      <c r="F54" t="s" s="8056">
        <v>275</v>
      </c>
      <c r="G54" t="s" s="4985">
        <v>276</v>
      </c>
      <c r="H54" t="s" s="4986">
        <v>277</v>
      </c>
      <c r="I54" t="n" s="8363">
        <v>43831.0</v>
      </c>
      <c r="J54" t="n" s="8364">
        <v>44196.0</v>
      </c>
      <c r="K54" t="s" s="4989">
        <v>0</v>
      </c>
      <c r="L54" t="n" s="4990">
        <v>1540.0</v>
      </c>
      <c r="M54" t="n" s="4991">
        <v>0.0</v>
      </c>
      <c r="N54" t="n" s="4992">
        <v>0.0</v>
      </c>
      <c r="O54" t="n" s="4993">
        <f>M54*N54</f>
      </c>
      <c r="P54" t="n" s="4994">
        <v>0.0</v>
      </c>
      <c r="Q54" t="n" s="4995">
        <v>0.0</v>
      </c>
      <c r="R54" t="n" s="4996">
        <f>P54*Q54</f>
      </c>
      <c r="S54" t="n" s="4997">
        <f>L54+O54+R54</f>
      </c>
      <c r="T54" t="n" s="4998">
        <v>0.0</v>
      </c>
      <c r="U54" t="n" s="4999">
        <v>0.0</v>
      </c>
      <c r="V54" t="n" s="5000">
        <v>0.0</v>
      </c>
      <c r="W54" t="n" s="5001">
        <v>1000.0</v>
      </c>
      <c r="X54" t="n" s="5002">
        <f>s54+t54+u54+w54</f>
      </c>
      <c r="Y54" t="n" s="5003">
        <v>0.0</v>
      </c>
      <c r="Z54" t="n" s="5004">
        <v>0.0</v>
      </c>
      <c r="AA54" t="n" s="5005">
        <v>0.0</v>
      </c>
      <c r="AB54" t="n" s="5006">
        <v>0.0</v>
      </c>
      <c r="AC54" t="n" s="5007">
        <v>0.0</v>
      </c>
      <c r="AD54" t="n" s="5008">
        <v>0.0</v>
      </c>
      <c r="AE54" t="n" s="5009">
        <f>y54+aa54+ac54</f>
      </c>
      <c r="AF54" t="n" s="5010">
        <f>z54+ab54+ad54</f>
      </c>
      <c r="AG54" t="n" s="5011">
        <v>344.0</v>
      </c>
      <c r="AH54" t="n" s="5012">
        <v>46.35</v>
      </c>
      <c r="AI54" t="n" s="5013">
        <v>5.3</v>
      </c>
      <c r="AJ54" t="n" s="5014">
        <f>x54+af54+ag54+ah54+ai54</f>
      </c>
      <c r="AK54" t="n" s="5015">
        <f>ROUND((l54+t54+af54+ag54+ah54+ai54+w54)*0.05,2)</f>
      </c>
      <c r="AL54" t="n" s="5016">
        <f>aj54+ak54</f>
      </c>
      <c r="AM54" t="n" s="5017">
        <f>80*0.06</f>
      </c>
      <c r="AN54" t="n" s="5018">
        <f>al54+am54</f>
      </c>
      <c r="AO54" t="s" s="5019">
        <v>0</v>
      </c>
    </row>
    <row r="55">
      <c r="A55" t="s" s="5020">
        <v>278</v>
      </c>
      <c r="B55" t="s" s="5021">
        <v>279</v>
      </c>
      <c r="C55" t="s" s="5022">
        <v>280</v>
      </c>
      <c r="D55" t="s" s="5023">
        <v>281</v>
      </c>
      <c r="E55" t="s" s="5024">
        <v>93</v>
      </c>
      <c r="F55" t="s" s="8057">
        <v>282</v>
      </c>
      <c r="G55" t="s" s="5026">
        <v>276</v>
      </c>
      <c r="H55" t="s" s="5027">
        <v>277</v>
      </c>
      <c r="I55" t="n" s="8365">
        <v>43831.0</v>
      </c>
      <c r="J55" t="n" s="8366">
        <v>44196.0</v>
      </c>
      <c r="K55" t="s" s="5030">
        <v>0</v>
      </c>
      <c r="L55" t="n" s="5031">
        <v>1460.0</v>
      </c>
      <c r="M55" t="n" s="5032">
        <v>0.0</v>
      </c>
      <c r="N55" t="n" s="5033">
        <v>0.0</v>
      </c>
      <c r="O55" t="n" s="5034">
        <f>M55*N55</f>
      </c>
      <c r="P55" t="n" s="5035">
        <v>0.0</v>
      </c>
      <c r="Q55" t="n" s="5036">
        <v>0.0</v>
      </c>
      <c r="R55" t="n" s="5037">
        <f>P55*Q55</f>
      </c>
      <c r="S55" t="n" s="5038">
        <f>L55+O55+R55</f>
      </c>
      <c r="T55" t="n" s="5039">
        <v>0.0</v>
      </c>
      <c r="U55" t="n" s="5040">
        <v>0.0</v>
      </c>
      <c r="V55" t="n" s="5041">
        <v>0.0</v>
      </c>
      <c r="W55" t="n" s="5042">
        <v>1000.0</v>
      </c>
      <c r="X55" t="n" s="5043">
        <f>s55+t55+u55+w55</f>
      </c>
      <c r="Y55" t="n" s="5044">
        <v>8.0</v>
      </c>
      <c r="Z55" t="n" s="5045">
        <v>84.24</v>
      </c>
      <c r="AA55" t="n" s="5046">
        <v>0.0</v>
      </c>
      <c r="AB55" t="n" s="5047">
        <v>0.0</v>
      </c>
      <c r="AC55" t="n" s="5048">
        <v>0.0</v>
      </c>
      <c r="AD55" t="n" s="5049">
        <v>0.0</v>
      </c>
      <c r="AE55" t="n" s="5050">
        <f>y55+aa55+ac55</f>
      </c>
      <c r="AF55" t="n" s="5051">
        <f>z55+ab55+ad55</f>
      </c>
      <c r="AG55" t="n" s="5052">
        <v>333.0</v>
      </c>
      <c r="AH55" t="n" s="5053">
        <v>46.35</v>
      </c>
      <c r="AI55" t="n" s="5054">
        <v>5.3</v>
      </c>
      <c r="AJ55" t="n" s="5055">
        <f>x55+af55+ag55+ah55+ai55</f>
      </c>
      <c r="AK55" t="n" s="5056">
        <f>ROUND((l55+t55+af55+ag55+ah55+ai55+w55)*0.05,2)</f>
      </c>
      <c r="AL55" t="n" s="5057">
        <f>aj55+ak55</f>
      </c>
      <c r="AM55" t="n" s="5058">
        <f>80*0.06</f>
      </c>
      <c r="AN55" t="n" s="5059">
        <f>al55+am55</f>
      </c>
      <c r="AO55" t="s" s="5060">
        <v>0</v>
      </c>
    </row>
    <row r="56">
      <c r="A56" t="s" s="5061">
        <v>283</v>
      </c>
      <c r="B56" t="s" s="5062">
        <v>284</v>
      </c>
      <c r="C56" t="s" s="5063">
        <v>285</v>
      </c>
      <c r="D56" t="s" s="5064">
        <v>286</v>
      </c>
      <c r="E56" t="s" s="5065">
        <v>93</v>
      </c>
      <c r="F56" t="s" s="8058">
        <v>287</v>
      </c>
      <c r="G56" t="s" s="5067">
        <v>276</v>
      </c>
      <c r="H56" t="s" s="5068">
        <v>277</v>
      </c>
      <c r="I56" t="n" s="8367">
        <v>43831.0</v>
      </c>
      <c r="J56" t="n" s="8368">
        <v>44196.0</v>
      </c>
      <c r="K56" t="s" s="5071">
        <v>0</v>
      </c>
      <c r="L56" t="n" s="5072">
        <v>1490.0</v>
      </c>
      <c r="M56" t="n" s="5073">
        <v>0.0</v>
      </c>
      <c r="N56" t="n" s="5074">
        <v>0.0</v>
      </c>
      <c r="O56" t="n" s="5075">
        <f>M56*N56</f>
      </c>
      <c r="P56" t="n" s="5076">
        <v>0.0</v>
      </c>
      <c r="Q56" t="n" s="5077">
        <v>0.0</v>
      </c>
      <c r="R56" t="n" s="5078">
        <f>P56*Q56</f>
      </c>
      <c r="S56" t="n" s="5079">
        <f>L56+O56+R56</f>
      </c>
      <c r="T56" t="n" s="5080">
        <v>0.0</v>
      </c>
      <c r="U56" t="n" s="5081">
        <v>0.0</v>
      </c>
      <c r="V56" t="n" s="5082">
        <v>0.0</v>
      </c>
      <c r="W56" t="n" s="5083">
        <v>850.0</v>
      </c>
      <c r="X56" t="n" s="5084">
        <f>s56+t56+u56+w56</f>
      </c>
      <c r="Y56" t="n" s="5085">
        <v>8.0</v>
      </c>
      <c r="Z56" t="n" s="5086">
        <v>86.0</v>
      </c>
      <c r="AA56" t="n" s="5087">
        <v>0.0</v>
      </c>
      <c r="AB56" t="n" s="5088">
        <v>0.0</v>
      </c>
      <c r="AC56" t="n" s="5089">
        <v>0.0</v>
      </c>
      <c r="AD56" t="n" s="5090">
        <v>0.0</v>
      </c>
      <c r="AE56" t="n" s="5091">
        <f>y56+aa56+ac56</f>
      </c>
      <c r="AF56" t="n" s="5092">
        <f>z56+ab56+ad56</f>
      </c>
      <c r="AG56" t="n" s="5093">
        <v>318.0</v>
      </c>
      <c r="AH56" t="n" s="5094">
        <v>44.65</v>
      </c>
      <c r="AI56" t="n" s="5095">
        <v>5.1</v>
      </c>
      <c r="AJ56" t="n" s="5096">
        <f>x56+af56+ag56+ah56+ai56</f>
      </c>
      <c r="AK56" t="n" s="5097">
        <f>ROUND((l56+t56+af56+ag56+ah56+ai56+w56)*0.05,2)</f>
      </c>
      <c r="AL56" t="n" s="5098">
        <f>aj56+ak56</f>
      </c>
      <c r="AM56" t="n" s="5099">
        <f>80*0.06</f>
      </c>
      <c r="AN56" t="n" s="5100">
        <f>al56+am56</f>
      </c>
      <c r="AO56" t="s" s="5101">
        <v>0</v>
      </c>
    </row>
    <row r="57">
      <c r="A57" t="s" s="5102">
        <v>288</v>
      </c>
      <c r="B57" t="s" s="5103">
        <v>289</v>
      </c>
      <c r="C57" t="s" s="5104">
        <v>290</v>
      </c>
      <c r="D57" t="s" s="5105">
        <v>291</v>
      </c>
      <c r="E57" t="s" s="5106">
        <v>55</v>
      </c>
      <c r="F57" t="s" s="8059">
        <v>292</v>
      </c>
      <c r="G57" t="s" s="5108">
        <v>276</v>
      </c>
      <c r="H57" t="s" s="5109">
        <v>277</v>
      </c>
      <c r="I57" t="n" s="8369">
        <v>43831.0</v>
      </c>
      <c r="J57" t="n" s="8370">
        <v>44196.0</v>
      </c>
      <c r="K57" t="s" s="5112">
        <v>0</v>
      </c>
      <c r="L57" t="n" s="5113">
        <v>1460.0</v>
      </c>
      <c r="M57" t="n" s="5114">
        <v>0.0</v>
      </c>
      <c r="N57" t="n" s="5115">
        <v>0.0</v>
      </c>
      <c r="O57" t="n" s="5116">
        <f>M57*N57</f>
      </c>
      <c r="P57" t="n" s="5117">
        <v>0.0</v>
      </c>
      <c r="Q57" t="n" s="5118">
        <v>0.0</v>
      </c>
      <c r="R57" t="n" s="5119">
        <f>P57*Q57</f>
      </c>
      <c r="S57" t="n" s="5120">
        <f>L57+O57+R57</f>
      </c>
      <c r="T57" t="n" s="5121">
        <v>0.0</v>
      </c>
      <c r="U57" t="n" s="5122">
        <v>10.5</v>
      </c>
      <c r="V57" t="n" s="5123">
        <v>0.0</v>
      </c>
      <c r="W57" t="n" s="5124">
        <v>1000.0</v>
      </c>
      <c r="X57" t="n" s="5125">
        <f>s57+t57+u57+w57</f>
      </c>
      <c r="Y57" t="n" s="5126">
        <v>8.0</v>
      </c>
      <c r="Z57" t="n" s="5127">
        <v>84.24</v>
      </c>
      <c r="AA57" t="n" s="5128">
        <v>0.0</v>
      </c>
      <c r="AB57" t="n" s="5129">
        <v>0.0</v>
      </c>
      <c r="AC57" t="n" s="5130">
        <v>0.0</v>
      </c>
      <c r="AD57" t="n" s="5131">
        <v>0.0</v>
      </c>
      <c r="AE57" t="n" s="5132">
        <f>y57+aa57+ac57</f>
      </c>
      <c r="AF57" t="n" s="5133">
        <f>z57+ab57+ad57</f>
      </c>
      <c r="AG57" t="n" s="5134">
        <v>333.0</v>
      </c>
      <c r="AH57" t="n" s="5135">
        <v>46.35</v>
      </c>
      <c r="AI57" t="n" s="5136">
        <v>5.3</v>
      </c>
      <c r="AJ57" t="n" s="5137">
        <f>x57+af57+ag57+ah57+ai57</f>
      </c>
      <c r="AK57" t="n" s="5138">
        <f>ROUND((l57+t57+af57+ag57+ah57+ai57+w57)*0.05,2)</f>
      </c>
      <c r="AL57" t="n" s="5139">
        <f>aj57+ak57</f>
      </c>
      <c r="AM57" t="n" s="5140">
        <f>90.5*0.06</f>
      </c>
      <c r="AN57" t="n" s="5141">
        <f>al57+am57</f>
      </c>
      <c r="AO57" t="s" s="5142">
        <v>0</v>
      </c>
    </row>
    <row r="58">
      <c r="A58" t="s" s="5143">
        <v>293</v>
      </c>
      <c r="B58" t="s" s="5144">
        <v>294</v>
      </c>
      <c r="C58" t="s" s="5145">
        <v>295</v>
      </c>
      <c r="D58" t="s" s="5146">
        <v>296</v>
      </c>
      <c r="E58" t="s" s="5147">
        <v>55</v>
      </c>
      <c r="F58" t="s" s="8060">
        <v>297</v>
      </c>
      <c r="G58" t="s" s="5149">
        <v>276</v>
      </c>
      <c r="H58" t="s" s="5150">
        <v>277</v>
      </c>
      <c r="I58" t="n" s="8371">
        <v>43831.0</v>
      </c>
      <c r="J58" t="n" s="8372">
        <v>44196.0</v>
      </c>
      <c r="K58" t="s" s="5153">
        <v>0</v>
      </c>
      <c r="L58" t="n" s="5154">
        <v>1420.0</v>
      </c>
      <c r="M58" t="n" s="5155">
        <v>0.0</v>
      </c>
      <c r="N58" t="n" s="5156">
        <v>0.0</v>
      </c>
      <c r="O58" t="n" s="5157">
        <f>M58*N58</f>
      </c>
      <c r="P58" t="n" s="5158">
        <v>0.0</v>
      </c>
      <c r="Q58" t="n" s="5159">
        <v>0.0</v>
      </c>
      <c r="R58" t="n" s="5160">
        <f>P58*Q58</f>
      </c>
      <c r="S58" t="n" s="5161">
        <f>L58+O58+R58</f>
      </c>
      <c r="T58" t="n" s="5162">
        <v>0.0</v>
      </c>
      <c r="U58" t="n" s="5163">
        <v>0.0</v>
      </c>
      <c r="V58" t="n" s="5164">
        <v>0.0</v>
      </c>
      <c r="W58" t="n" s="5165">
        <v>1000.0</v>
      </c>
      <c r="X58" t="n" s="5166">
        <f>s58+t58+u58+w58</f>
      </c>
      <c r="Y58" t="n" s="5167">
        <v>8.0</v>
      </c>
      <c r="Z58" t="n" s="5168">
        <v>81.92</v>
      </c>
      <c r="AA58" t="n" s="5169">
        <v>0.0</v>
      </c>
      <c r="AB58" t="n" s="5170">
        <v>0.0</v>
      </c>
      <c r="AC58" t="n" s="5171">
        <v>0.0</v>
      </c>
      <c r="AD58" t="n" s="5172">
        <v>0.0</v>
      </c>
      <c r="AE58" t="n" s="5173">
        <f>y58+aa58+ac58</f>
      </c>
      <c r="AF58" t="n" s="5174">
        <f>z58+ab58+ad58</f>
      </c>
      <c r="AG58" t="n" s="5175">
        <v>328.0</v>
      </c>
      <c r="AH58" t="n" s="5176">
        <v>46.35</v>
      </c>
      <c r="AI58" t="n" s="5177">
        <v>5.3</v>
      </c>
      <c r="AJ58" t="n" s="5178">
        <f>x58+af58+ag58+ah58+ai58</f>
      </c>
      <c r="AK58" t="n" s="5179">
        <f>ROUND((l58+t58+af58+ag58+ah58+ai58+w58)*0.05,2)</f>
      </c>
      <c r="AL58" t="n" s="5180">
        <f>aj58+ak58</f>
      </c>
      <c r="AM58" t="n" s="5181">
        <f>80*0.06</f>
      </c>
      <c r="AN58" t="n" s="5182">
        <f>al58+am58</f>
      </c>
      <c r="AO58" t="s" s="5183">
        <v>0</v>
      </c>
    </row>
    <row r="59">
      <c r="A59" t="s" s="5184">
        <v>298</v>
      </c>
      <c r="B59" t="s" s="5185">
        <v>299</v>
      </c>
      <c r="C59" t="s" s="5186">
        <v>300</v>
      </c>
      <c r="D59" t="s" s="5187">
        <v>301</v>
      </c>
      <c r="E59" t="s" s="5188">
        <v>55</v>
      </c>
      <c r="F59" t="s" s="8061">
        <v>302</v>
      </c>
      <c r="G59" t="s" s="5190">
        <v>276</v>
      </c>
      <c r="H59" t="s" s="5191">
        <v>277</v>
      </c>
      <c r="I59" t="n" s="8373">
        <v>43831.0</v>
      </c>
      <c r="J59" t="n" s="8374">
        <v>44196.0</v>
      </c>
      <c r="K59" t="s" s="5194">
        <v>0</v>
      </c>
      <c r="L59" t="n" s="5195">
        <v>1540.0</v>
      </c>
      <c r="M59" t="n" s="5196">
        <v>0.0</v>
      </c>
      <c r="N59" t="n" s="5197">
        <v>0.0</v>
      </c>
      <c r="O59" t="n" s="5198">
        <f>M59*N59</f>
      </c>
      <c r="P59" t="n" s="5199">
        <v>0.0</v>
      </c>
      <c r="Q59" t="n" s="5200">
        <v>0.0</v>
      </c>
      <c r="R59" t="n" s="5201">
        <f>P59*Q59</f>
      </c>
      <c r="S59" t="n" s="5202">
        <f>L59+O59+R59</f>
      </c>
      <c r="T59" t="n" s="5203">
        <v>0.0</v>
      </c>
      <c r="U59" t="n" s="5204">
        <v>0.0</v>
      </c>
      <c r="V59" t="n" s="5205">
        <v>0.0</v>
      </c>
      <c r="W59" t="n" s="5206">
        <v>1000.0</v>
      </c>
      <c r="X59" t="n" s="5207">
        <f>s59+t59+u59+w59</f>
      </c>
      <c r="Y59" t="n" s="5208">
        <v>7.0</v>
      </c>
      <c r="Z59" t="n" s="5209">
        <v>77.77</v>
      </c>
      <c r="AA59" t="n" s="5210">
        <v>0.0</v>
      </c>
      <c r="AB59" t="n" s="5211">
        <v>0.0</v>
      </c>
      <c r="AC59" t="n" s="5212">
        <v>0.0</v>
      </c>
      <c r="AD59" t="n" s="5213">
        <v>0.0</v>
      </c>
      <c r="AE59" t="n" s="5214">
        <f>y59+aa59+ac59</f>
      </c>
      <c r="AF59" t="n" s="5215">
        <f>z59+ab59+ad59</f>
      </c>
      <c r="AG59" t="n" s="5216">
        <v>344.0</v>
      </c>
      <c r="AH59" t="n" s="5217">
        <v>48.15</v>
      </c>
      <c r="AI59" t="n" s="5218">
        <v>5.5</v>
      </c>
      <c r="AJ59" t="n" s="5219">
        <f>x59+af59+ag59+ah59+ai59</f>
      </c>
      <c r="AK59" t="n" s="5220">
        <f>ROUND((l59+t59+af59+ag59+ah59+ai59+w59)*0.05,2)</f>
      </c>
      <c r="AL59" t="n" s="5221">
        <f>aj59+ak59</f>
      </c>
      <c r="AM59" t="n" s="5222">
        <f>80*0.06</f>
      </c>
      <c r="AN59" t="n" s="5223">
        <f>al59+am59</f>
      </c>
      <c r="AO59" t="s" s="5224">
        <v>0</v>
      </c>
    </row>
    <row r="60">
      <c r="A60" t="s" s="5225">
        <v>303</v>
      </c>
      <c r="B60" t="s" s="5226">
        <v>304</v>
      </c>
      <c r="C60" t="s" s="5227">
        <v>305</v>
      </c>
      <c r="D60" t="s" s="5228">
        <v>306</v>
      </c>
      <c r="E60" t="s" s="5229">
        <v>55</v>
      </c>
      <c r="F60" t="s" s="8062">
        <v>307</v>
      </c>
      <c r="G60" t="s" s="5231">
        <v>276</v>
      </c>
      <c r="H60" t="s" s="5232">
        <v>277</v>
      </c>
      <c r="I60" t="n" s="8375">
        <v>43831.0</v>
      </c>
      <c r="J60" t="n" s="8376">
        <v>44196.0</v>
      </c>
      <c r="K60" t="s" s="5235">
        <v>0</v>
      </c>
      <c r="L60" t="n" s="5236">
        <v>1420.0</v>
      </c>
      <c r="M60" t="n" s="5237">
        <v>0.0</v>
      </c>
      <c r="N60" t="n" s="5238">
        <v>0.0</v>
      </c>
      <c r="O60" t="n" s="5239">
        <f>M60*N60</f>
      </c>
      <c r="P60" t="n" s="5240">
        <v>0.0</v>
      </c>
      <c r="Q60" t="n" s="5241">
        <v>0.0</v>
      </c>
      <c r="R60" t="n" s="5242">
        <f>P60*Q60</f>
      </c>
      <c r="S60" t="n" s="5243">
        <f>L60+O60+R60</f>
      </c>
      <c r="T60" t="n" s="5244">
        <v>0.0</v>
      </c>
      <c r="U60" t="n" s="5245">
        <v>0.0</v>
      </c>
      <c r="V60" t="n" s="5246">
        <v>0.0</v>
      </c>
      <c r="W60" t="n" s="5247">
        <v>1000.0</v>
      </c>
      <c r="X60" t="n" s="5248">
        <f>s60+t60+u60+w60</f>
      </c>
      <c r="Y60" t="n" s="5249">
        <v>8.0</v>
      </c>
      <c r="Z60" t="n" s="5250">
        <v>81.92</v>
      </c>
      <c r="AA60" t="n" s="5251">
        <v>0.0</v>
      </c>
      <c r="AB60" t="n" s="5252">
        <v>0.0</v>
      </c>
      <c r="AC60" t="n" s="5253">
        <v>0.0</v>
      </c>
      <c r="AD60" t="n" s="5254">
        <v>0.0</v>
      </c>
      <c r="AE60" t="n" s="5255">
        <f>y60+aa60+ac60</f>
      </c>
      <c r="AF60" t="n" s="5256">
        <f>z60+ab60+ad60</f>
      </c>
      <c r="AG60" t="n" s="5257">
        <v>328.0</v>
      </c>
      <c r="AH60" t="n" s="5258">
        <v>46.35</v>
      </c>
      <c r="AI60" t="n" s="5259">
        <v>5.3</v>
      </c>
      <c r="AJ60" t="n" s="5260">
        <f>x60+af60+ag60+ah60+ai60</f>
      </c>
      <c r="AK60" t="n" s="5261">
        <f>ROUND((l60+t60+af60+ag60+ah60+ai60+w60)*0.05,2)</f>
      </c>
      <c r="AL60" t="n" s="5262">
        <f>aj60+ak60</f>
      </c>
      <c r="AM60" t="n" s="5263">
        <f>80*0.06</f>
      </c>
      <c r="AN60" t="n" s="5264">
        <f>al60+am60</f>
      </c>
      <c r="AO60" t="s" s="5265">
        <v>0</v>
      </c>
    </row>
    <row r="61">
      <c r="A61" t="s" s="5266">
        <v>308</v>
      </c>
      <c r="B61" t="s" s="5267">
        <v>309</v>
      </c>
      <c r="C61" t="s" s="5268">
        <v>310</v>
      </c>
      <c r="D61" t="s" s="5269">
        <v>311</v>
      </c>
      <c r="E61" t="s" s="5270">
        <v>55</v>
      </c>
      <c r="F61" t="s" s="8063">
        <v>312</v>
      </c>
      <c r="G61" t="s" s="5272">
        <v>276</v>
      </c>
      <c r="H61" t="s" s="5273">
        <v>277</v>
      </c>
      <c r="I61" t="n" s="8377">
        <v>43831.0</v>
      </c>
      <c r="J61" t="n" s="8378">
        <v>44196.0</v>
      </c>
      <c r="K61" t="s" s="5276">
        <v>0</v>
      </c>
      <c r="L61" t="n" s="5277">
        <v>1390.0</v>
      </c>
      <c r="M61" t="n" s="5278">
        <v>0.0</v>
      </c>
      <c r="N61" t="n" s="5279">
        <v>0.0</v>
      </c>
      <c r="O61" t="n" s="5280">
        <f>M61*N61</f>
      </c>
      <c r="P61" t="n" s="5281">
        <v>0.0</v>
      </c>
      <c r="Q61" t="n" s="5282">
        <v>0.0</v>
      </c>
      <c r="R61" t="n" s="5283">
        <f>P61*Q61</f>
      </c>
      <c r="S61" t="n" s="5284">
        <f>L61+O61+R61</f>
      </c>
      <c r="T61" t="n" s="5285">
        <v>0.0</v>
      </c>
      <c r="U61" t="n" s="5286">
        <v>0.0</v>
      </c>
      <c r="V61" t="n" s="5287">
        <v>0.0</v>
      </c>
      <c r="W61" t="n" s="5288">
        <v>850.0</v>
      </c>
      <c r="X61" t="n" s="5289">
        <f>s61+t61+u61+w61</f>
      </c>
      <c r="Y61" t="n" s="5290">
        <v>4.0</v>
      </c>
      <c r="Z61" t="n" s="5291">
        <v>40.08</v>
      </c>
      <c r="AA61" t="n" s="5292">
        <v>0.0</v>
      </c>
      <c r="AB61" t="n" s="5293">
        <v>0.0</v>
      </c>
      <c r="AC61" t="n" s="5294">
        <v>0.0</v>
      </c>
      <c r="AD61" t="n" s="5295">
        <v>0.0</v>
      </c>
      <c r="AE61" t="n" s="5296">
        <f>y61+aa61+ac61</f>
      </c>
      <c r="AF61" t="n" s="5297">
        <f>z61+ab61+ad61</f>
      </c>
      <c r="AG61" t="n" s="5298">
        <v>305.0</v>
      </c>
      <c r="AH61" t="n" s="5299">
        <v>41.15</v>
      </c>
      <c r="AI61" t="n" s="5300">
        <v>4.7</v>
      </c>
      <c r="AJ61" t="n" s="5301">
        <f>x61+af61+ag61+ah61+ai61</f>
      </c>
      <c r="AK61" t="n" s="5302">
        <f>ROUND((l61+t61+af61+ag61+ah61+ai61+w61)*0.05,2)</f>
      </c>
      <c r="AL61" t="n" s="5303">
        <f>aj61+ak61</f>
      </c>
      <c r="AM61" t="n" s="5304">
        <f>80*0.06</f>
      </c>
      <c r="AN61" t="n" s="5305">
        <f>al61+am61</f>
      </c>
      <c r="AO61" t="s" s="5306">
        <v>0</v>
      </c>
    </row>
    <row r="62">
      <c r="A62" t="s" s="5307">
        <v>313</v>
      </c>
      <c r="B62" t="s" s="5308">
        <v>314</v>
      </c>
      <c r="C62" t="s" s="5309">
        <v>315</v>
      </c>
      <c r="D62" t="s" s="5310">
        <v>316</v>
      </c>
      <c r="E62" t="s" s="5311">
        <v>55</v>
      </c>
      <c r="F62" t="s" s="8064">
        <v>317</v>
      </c>
      <c r="G62" t="s" s="5313">
        <v>276</v>
      </c>
      <c r="H62" t="s" s="5314">
        <v>277</v>
      </c>
      <c r="I62" t="n" s="8379">
        <v>43831.0</v>
      </c>
      <c r="J62" t="n" s="8380">
        <v>44196.0</v>
      </c>
      <c r="K62" t="s" s="5317">
        <v>0</v>
      </c>
      <c r="L62" t="n" s="5318">
        <v>1390.0</v>
      </c>
      <c r="M62" t="n" s="5319">
        <v>0.0</v>
      </c>
      <c r="N62" t="n" s="5320">
        <v>0.0</v>
      </c>
      <c r="O62" t="n" s="5321">
        <f>M62*N62</f>
      </c>
      <c r="P62" t="n" s="5322">
        <v>0.0</v>
      </c>
      <c r="Q62" t="n" s="5323">
        <v>0.0</v>
      </c>
      <c r="R62" t="n" s="5324">
        <f>P62*Q62</f>
      </c>
      <c r="S62" t="n" s="5325">
        <f>L62+O62+R62</f>
      </c>
      <c r="T62" t="n" s="5326">
        <v>0.0</v>
      </c>
      <c r="U62" t="n" s="5327">
        <v>0.0</v>
      </c>
      <c r="V62" t="n" s="5328">
        <v>0.0</v>
      </c>
      <c r="W62" t="n" s="5329">
        <v>1000.0</v>
      </c>
      <c r="X62" t="n" s="5330">
        <f>s62+t62+u62+w62</f>
      </c>
      <c r="Y62" t="n" s="5331">
        <v>8.0</v>
      </c>
      <c r="Z62" t="n" s="5332">
        <v>80.16</v>
      </c>
      <c r="AA62" t="n" s="5333">
        <v>0.0</v>
      </c>
      <c r="AB62" t="n" s="5334">
        <v>0.0</v>
      </c>
      <c r="AC62" t="n" s="5335">
        <v>0.0</v>
      </c>
      <c r="AD62" t="n" s="5336">
        <v>0.0</v>
      </c>
      <c r="AE62" t="n" s="5337">
        <f>y62+aa62+ac62</f>
      </c>
      <c r="AF62" t="n" s="5338">
        <f>z62+ab62+ad62</f>
      </c>
      <c r="AG62" t="n" s="5339">
        <v>325.0</v>
      </c>
      <c r="AH62" t="n" s="5340">
        <v>44.65</v>
      </c>
      <c r="AI62" t="n" s="5341">
        <v>5.1</v>
      </c>
      <c r="AJ62" t="n" s="5342">
        <f>x62+af62+ag62+ah62+ai62</f>
      </c>
      <c r="AK62" t="n" s="5343">
        <f>ROUND((l62+t62+af62+ag62+ah62+ai62+w62)*0.05,2)</f>
      </c>
      <c r="AL62" t="n" s="5344">
        <f>aj62+ak62</f>
      </c>
      <c r="AM62" t="n" s="5345">
        <f>80*0.06</f>
      </c>
      <c r="AN62" t="n" s="5346">
        <f>al62+am62</f>
      </c>
      <c r="AO62" t="s" s="5347">
        <v>0</v>
      </c>
    </row>
    <row r="63">
      <c r="A63" t="s" s="5348">
        <v>318</v>
      </c>
      <c r="B63" t="s" s="5349">
        <v>319</v>
      </c>
      <c r="C63" t="s" s="5350">
        <v>320</v>
      </c>
      <c r="D63" t="s" s="5351">
        <v>321</v>
      </c>
      <c r="E63" t="s" s="5352">
        <v>55</v>
      </c>
      <c r="F63" t="s" s="8065">
        <v>322</v>
      </c>
      <c r="G63" t="s" s="5354">
        <v>276</v>
      </c>
      <c r="H63" t="s" s="5355">
        <v>277</v>
      </c>
      <c r="I63" t="n" s="8381">
        <v>43831.0</v>
      </c>
      <c r="J63" t="n" s="8382">
        <v>44196.0</v>
      </c>
      <c r="K63" t="s" s="5358">
        <v>0</v>
      </c>
      <c r="L63" t="n" s="5359">
        <v>1350.0</v>
      </c>
      <c r="M63" t="n" s="5360">
        <v>0.0</v>
      </c>
      <c r="N63" t="n" s="5361">
        <v>0.0</v>
      </c>
      <c r="O63" t="n" s="5362">
        <f>M63*N63</f>
      </c>
      <c r="P63" t="n" s="5363">
        <v>0.0</v>
      </c>
      <c r="Q63" t="n" s="5364">
        <v>0.0</v>
      </c>
      <c r="R63" t="n" s="5365">
        <f>P63*Q63</f>
      </c>
      <c r="S63" t="n" s="5366">
        <f>L63+O63+R63</f>
      </c>
      <c r="T63" t="n" s="5367">
        <v>0.0</v>
      </c>
      <c r="U63" t="n" s="5368">
        <v>0.0</v>
      </c>
      <c r="V63" t="n" s="5369">
        <v>0.0</v>
      </c>
      <c r="W63" t="n" s="5370">
        <v>1000.0</v>
      </c>
      <c r="X63" t="n" s="5371">
        <f>s63+t63+u63+w63</f>
      </c>
      <c r="Y63" t="n" s="5372">
        <v>8.0</v>
      </c>
      <c r="Z63" t="n" s="5373">
        <v>77.92</v>
      </c>
      <c r="AA63" t="n" s="5374">
        <v>0.0</v>
      </c>
      <c r="AB63" t="n" s="5375">
        <v>0.0</v>
      </c>
      <c r="AC63" t="n" s="5376">
        <v>0.0</v>
      </c>
      <c r="AD63" t="n" s="5377">
        <v>0.0</v>
      </c>
      <c r="AE63" t="n" s="5378">
        <f>y63+aa63+ac63</f>
      </c>
      <c r="AF63" t="n" s="5379">
        <f>z63+ab63+ad63</f>
      </c>
      <c r="AG63" t="n" s="5380">
        <v>320.0</v>
      </c>
      <c r="AH63" t="n" s="5381">
        <v>44.65</v>
      </c>
      <c r="AI63" t="n" s="5382">
        <v>5.1</v>
      </c>
      <c r="AJ63" t="n" s="5383">
        <f>x63+af63+ag63+ah63+ai63</f>
      </c>
      <c r="AK63" t="n" s="5384">
        <f>ROUND((l63+t63+af63+ag63+ah63+ai63+w63)*0.05,2)</f>
      </c>
      <c r="AL63" t="n" s="5385">
        <f>aj63+ak63</f>
      </c>
      <c r="AM63" t="n" s="5386">
        <f>80*0.06</f>
      </c>
      <c r="AN63" t="n" s="5387">
        <f>al63+am63</f>
      </c>
      <c r="AO63" t="s" s="5388">
        <v>0</v>
      </c>
    </row>
    <row r="64">
      <c r="A64" t="s" s="5389">
        <v>323</v>
      </c>
      <c r="B64" t="s" s="5390">
        <v>324</v>
      </c>
      <c r="C64" t="s" s="5391">
        <v>325</v>
      </c>
      <c r="D64" t="s" s="5392">
        <v>326</v>
      </c>
      <c r="E64" t="s" s="5393">
        <v>55</v>
      </c>
      <c r="F64" t="s" s="8066">
        <v>327</v>
      </c>
      <c r="G64" t="s" s="5395">
        <v>276</v>
      </c>
      <c r="H64" t="s" s="5396">
        <v>277</v>
      </c>
      <c r="I64" t="n" s="8383">
        <v>43831.0</v>
      </c>
      <c r="J64" t="n" s="8384">
        <v>44196.0</v>
      </c>
      <c r="K64" t="s" s="5399">
        <v>0</v>
      </c>
      <c r="L64" t="n" s="5400">
        <v>1350.0</v>
      </c>
      <c r="M64" t="n" s="5401">
        <v>0.0</v>
      </c>
      <c r="N64" t="n" s="5402">
        <v>0.0</v>
      </c>
      <c r="O64" t="n" s="5403">
        <f>M64*N64</f>
      </c>
      <c r="P64" t="n" s="5404">
        <v>0.0</v>
      </c>
      <c r="Q64" t="n" s="5405">
        <v>0.0</v>
      </c>
      <c r="R64" t="n" s="5406">
        <f>P64*Q64</f>
      </c>
      <c r="S64" t="n" s="5407">
        <f>L64+O64+R64</f>
      </c>
      <c r="T64" t="n" s="5408">
        <v>0.0</v>
      </c>
      <c r="U64" t="n" s="5409">
        <v>0.0</v>
      </c>
      <c r="V64" t="n" s="5410">
        <v>0.0</v>
      </c>
      <c r="W64" t="n" s="5411">
        <v>850.0</v>
      </c>
      <c r="X64" t="n" s="5412">
        <f>s64+t64+u64+w64</f>
      </c>
      <c r="Y64" t="n" s="5413">
        <v>0.0</v>
      </c>
      <c r="Z64" t="n" s="5414">
        <v>0.0</v>
      </c>
      <c r="AA64" t="n" s="5415">
        <v>0.0</v>
      </c>
      <c r="AB64" t="n" s="5416">
        <v>0.0</v>
      </c>
      <c r="AC64" t="n" s="5417">
        <v>0.0</v>
      </c>
      <c r="AD64" t="n" s="5418">
        <v>0.0</v>
      </c>
      <c r="AE64" t="n" s="5419">
        <f>y64+aa64+ac64</f>
      </c>
      <c r="AF64" t="n" s="5420">
        <f>z64+ab64+ad64</f>
      </c>
      <c r="AG64" t="n" s="5421">
        <v>299.0</v>
      </c>
      <c r="AH64" t="n" s="5422">
        <v>39.35</v>
      </c>
      <c r="AI64" t="n" s="5423">
        <v>4.5</v>
      </c>
      <c r="AJ64" t="n" s="5424">
        <f>x64+af64+ag64+ah64+ai64</f>
      </c>
      <c r="AK64" t="n" s="5425">
        <f>ROUND((l64+t64+af64+ag64+ah64+ai64+w64)*0.05,2)</f>
      </c>
      <c r="AL64" t="n" s="5426">
        <f>aj64+ak64</f>
      </c>
      <c r="AM64" t="n" s="5427">
        <f>80*0.06</f>
      </c>
      <c r="AN64" t="n" s="5428">
        <f>al64+am64</f>
      </c>
      <c r="AO64" t="s" s="5429">
        <v>0</v>
      </c>
    </row>
    <row r="65">
      <c r="A65" t="s" s="5430">
        <v>328</v>
      </c>
      <c r="B65" t="s" s="5431">
        <v>329</v>
      </c>
      <c r="C65" t="s" s="5432">
        <v>330</v>
      </c>
      <c r="D65" t="s" s="5433">
        <v>331</v>
      </c>
      <c r="E65" t="s" s="5434">
        <v>55</v>
      </c>
      <c r="F65" t="s" s="8067">
        <v>332</v>
      </c>
      <c r="G65" t="s" s="5436">
        <v>276</v>
      </c>
      <c r="H65" t="s" s="5437">
        <v>277</v>
      </c>
      <c r="I65" t="n" s="8385">
        <v>43831.0</v>
      </c>
      <c r="J65" t="n" s="8386">
        <v>44196.0</v>
      </c>
      <c r="K65" t="s" s="5440">
        <v>0</v>
      </c>
      <c r="L65" t="n" s="5441">
        <v>1290.0</v>
      </c>
      <c r="M65" t="n" s="5442">
        <v>0.0</v>
      </c>
      <c r="N65" t="n" s="5443">
        <v>0.0</v>
      </c>
      <c r="O65" t="n" s="5444">
        <f>M65*N65</f>
      </c>
      <c r="P65" t="n" s="5445">
        <v>0.0</v>
      </c>
      <c r="Q65" t="n" s="5446">
        <v>0.0</v>
      </c>
      <c r="R65" t="n" s="5447">
        <f>P65*Q65</f>
      </c>
      <c r="S65" t="n" s="5448">
        <f>L65+O65+R65</f>
      </c>
      <c r="T65" t="n" s="5449">
        <v>0.0</v>
      </c>
      <c r="U65" t="n" s="5450">
        <v>0.0</v>
      </c>
      <c r="V65" t="n" s="5451">
        <v>0.0</v>
      </c>
      <c r="W65" t="n" s="5452">
        <v>850.0</v>
      </c>
      <c r="X65" t="n" s="5453">
        <f>s65+t65+u65+w65</f>
      </c>
      <c r="Y65" t="n" s="5454">
        <v>8.0</v>
      </c>
      <c r="Z65" t="n" s="5455">
        <v>74.4</v>
      </c>
      <c r="AA65" t="n" s="5456">
        <v>0.0</v>
      </c>
      <c r="AB65" t="n" s="5457">
        <v>0.0</v>
      </c>
      <c r="AC65" t="n" s="5458">
        <v>0.0</v>
      </c>
      <c r="AD65" t="n" s="5459">
        <v>0.0</v>
      </c>
      <c r="AE65" t="n" s="5460">
        <f>y65+aa65+ac65</f>
      </c>
      <c r="AF65" t="n" s="5461">
        <f>z65+ab65+ad65</f>
      </c>
      <c r="AG65" t="n" s="5462">
        <v>292.0</v>
      </c>
      <c r="AH65" t="n" s="5463">
        <v>41.15</v>
      </c>
      <c r="AI65" t="n" s="5464">
        <v>4.7</v>
      </c>
      <c r="AJ65" t="n" s="5465">
        <f>x65+af65+ag65+ah65+ai65</f>
      </c>
      <c r="AK65" t="n" s="5466">
        <f>ROUND((l65+t65+af65+ag65+ah65+ai65+w65)*0.05,2)</f>
      </c>
      <c r="AL65" t="n" s="5467">
        <f>aj65+ak65</f>
      </c>
      <c r="AM65" t="n" s="5468">
        <f>80*0.06</f>
      </c>
      <c r="AN65" t="n" s="5469">
        <f>al65+am65</f>
      </c>
      <c r="AO65" t="s" s="5470">
        <v>0</v>
      </c>
    </row>
    <row r="66">
      <c r="A66" t="s" s="5471">
        <v>333</v>
      </c>
      <c r="B66" t="s" s="5472">
        <v>334</v>
      </c>
      <c r="C66" t="s" s="5473">
        <v>335</v>
      </c>
      <c r="D66" t="s" s="5474">
        <v>336</v>
      </c>
      <c r="E66" t="s" s="5475">
        <v>55</v>
      </c>
      <c r="F66" t="s" s="8068">
        <v>337</v>
      </c>
      <c r="G66" t="s" s="5477">
        <v>276</v>
      </c>
      <c r="H66" t="s" s="5478">
        <v>277</v>
      </c>
      <c r="I66" t="n" s="8387">
        <v>43831.0</v>
      </c>
      <c r="J66" t="n" s="8388">
        <v>44196.0</v>
      </c>
      <c r="K66" t="s" s="5481">
        <v>0</v>
      </c>
      <c r="L66" t="n" s="5482">
        <v>1250.0</v>
      </c>
      <c r="M66" t="n" s="5483">
        <v>0.0</v>
      </c>
      <c r="N66" t="n" s="5484">
        <v>0.0</v>
      </c>
      <c r="O66" t="n" s="5485">
        <f>M66*N66</f>
      </c>
      <c r="P66" t="n" s="5486">
        <v>0.0</v>
      </c>
      <c r="Q66" t="n" s="5487">
        <v>0.0</v>
      </c>
      <c r="R66" t="n" s="5488">
        <f>P66*Q66</f>
      </c>
      <c r="S66" t="n" s="5489">
        <f>L66+O66+R66</f>
      </c>
      <c r="T66" t="n" s="5490">
        <v>0.0</v>
      </c>
      <c r="U66" t="n" s="5491">
        <v>0.0</v>
      </c>
      <c r="V66" t="n" s="5492">
        <v>0.0</v>
      </c>
      <c r="W66" t="n" s="5493">
        <v>1000.0</v>
      </c>
      <c r="X66" t="n" s="5494">
        <f>s66+t66+u66+w66</f>
      </c>
      <c r="Y66" t="n" s="5495">
        <v>0.0</v>
      </c>
      <c r="Z66" t="n" s="5496">
        <v>0.0</v>
      </c>
      <c r="AA66" t="n" s="5497">
        <v>0.0</v>
      </c>
      <c r="AB66" t="n" s="5498">
        <v>0.0</v>
      </c>
      <c r="AC66" t="n" s="5499">
        <v>0.0</v>
      </c>
      <c r="AD66" t="n" s="5500">
        <v>0.0</v>
      </c>
      <c r="AE66" t="n" s="5501">
        <f>y66+aa66+ac66</f>
      </c>
      <c r="AF66" t="n" s="5502">
        <f>z66+ab66+ad66</f>
      </c>
      <c r="AG66" t="n" s="5503">
        <v>307.0</v>
      </c>
      <c r="AH66" t="n" s="5504">
        <v>41.15</v>
      </c>
      <c r="AI66" t="n" s="5505">
        <v>4.7</v>
      </c>
      <c r="AJ66" t="n" s="5506">
        <f>x66+af66+ag66+ah66+ai66</f>
      </c>
      <c r="AK66" t="n" s="5507">
        <f>ROUND((l66+t66+af66+ag66+ah66+ai66+w66)*0.05,2)</f>
      </c>
      <c r="AL66" t="n" s="5508">
        <f>aj66+ak66</f>
      </c>
      <c r="AM66" t="n" s="5509">
        <f>80*0.06</f>
      </c>
      <c r="AN66" t="n" s="5510">
        <f>al66+am66</f>
      </c>
      <c r="AO66" t="s" s="5511">
        <v>0</v>
      </c>
    </row>
    <row r="67">
      <c r="A67" t="s" s="5512">
        <v>338</v>
      </c>
      <c r="B67" t="s" s="5513">
        <v>339</v>
      </c>
      <c r="C67" t="s" s="5514">
        <v>340</v>
      </c>
      <c r="D67" t="s" s="5515">
        <v>341</v>
      </c>
      <c r="E67" t="s" s="5516">
        <v>55</v>
      </c>
      <c r="F67" t="s" s="8069">
        <v>342</v>
      </c>
      <c r="G67" t="s" s="5518">
        <v>276</v>
      </c>
      <c r="H67" t="s" s="5519">
        <v>277</v>
      </c>
      <c r="I67" t="n" s="8389">
        <v>43831.0</v>
      </c>
      <c r="J67" t="n" s="8390">
        <v>44196.0</v>
      </c>
      <c r="K67" t="s" s="5522">
        <v>0</v>
      </c>
      <c r="L67" t="n" s="5523">
        <v>1560.0</v>
      </c>
      <c r="M67" t="n" s="5524">
        <v>0.0</v>
      </c>
      <c r="N67" t="n" s="5525">
        <v>0.0</v>
      </c>
      <c r="O67" t="n" s="5526">
        <f>M67*N67</f>
      </c>
      <c r="P67" t="n" s="5527">
        <v>0.0</v>
      </c>
      <c r="Q67" t="n" s="5528">
        <v>0.0</v>
      </c>
      <c r="R67" t="n" s="5529">
        <f>P67*Q67</f>
      </c>
      <c r="S67" t="n" s="5530">
        <f>L67+O67+R67</f>
      </c>
      <c r="T67" t="n" s="5531">
        <v>0.0</v>
      </c>
      <c r="U67" t="n" s="5532">
        <v>0.0</v>
      </c>
      <c r="V67" t="n" s="5533">
        <v>0.0</v>
      </c>
      <c r="W67" t="n" s="5534">
        <v>1000.0</v>
      </c>
      <c r="X67" t="n" s="5535">
        <f>s67+t67+u67+w67</f>
      </c>
      <c r="Y67" t="n" s="5536">
        <v>8.0</v>
      </c>
      <c r="Z67" t="n" s="5537">
        <v>90.0</v>
      </c>
      <c r="AA67" t="n" s="5538">
        <v>0.0</v>
      </c>
      <c r="AB67" t="n" s="5539">
        <v>0.0</v>
      </c>
      <c r="AC67" t="n" s="5540">
        <v>0.0</v>
      </c>
      <c r="AD67" t="n" s="5541">
        <v>0.0</v>
      </c>
      <c r="AE67" t="n" s="5542">
        <f>y67+aa67+ac67</f>
      </c>
      <c r="AF67" t="n" s="5543">
        <f>z67+ab67+ad67</f>
      </c>
      <c r="AG67" t="n" s="5544">
        <v>346.0</v>
      </c>
      <c r="AH67" t="n" s="5545">
        <v>48.15</v>
      </c>
      <c r="AI67" t="n" s="5546">
        <v>5.5</v>
      </c>
      <c r="AJ67" t="n" s="5547">
        <f>x67+af67+ag67+ah67+ai67</f>
      </c>
      <c r="AK67" t="n" s="5548">
        <f>ROUND((l67+t67+af67+ag67+ah67+ai67+w67)*0.05,2)</f>
      </c>
      <c r="AL67" t="n" s="5549">
        <f>aj67+ak67</f>
      </c>
      <c r="AM67" t="n" s="5550">
        <f>80*0.06</f>
      </c>
      <c r="AN67" t="n" s="5551">
        <f>al67+am67</f>
      </c>
      <c r="AO67" t="s" s="5552">
        <v>0</v>
      </c>
    </row>
    <row r="68">
      <c r="A68" t="s" s="5553">
        <v>343</v>
      </c>
      <c r="B68" t="s" s="5554">
        <v>344</v>
      </c>
      <c r="C68" t="s" s="5555">
        <v>345</v>
      </c>
      <c r="D68" t="s" s="5556">
        <v>346</v>
      </c>
      <c r="E68" t="s" s="5557">
        <v>55</v>
      </c>
      <c r="F68" t="s" s="8070">
        <v>347</v>
      </c>
      <c r="G68" t="s" s="5559">
        <v>276</v>
      </c>
      <c r="H68" t="s" s="5560">
        <v>277</v>
      </c>
      <c r="I68" t="n" s="8391">
        <v>43831.0</v>
      </c>
      <c r="J68" t="n" s="8392">
        <v>44196.0</v>
      </c>
      <c r="K68" t="s" s="5563">
        <v>0</v>
      </c>
      <c r="L68" t="n" s="5564">
        <v>1140.0</v>
      </c>
      <c r="M68" t="n" s="5565">
        <v>0.0</v>
      </c>
      <c r="N68" t="n" s="5566">
        <v>0.0</v>
      </c>
      <c r="O68" t="n" s="5567">
        <f>M68*N68</f>
      </c>
      <c r="P68" t="n" s="5568">
        <v>0.0</v>
      </c>
      <c r="Q68" t="n" s="5569">
        <v>0.0</v>
      </c>
      <c r="R68" t="n" s="5570">
        <f>P68*Q68</f>
      </c>
      <c r="S68" t="n" s="5571">
        <f>L68+O68+R68</f>
      </c>
      <c r="T68" t="n" s="5572">
        <v>0.0</v>
      </c>
      <c r="U68" t="n" s="5573">
        <v>0.0</v>
      </c>
      <c r="V68" t="n" s="5574">
        <v>0.0</v>
      </c>
      <c r="W68" t="n" s="5575">
        <v>850.0</v>
      </c>
      <c r="X68" t="n" s="5576">
        <f>s68+t68+u68+w68</f>
      </c>
      <c r="Y68" t="n" s="5577">
        <v>6.0</v>
      </c>
      <c r="Z68" t="n" s="5578">
        <v>49.32</v>
      </c>
      <c r="AA68" t="n" s="5579">
        <v>0.0</v>
      </c>
      <c r="AB68" t="n" s="5580">
        <v>0.0</v>
      </c>
      <c r="AC68" t="n" s="5581">
        <v>0.0</v>
      </c>
      <c r="AD68" t="n" s="5582">
        <v>0.0</v>
      </c>
      <c r="AE68" t="n" s="5583">
        <f>y68+aa68+ac68</f>
      </c>
      <c r="AF68" t="n" s="5584">
        <f>z68+ab68+ad68</f>
      </c>
      <c r="AG68" t="n" s="5585">
        <v>273.0</v>
      </c>
      <c r="AH68" t="n" s="5586">
        <v>37.65</v>
      </c>
      <c r="AI68" t="n" s="5587">
        <v>4.3</v>
      </c>
      <c r="AJ68" t="n" s="5588">
        <f>x68+af68+ag68+ah68+ai68</f>
      </c>
      <c r="AK68" t="n" s="5589">
        <f>ROUND((l68+t68+af68+ag68+ah68+ai68+w68)*0.05,2)</f>
      </c>
      <c r="AL68" t="n" s="5590">
        <f>aj68+ak68</f>
      </c>
      <c r="AM68" t="n" s="5591">
        <f>80*0.06</f>
      </c>
      <c r="AN68" t="n" s="5592">
        <f>al68+am68</f>
      </c>
      <c r="AO68" t="s" s="5593">
        <v>0</v>
      </c>
    </row>
    <row r="69">
      <c r="A69" t="s" s="5594">
        <v>348</v>
      </c>
      <c r="B69" t="s" s="5595">
        <v>349</v>
      </c>
      <c r="C69" t="s" s="5596">
        <v>350</v>
      </c>
      <c r="D69" t="s" s="5597">
        <v>351</v>
      </c>
      <c r="E69" t="s" s="5598">
        <v>55</v>
      </c>
      <c r="F69" t="s" s="8071">
        <v>352</v>
      </c>
      <c r="G69" t="s" s="5600">
        <v>276</v>
      </c>
      <c r="H69" t="s" s="5601">
        <v>277</v>
      </c>
      <c r="I69" t="n" s="8393">
        <v>43831.0</v>
      </c>
      <c r="J69" t="n" s="8394">
        <v>44196.0</v>
      </c>
      <c r="K69" t="s" s="5604">
        <v>0</v>
      </c>
      <c r="L69" t="n" s="5605">
        <v>1250.0</v>
      </c>
      <c r="M69" t="n" s="5606">
        <v>0.0</v>
      </c>
      <c r="N69" t="n" s="5607">
        <v>0.0</v>
      </c>
      <c r="O69" t="n" s="5608">
        <f>M69*N69</f>
      </c>
      <c r="P69" t="n" s="5609">
        <v>0.0</v>
      </c>
      <c r="Q69" t="n" s="5610">
        <v>0.0</v>
      </c>
      <c r="R69" t="n" s="5611">
        <f>P69*Q69</f>
      </c>
      <c r="S69" t="n" s="5612">
        <f>L69+O69+R69</f>
      </c>
      <c r="T69" t="n" s="5613">
        <v>0.0</v>
      </c>
      <c r="U69" t="n" s="5614">
        <v>0.0</v>
      </c>
      <c r="V69" t="n" s="5615">
        <v>0.0</v>
      </c>
      <c r="W69" t="n" s="5616">
        <v>1000.0</v>
      </c>
      <c r="X69" t="n" s="5617">
        <f>s69+t69+u69+w69</f>
      </c>
      <c r="Y69" t="n" s="5618">
        <v>4.0</v>
      </c>
      <c r="Z69" t="n" s="5619">
        <v>36.04</v>
      </c>
      <c r="AA69" t="n" s="5620">
        <v>0.0</v>
      </c>
      <c r="AB69" t="n" s="5621">
        <v>0.0</v>
      </c>
      <c r="AC69" t="n" s="5622">
        <v>0.0</v>
      </c>
      <c r="AD69" t="n" s="5623">
        <v>0.0</v>
      </c>
      <c r="AE69" t="n" s="5624">
        <f>y69+aa69+ac69</f>
      </c>
      <c r="AF69" t="n" s="5625">
        <f>z69+ab69+ad69</f>
      </c>
      <c r="AG69" t="n" s="5626">
        <v>307.0</v>
      </c>
      <c r="AH69" t="n" s="5627">
        <v>41.15</v>
      </c>
      <c r="AI69" t="n" s="5628">
        <v>4.7</v>
      </c>
      <c r="AJ69" t="n" s="5629">
        <f>x69+af69+ag69+ah69+ai69</f>
      </c>
      <c r="AK69" t="n" s="5630">
        <f>ROUND((l69+t69+af69+ag69+ah69+ai69+w69)*0.05,2)</f>
      </c>
      <c r="AL69" t="n" s="5631">
        <f>aj69+ak69</f>
      </c>
      <c r="AM69" t="n" s="5632">
        <f>80*0.06</f>
      </c>
      <c r="AN69" t="n" s="5633">
        <f>al69+am69</f>
      </c>
      <c r="AO69" t="s" s="5634">
        <v>0</v>
      </c>
    </row>
    <row r="70">
      <c r="A70" t="s" s="5635">
        <v>353</v>
      </c>
      <c r="B70" t="s" s="5636">
        <v>354</v>
      </c>
      <c r="C70" t="s" s="5637">
        <v>355</v>
      </c>
      <c r="D70" t="s" s="5638">
        <v>356</v>
      </c>
      <c r="E70" t="s" s="5639">
        <v>55</v>
      </c>
      <c r="F70" t="s" s="8072">
        <v>357</v>
      </c>
      <c r="G70" t="s" s="5641">
        <v>358</v>
      </c>
      <c r="H70" t="s" s="5642">
        <v>359</v>
      </c>
      <c r="I70" t="n" s="8395">
        <v>43831.0</v>
      </c>
      <c r="J70" t="n" s="8396">
        <v>44196.0</v>
      </c>
      <c r="K70" t="s" s="5645">
        <v>0</v>
      </c>
      <c r="L70" t="n" s="5646">
        <v>1500.0</v>
      </c>
      <c r="M70" t="n" s="5647">
        <v>0.0</v>
      </c>
      <c r="N70" t="n" s="5648">
        <v>0.0</v>
      </c>
      <c r="O70" t="n" s="5649">
        <f>M70*N70</f>
      </c>
      <c r="P70" t="n" s="5650">
        <v>0.0</v>
      </c>
      <c r="Q70" t="n" s="5651">
        <v>0.0</v>
      </c>
      <c r="R70" t="n" s="5652">
        <f>P70*Q70</f>
      </c>
      <c r="S70" t="n" s="5653">
        <f>L70+O70+R70</f>
      </c>
      <c r="T70" t="n" s="5654">
        <v>0.0</v>
      </c>
      <c r="U70" t="n" s="5655">
        <v>0.0</v>
      </c>
      <c r="V70" t="n" s="5656">
        <v>0.0</v>
      </c>
      <c r="W70" t="n" s="5657">
        <v>170.0</v>
      </c>
      <c r="X70" t="n" s="5658">
        <f>s70+t70+u70+w70</f>
      </c>
      <c r="Y70" t="n" s="5659">
        <v>10.0</v>
      </c>
      <c r="Z70" t="n" s="5660">
        <v>108.2</v>
      </c>
      <c r="AA70" t="n" s="5661">
        <v>0.0</v>
      </c>
      <c r="AB70" t="n" s="5662">
        <v>0.0</v>
      </c>
      <c r="AC70" t="n" s="5663">
        <v>0.0</v>
      </c>
      <c r="AD70" t="n" s="5664">
        <v>0.0</v>
      </c>
      <c r="AE70" t="n" s="5665">
        <f>y70+aa70+ac70</f>
      </c>
      <c r="AF70" t="n" s="5666">
        <f>z70+ab70+ad70</f>
      </c>
      <c r="AG70" t="n" s="5667">
        <v>240.0</v>
      </c>
      <c r="AH70" t="n" s="5668">
        <v>34.15</v>
      </c>
      <c r="AI70" t="n" s="5669">
        <v>3.9</v>
      </c>
      <c r="AJ70" t="n" s="5670">
        <f>x70+af70+ag70+ah70+ai70</f>
      </c>
      <c r="AK70" t="n" s="5671">
        <f>ROUND((l70+t70+af70+ag70+ah70+ai70+w70)*0.05,2)</f>
      </c>
      <c r="AL70" t="n" s="5672">
        <f>aj70+ak70</f>
      </c>
      <c r="AM70" t="n" s="5673">
        <f>80*0.06</f>
      </c>
      <c r="AN70" t="n" s="5674">
        <f>al70+am70</f>
      </c>
      <c r="AO70" t="s" s="5675">
        <v>0</v>
      </c>
    </row>
    <row r="71">
      <c r="A71" t="s" s="5676">
        <v>360</v>
      </c>
      <c r="B71" t="s" s="5677">
        <v>361</v>
      </c>
      <c r="C71" t="s" s="5678">
        <v>362</v>
      </c>
      <c r="D71" t="s" s="5679">
        <v>363</v>
      </c>
      <c r="E71" t="s" s="5680">
        <v>55</v>
      </c>
      <c r="F71" t="s" s="8073">
        <v>364</v>
      </c>
      <c r="G71" t="s" s="5682">
        <v>358</v>
      </c>
      <c r="H71" t="s" s="5683">
        <v>359</v>
      </c>
      <c r="I71" t="n" s="8397">
        <v>43831.0</v>
      </c>
      <c r="J71" t="n" s="8398">
        <v>44196.0</v>
      </c>
      <c r="K71" t="s" s="5686">
        <v>0</v>
      </c>
      <c r="L71" t="n" s="5687">
        <v>1490.0</v>
      </c>
      <c r="M71" t="n" s="5688">
        <v>0.0</v>
      </c>
      <c r="N71" t="n" s="5689">
        <v>0.0</v>
      </c>
      <c r="O71" t="n" s="5690">
        <f>M71*N71</f>
      </c>
      <c r="P71" t="n" s="5691">
        <v>0.0</v>
      </c>
      <c r="Q71" t="n" s="5692">
        <v>0.0</v>
      </c>
      <c r="R71" t="n" s="5693">
        <f>P71*Q71</f>
      </c>
      <c r="S71" t="n" s="5694">
        <f>L71+O71+R71</f>
      </c>
      <c r="T71" t="n" s="5695">
        <v>0.0</v>
      </c>
      <c r="U71" t="n" s="5696">
        <v>0.0</v>
      </c>
      <c r="V71" t="n" s="5697">
        <v>0.0</v>
      </c>
      <c r="W71" t="n" s="5698">
        <v>800.0</v>
      </c>
      <c r="X71" t="n" s="5699">
        <f>s71+t71+u71+w71</f>
      </c>
      <c r="Y71" t="n" s="5700">
        <v>8.0</v>
      </c>
      <c r="Z71" t="n" s="5701">
        <v>86.0</v>
      </c>
      <c r="AA71" t="n" s="5702">
        <v>0.0</v>
      </c>
      <c r="AB71" t="n" s="5703">
        <v>0.0</v>
      </c>
      <c r="AC71" t="n" s="5704">
        <v>0.0</v>
      </c>
      <c r="AD71" t="n" s="5705">
        <v>0.0</v>
      </c>
      <c r="AE71" t="n" s="5706">
        <f>y71+aa71+ac71</f>
      </c>
      <c r="AF71" t="n" s="5707">
        <f>z71+ab71+ad71</f>
      </c>
      <c r="AG71" t="n" s="5708">
        <v>320.0</v>
      </c>
      <c r="AH71" t="n" s="5709">
        <v>44.65</v>
      </c>
      <c r="AI71" t="n" s="5710">
        <v>5.1</v>
      </c>
      <c r="AJ71" t="n" s="5711">
        <f>x71+af71+ag71+ah71+ai71</f>
      </c>
      <c r="AK71" t="n" s="5712">
        <f>ROUND((l71+t71+af71+ag71+ah71+ai71+w71)*0.05,2)</f>
      </c>
      <c r="AL71" t="n" s="5713">
        <f>aj71+ak71</f>
      </c>
      <c r="AM71" t="n" s="5714">
        <f>80*0.06</f>
      </c>
      <c r="AN71" t="n" s="5715">
        <f>al71+am71</f>
      </c>
      <c r="AO71" t="s" s="5716">
        <v>0</v>
      </c>
    </row>
    <row r="72">
      <c r="A72" t="s" s="5717">
        <v>365</v>
      </c>
      <c r="B72" t="s" s="5718">
        <v>366</v>
      </c>
      <c r="C72" t="s" s="5719">
        <v>367</v>
      </c>
      <c r="D72" t="s" s="5720">
        <v>368</v>
      </c>
      <c r="E72" t="s" s="5721">
        <v>55</v>
      </c>
      <c r="F72" t="s" s="8074">
        <v>369</v>
      </c>
      <c r="G72" t="s" s="5723">
        <v>358</v>
      </c>
      <c r="H72" t="s" s="5724">
        <v>359</v>
      </c>
      <c r="I72" t="n" s="8399">
        <v>43831.0</v>
      </c>
      <c r="J72" t="n" s="8400">
        <v>44196.0</v>
      </c>
      <c r="K72" t="s" s="5727">
        <v>0</v>
      </c>
      <c r="L72" t="n" s="5728">
        <v>1290.0</v>
      </c>
      <c r="M72" t="n" s="5729">
        <v>0.0</v>
      </c>
      <c r="N72" t="n" s="5730">
        <v>0.0</v>
      </c>
      <c r="O72" t="n" s="5731">
        <f>M72*N72</f>
      </c>
      <c r="P72" t="n" s="5732">
        <v>0.0</v>
      </c>
      <c r="Q72" t="n" s="5733">
        <v>0.0</v>
      </c>
      <c r="R72" t="n" s="5734">
        <f>P72*Q72</f>
      </c>
      <c r="S72" t="n" s="5735">
        <f>L72+O72+R72</f>
      </c>
      <c r="T72" t="n" s="5736">
        <v>0.0</v>
      </c>
      <c r="U72" t="n" s="5737">
        <v>0.0</v>
      </c>
      <c r="V72" t="n" s="5738">
        <v>0.0</v>
      </c>
      <c r="W72" t="n" s="5739">
        <v>250.0</v>
      </c>
      <c r="X72" t="n" s="5740">
        <f>s72+t72+u72+w72</f>
      </c>
      <c r="Y72" t="n" s="5741">
        <v>5.0</v>
      </c>
      <c r="Z72" t="n" s="5742">
        <v>46.5</v>
      </c>
      <c r="AA72" t="n" s="5743">
        <v>0.0</v>
      </c>
      <c r="AB72" t="n" s="5744">
        <v>0.0</v>
      </c>
      <c r="AC72" t="n" s="5745">
        <v>0.0</v>
      </c>
      <c r="AD72" t="n" s="5746">
        <v>0.0</v>
      </c>
      <c r="AE72" t="n" s="5747">
        <f>y72+aa72+ac72</f>
      </c>
      <c r="AF72" t="n" s="5748">
        <f>z72+ab72+ad72</f>
      </c>
      <c r="AG72" t="n" s="5749">
        <v>221.0</v>
      </c>
      <c r="AH72" t="n" s="5750">
        <v>30.65</v>
      </c>
      <c r="AI72" t="n" s="5751">
        <v>3.5</v>
      </c>
      <c r="AJ72" t="n" s="5752">
        <f>x72+af72+ag72+ah72+ai72</f>
      </c>
      <c r="AK72" t="n" s="5753">
        <f>ROUND((l72+t72+af72+ag72+ah72+ai72+w72)*0.05,2)</f>
      </c>
      <c r="AL72" t="n" s="5754">
        <f>aj72+ak72</f>
      </c>
      <c r="AM72" t="n" s="5755">
        <f>80*0.06</f>
      </c>
      <c r="AN72" t="n" s="5756">
        <f>al72+am72</f>
      </c>
      <c r="AO72" t="s" s="5757">
        <v>0</v>
      </c>
    </row>
    <row r="73">
      <c r="A73" t="s" s="5758">
        <v>370</v>
      </c>
      <c r="B73" t="s" s="5759">
        <v>371</v>
      </c>
      <c r="C73" t="s" s="5760">
        <v>372</v>
      </c>
      <c r="D73" t="s" s="5761">
        <v>373</v>
      </c>
      <c r="E73" t="s" s="5762">
        <v>55</v>
      </c>
      <c r="F73" t="s" s="8075">
        <v>374</v>
      </c>
      <c r="G73" t="s" s="5764">
        <v>358</v>
      </c>
      <c r="H73" t="s" s="5765">
        <v>359</v>
      </c>
      <c r="I73" t="n" s="8401">
        <v>43831.0</v>
      </c>
      <c r="J73" t="n" s="8402">
        <v>44196.0</v>
      </c>
      <c r="K73" t="s" s="5768">
        <v>0</v>
      </c>
      <c r="L73" t="n" s="5769">
        <v>1670.0</v>
      </c>
      <c r="M73" t="n" s="5770">
        <v>0.0</v>
      </c>
      <c r="N73" t="n" s="5771">
        <v>0.0</v>
      </c>
      <c r="O73" t="n" s="5772">
        <f>M73*N73</f>
      </c>
      <c r="P73" t="n" s="5773">
        <v>0.0</v>
      </c>
      <c r="Q73" t="n" s="5774">
        <v>0.0</v>
      </c>
      <c r="R73" t="n" s="5775">
        <f>P73*Q73</f>
      </c>
      <c r="S73" t="n" s="5776">
        <f>L73+O73+R73</f>
      </c>
      <c r="T73" t="n" s="5777">
        <v>0.0</v>
      </c>
      <c r="U73" t="n" s="5778">
        <v>0.0</v>
      </c>
      <c r="V73" t="n" s="5779">
        <v>0.0</v>
      </c>
      <c r="W73" t="n" s="5780">
        <v>700.0</v>
      </c>
      <c r="X73" t="n" s="5781">
        <f>s73+t73+u73+w73</f>
      </c>
      <c r="Y73" t="n" s="5782">
        <v>21.0</v>
      </c>
      <c r="Z73" t="n" s="5783">
        <v>252.84</v>
      </c>
      <c r="AA73" t="n" s="5784">
        <v>0.0</v>
      </c>
      <c r="AB73" t="n" s="5785">
        <v>0.0</v>
      </c>
      <c r="AC73" t="n" s="5786">
        <v>0.0</v>
      </c>
      <c r="AD73" t="n" s="5787">
        <v>0.0</v>
      </c>
      <c r="AE73" t="n" s="5788">
        <f>y73+aa73+ac73</f>
      </c>
      <c r="AF73" t="n" s="5789">
        <f>z73+ab73+ad73</f>
      </c>
      <c r="AG73" t="n" s="5790">
        <v>331.0</v>
      </c>
      <c r="AH73" t="n" s="5791">
        <v>48.15</v>
      </c>
      <c r="AI73" t="n" s="5792">
        <v>5.5</v>
      </c>
      <c r="AJ73" t="n" s="5793">
        <f>x73+af73+ag73+ah73+ai73</f>
      </c>
      <c r="AK73" t="n" s="5794">
        <f>ROUND((l73+t73+af73+ag73+ah73+ai73+w73)*0.05,2)</f>
      </c>
      <c r="AL73" t="n" s="5795">
        <f>aj73+ak73</f>
      </c>
      <c r="AM73" t="n" s="5796">
        <f>80*0.06</f>
      </c>
      <c r="AN73" t="n" s="5797">
        <f>al73+am73</f>
      </c>
      <c r="AO73" t="s" s="5798">
        <v>0</v>
      </c>
    </row>
    <row r="74">
      <c r="A74" t="s" s="5799">
        <v>375</v>
      </c>
      <c r="B74" t="s" s="5800">
        <v>376</v>
      </c>
      <c r="C74" t="s" s="5801">
        <v>377</v>
      </c>
      <c r="D74" t="s" s="5802">
        <v>378</v>
      </c>
      <c r="E74" t="s" s="5803">
        <v>55</v>
      </c>
      <c r="F74" t="s" s="8076">
        <v>379</v>
      </c>
      <c r="G74" t="s" s="5805">
        <v>358</v>
      </c>
      <c r="H74" t="s" s="5806">
        <v>359</v>
      </c>
      <c r="I74" t="n" s="8403">
        <v>43831.0</v>
      </c>
      <c r="J74" t="n" s="8404">
        <v>44196.0</v>
      </c>
      <c r="K74" t="s" s="5809">
        <v>0</v>
      </c>
      <c r="L74" t="n" s="5810">
        <v>1360.0</v>
      </c>
      <c r="M74" t="n" s="5811">
        <v>0.0</v>
      </c>
      <c r="N74" t="n" s="5812">
        <v>0.0</v>
      </c>
      <c r="O74" t="n" s="5813">
        <f>M74*N74</f>
      </c>
      <c r="P74" t="n" s="5814">
        <v>0.0</v>
      </c>
      <c r="Q74" t="n" s="5815">
        <v>0.0</v>
      </c>
      <c r="R74" t="n" s="5816">
        <f>P74*Q74</f>
      </c>
      <c r="S74" t="n" s="5817">
        <f>L74+O74+R74</f>
      </c>
      <c r="T74" t="n" s="5818">
        <v>0.0</v>
      </c>
      <c r="U74" t="n" s="5819">
        <v>0.0</v>
      </c>
      <c r="V74" t="n" s="5820">
        <v>0.0</v>
      </c>
      <c r="W74" t="n" s="5821">
        <v>0.0</v>
      </c>
      <c r="X74" t="n" s="5822">
        <f>s74+t74+u74+w74</f>
      </c>
      <c r="Y74" t="n" s="5823">
        <v>10.0</v>
      </c>
      <c r="Z74" t="n" s="5824">
        <v>98.1</v>
      </c>
      <c r="AA74" t="n" s="5825">
        <v>0.0</v>
      </c>
      <c r="AB74" t="n" s="5826">
        <v>0.0</v>
      </c>
      <c r="AC74" t="n" s="5827">
        <v>0.0</v>
      </c>
      <c r="AD74" t="n" s="5828">
        <v>0.0</v>
      </c>
      <c r="AE74" t="n" s="5829">
        <f>y74+aa74+ac74</f>
      </c>
      <c r="AF74" t="n" s="5830">
        <f>z74+ab74+ad74</f>
      </c>
      <c r="AG74" t="n" s="5831">
        <v>198.0</v>
      </c>
      <c r="AH74" t="n" s="5832">
        <v>28.85</v>
      </c>
      <c r="AI74" t="n" s="5833">
        <v>3.3</v>
      </c>
      <c r="AJ74" t="n" s="5834">
        <f>x74+af74+ag74+ah74+ai74</f>
      </c>
      <c r="AK74" t="n" s="5835">
        <f>ROUND((l74+t74+af74+ag74+ah74+ai74+w74)*0.05,2)</f>
      </c>
      <c r="AL74" t="n" s="5836">
        <f>aj74+ak74</f>
      </c>
      <c r="AM74" t="n" s="5837">
        <f>80*0.06</f>
      </c>
      <c r="AN74" t="n" s="5838">
        <f>al74+am74</f>
      </c>
      <c r="AO74" t="s" s="5839">
        <v>0</v>
      </c>
    </row>
    <row r="75">
      <c r="A75" t="s" s="5840">
        <v>380</v>
      </c>
      <c r="B75" t="s" s="5841">
        <v>381</v>
      </c>
      <c r="C75" t="s" s="5842">
        <v>382</v>
      </c>
      <c r="D75" t="s" s="5843">
        <v>383</v>
      </c>
      <c r="E75" t="s" s="5844">
        <v>55</v>
      </c>
      <c r="F75" t="s" s="8077">
        <v>384</v>
      </c>
      <c r="G75" t="s" s="5846">
        <v>358</v>
      </c>
      <c r="H75" t="s" s="5847">
        <v>359</v>
      </c>
      <c r="I75" t="n" s="8405">
        <v>43831.0</v>
      </c>
      <c r="J75" t="n" s="8406">
        <v>44196.0</v>
      </c>
      <c r="K75" t="s" s="5850">
        <v>0</v>
      </c>
      <c r="L75" t="n" s="5851">
        <v>1420.0</v>
      </c>
      <c r="M75" t="n" s="5852">
        <v>0.0</v>
      </c>
      <c r="N75" t="n" s="5853">
        <v>0.0</v>
      </c>
      <c r="O75" t="n" s="5854">
        <f>M75*N75</f>
      </c>
      <c r="P75" t="n" s="5855">
        <v>0.0</v>
      </c>
      <c r="Q75" t="n" s="5856">
        <v>0.0</v>
      </c>
      <c r="R75" t="n" s="5857">
        <f>P75*Q75</f>
      </c>
      <c r="S75" t="n" s="5858">
        <f>L75+O75+R75</f>
      </c>
      <c r="T75" t="n" s="5859">
        <v>0.0</v>
      </c>
      <c r="U75" t="n" s="5860">
        <v>0.0</v>
      </c>
      <c r="V75" t="n" s="5861">
        <v>0.0</v>
      </c>
      <c r="W75" t="n" s="5862">
        <v>1850.0</v>
      </c>
      <c r="X75" t="n" s="5863">
        <f>s75+t75+u75+w75</f>
      </c>
      <c r="Y75" t="n" s="5864">
        <v>0.0</v>
      </c>
      <c r="Z75" t="n" s="5865">
        <v>0.0</v>
      </c>
      <c r="AA75" t="n" s="5866">
        <v>0.0</v>
      </c>
      <c r="AB75" t="n" s="5867">
        <v>0.0</v>
      </c>
      <c r="AC75" t="n" s="5868">
        <v>0.0</v>
      </c>
      <c r="AD75" t="n" s="5869">
        <v>0.0</v>
      </c>
      <c r="AE75" t="n" s="5870">
        <f>y75+aa75+ac75</f>
      </c>
      <c r="AF75" t="n" s="5871">
        <f>z75+ab75+ad75</f>
      </c>
      <c r="AG75" t="n" s="5872">
        <v>448.0</v>
      </c>
      <c r="AH75" t="n" s="5873">
        <v>60.35</v>
      </c>
      <c r="AI75" t="n" s="5874">
        <v>6.9</v>
      </c>
      <c r="AJ75" t="n" s="5875">
        <f>x75+af75+ag75+ah75+ai75</f>
      </c>
      <c r="AK75" t="n" s="5876">
        <f>ROUND((l75+t75+af75+ag75+ah75+ai75+w75)*0.05,2)</f>
      </c>
      <c r="AL75" t="n" s="5877">
        <f>aj75+ak75</f>
      </c>
      <c r="AM75" t="n" s="5878">
        <f>80*0.06</f>
      </c>
      <c r="AN75" t="n" s="5879">
        <f>al75+am75</f>
      </c>
      <c r="AO75" t="s" s="5880">
        <v>0</v>
      </c>
    </row>
    <row r="76">
      <c r="A76" t="s" s="5881">
        <v>385</v>
      </c>
      <c r="B76" t="s" s="5882">
        <v>386</v>
      </c>
      <c r="C76" t="s" s="5883">
        <v>387</v>
      </c>
      <c r="D76" t="s" s="5884">
        <v>388</v>
      </c>
      <c r="E76" t="s" s="5885">
        <v>55</v>
      </c>
      <c r="F76" t="s" s="8078">
        <v>389</v>
      </c>
      <c r="G76" t="s" s="5887">
        <v>358</v>
      </c>
      <c r="H76" t="s" s="5888">
        <v>359</v>
      </c>
      <c r="I76" t="n" s="8407">
        <v>43831.0</v>
      </c>
      <c r="J76" t="n" s="8408">
        <v>44196.0</v>
      </c>
      <c r="K76" t="s" s="5891">
        <v>0</v>
      </c>
      <c r="L76" t="n" s="5892">
        <v>1360.0</v>
      </c>
      <c r="M76" t="n" s="5893">
        <v>0.0</v>
      </c>
      <c r="N76" t="n" s="5894">
        <v>0.0</v>
      </c>
      <c r="O76" t="n" s="5895">
        <f>M76*N76</f>
      </c>
      <c r="P76" t="n" s="5896">
        <v>0.0</v>
      </c>
      <c r="Q76" t="n" s="5897">
        <v>0.0</v>
      </c>
      <c r="R76" t="n" s="5898">
        <f>P76*Q76</f>
      </c>
      <c r="S76" t="n" s="5899">
        <f>L76+O76+R76</f>
      </c>
      <c r="T76" t="n" s="5900">
        <v>0.0</v>
      </c>
      <c r="U76" t="n" s="5901">
        <v>0.0</v>
      </c>
      <c r="V76" t="n" s="5902">
        <v>0.0</v>
      </c>
      <c r="W76" t="n" s="5903">
        <v>500.0</v>
      </c>
      <c r="X76" t="n" s="5904">
        <f>s76+t76+u76+w76</f>
      </c>
      <c r="Y76" t="n" s="5905">
        <v>11.0</v>
      </c>
      <c r="Z76" t="n" s="5906">
        <v>107.91</v>
      </c>
      <c r="AA76" t="n" s="5907">
        <v>0.0</v>
      </c>
      <c r="AB76" t="n" s="5908">
        <v>0.0</v>
      </c>
      <c r="AC76" t="n" s="5909">
        <v>0.0</v>
      </c>
      <c r="AD76" t="n" s="5910">
        <v>0.0</v>
      </c>
      <c r="AE76" t="n" s="5911">
        <f>y76+aa76+ac76</f>
      </c>
      <c r="AF76" t="n" s="5912">
        <f>z76+ab76+ad76</f>
      </c>
      <c r="AG76" t="n" s="5913">
        <v>263.0</v>
      </c>
      <c r="AH76" t="n" s="5914">
        <v>37.65</v>
      </c>
      <c r="AI76" t="n" s="5915">
        <v>4.3</v>
      </c>
      <c r="AJ76" t="n" s="5916">
        <f>x76+af76+ag76+ah76+ai76</f>
      </c>
      <c r="AK76" t="n" s="5917">
        <f>ROUND((l76+t76+af76+ag76+ah76+ai76+w76)*0.05,2)</f>
      </c>
      <c r="AL76" t="n" s="5918">
        <f>aj76+ak76</f>
      </c>
      <c r="AM76" t="n" s="5919">
        <f>80*0.06</f>
      </c>
      <c r="AN76" t="n" s="5920">
        <f>al76+am76</f>
      </c>
      <c r="AO76" t="s" s="5921">
        <v>0</v>
      </c>
    </row>
    <row r="77">
      <c r="A77" t="s" s="5922">
        <v>390</v>
      </c>
      <c r="B77" t="s" s="5923">
        <v>391</v>
      </c>
      <c r="C77" t="s" s="5924">
        <v>392</v>
      </c>
      <c r="D77" t="s" s="5925">
        <v>393</v>
      </c>
      <c r="E77" t="s" s="5926">
        <v>55</v>
      </c>
      <c r="F77" t="s" s="8079">
        <v>394</v>
      </c>
      <c r="G77" t="s" s="5928">
        <v>358</v>
      </c>
      <c r="H77" t="s" s="5929">
        <v>359</v>
      </c>
      <c r="I77" t="n" s="8409">
        <v>43831.0</v>
      </c>
      <c r="J77" t="n" s="8410">
        <v>44196.0</v>
      </c>
      <c r="K77" t="s" s="5932">
        <v>0</v>
      </c>
      <c r="L77" t="n" s="5933">
        <v>2030.0</v>
      </c>
      <c r="M77" t="n" s="5934">
        <v>0.0</v>
      </c>
      <c r="N77" t="n" s="5935">
        <v>0.0</v>
      </c>
      <c r="O77" t="n" s="5936">
        <f>M77*N77</f>
      </c>
      <c r="P77" t="n" s="5937">
        <v>0.0</v>
      </c>
      <c r="Q77" t="n" s="5938">
        <v>0.0</v>
      </c>
      <c r="R77" t="n" s="5939">
        <f>P77*Q77</f>
      </c>
      <c r="S77" t="n" s="5940">
        <f>L77+O77+R77</f>
      </c>
      <c r="T77" t="n" s="5941">
        <v>0.0</v>
      </c>
      <c r="U77" t="n" s="5942">
        <v>0.0</v>
      </c>
      <c r="V77" t="n" s="5943">
        <v>0.0</v>
      </c>
      <c r="W77" t="n" s="5944">
        <v>2000.0</v>
      </c>
      <c r="X77" t="n" s="5945">
        <f>s77+t77+u77+w77</f>
      </c>
      <c r="Y77" t="n" s="5946">
        <v>4.0</v>
      </c>
      <c r="Z77" t="n" s="5947">
        <v>58.56</v>
      </c>
      <c r="AA77" t="n" s="5948">
        <v>0.0</v>
      </c>
      <c r="AB77" t="n" s="5949">
        <v>0.0</v>
      </c>
      <c r="AC77" t="n" s="5950">
        <v>0.0</v>
      </c>
      <c r="AD77" t="n" s="5951">
        <v>0.0</v>
      </c>
      <c r="AE77" t="n" s="5952">
        <f>y77+aa77+ac77</f>
      </c>
      <c r="AF77" t="n" s="5953">
        <f>z77+ab77+ad77</f>
      </c>
      <c r="AG77" t="n" s="5954">
        <v>546.0</v>
      </c>
      <c r="AH77" t="n" s="5955">
        <v>69.05</v>
      </c>
      <c r="AI77" t="n" s="5956">
        <v>7.9</v>
      </c>
      <c r="AJ77" t="n" s="5957">
        <f>x77+af77+ag77+ah77+ai77</f>
      </c>
      <c r="AK77" t="n" s="5958">
        <f>ROUND((l77+t77+af77+ag77+ah77+ai77+w77)*0.05,2)</f>
      </c>
      <c r="AL77" t="n" s="5959">
        <f>aj77+ak77</f>
      </c>
      <c r="AM77" t="n" s="5960">
        <f>80*0.06</f>
      </c>
      <c r="AN77" t="n" s="5961">
        <f>al77+am77</f>
      </c>
      <c r="AO77" t="s" s="5962">
        <v>0</v>
      </c>
    </row>
    <row r="78">
      <c r="A78" t="s" s="5963">
        <v>395</v>
      </c>
      <c r="B78" t="s" s="5964">
        <v>396</v>
      </c>
      <c r="C78" t="s" s="5965">
        <v>397</v>
      </c>
      <c r="D78" t="s" s="5966">
        <v>398</v>
      </c>
      <c r="E78" t="s" s="5967">
        <v>55</v>
      </c>
      <c r="F78" t="s" s="8080">
        <v>399</v>
      </c>
      <c r="G78" t="s" s="5969">
        <v>358</v>
      </c>
      <c r="H78" t="s" s="5970">
        <v>359</v>
      </c>
      <c r="I78" t="n" s="8411">
        <v>43831.0</v>
      </c>
      <c r="J78" t="n" s="8412">
        <v>44196.0</v>
      </c>
      <c r="K78" t="s" s="5973">
        <v>0</v>
      </c>
      <c r="L78" t="n" s="5974">
        <v>1510.0</v>
      </c>
      <c r="M78" t="n" s="5975">
        <v>0.0</v>
      </c>
      <c r="N78" t="n" s="5976">
        <v>0.0</v>
      </c>
      <c r="O78" t="n" s="5977">
        <f>M78*N78</f>
      </c>
      <c r="P78" t="n" s="5978">
        <v>0.0</v>
      </c>
      <c r="Q78" t="n" s="5979">
        <v>0.0</v>
      </c>
      <c r="R78" t="n" s="5980">
        <f>P78*Q78</f>
      </c>
      <c r="S78" t="n" s="5981">
        <f>L78+O78+R78</f>
      </c>
      <c r="T78" t="n" s="5982">
        <v>0.0</v>
      </c>
      <c r="U78" t="n" s="5983">
        <v>0.0</v>
      </c>
      <c r="V78" t="n" s="5984">
        <v>0.0</v>
      </c>
      <c r="W78" t="n" s="5985">
        <v>1650.0</v>
      </c>
      <c r="X78" t="n" s="5986">
        <f>s78+t78+u78+w78</f>
      </c>
      <c r="Y78" t="n" s="5987">
        <v>14.0</v>
      </c>
      <c r="Z78" t="n" s="5988">
        <v>152.46</v>
      </c>
      <c r="AA78" t="n" s="5989">
        <v>0.0</v>
      </c>
      <c r="AB78" t="n" s="5990">
        <v>0.0</v>
      </c>
      <c r="AC78" t="n" s="5991">
        <v>0.0</v>
      </c>
      <c r="AD78" t="n" s="5992">
        <v>0.0</v>
      </c>
      <c r="AE78" t="n" s="5993">
        <f>y78+aa78+ac78</f>
      </c>
      <c r="AF78" t="n" s="5994">
        <f>z78+ab78+ad78</f>
      </c>
      <c r="AG78" t="n" s="5995">
        <v>432.0</v>
      </c>
      <c r="AH78" t="n" s="5996">
        <v>60.35</v>
      </c>
      <c r="AI78" t="n" s="5997">
        <v>6.9</v>
      </c>
      <c r="AJ78" t="n" s="5998">
        <f>x78+af78+ag78+ah78+ai78</f>
      </c>
      <c r="AK78" t="n" s="5999">
        <f>ROUND((l78+t78+af78+ag78+ah78+ai78+w78)*0.05,2)</f>
      </c>
      <c r="AL78" t="n" s="6000">
        <f>aj78+ak78</f>
      </c>
      <c r="AM78" t="n" s="6001">
        <f>80*0.06</f>
      </c>
      <c r="AN78" t="n" s="6002">
        <f>al78+am78</f>
      </c>
      <c r="AO78" t="s" s="6003">
        <v>0</v>
      </c>
    </row>
    <row r="79">
      <c r="A79" t="s" s="6004">
        <v>400</v>
      </c>
      <c r="B79" t="s" s="6005">
        <v>401</v>
      </c>
      <c r="C79" t="s" s="6006">
        <v>402</v>
      </c>
      <c r="D79" t="s" s="6007">
        <v>403</v>
      </c>
      <c r="E79" t="s" s="6008">
        <v>55</v>
      </c>
      <c r="F79" t="s" s="8081">
        <v>404</v>
      </c>
      <c r="G79" t="s" s="6010">
        <v>358</v>
      </c>
      <c r="H79" t="s" s="6011">
        <v>359</v>
      </c>
      <c r="I79" t="n" s="8413">
        <v>43831.0</v>
      </c>
      <c r="J79" t="n" s="8414">
        <v>44196.0</v>
      </c>
      <c r="K79" t="s" s="6014">
        <v>0</v>
      </c>
      <c r="L79" t="n" s="6015">
        <v>1320.0</v>
      </c>
      <c r="M79" t="n" s="6016">
        <v>0.0</v>
      </c>
      <c r="N79" t="n" s="6017">
        <v>0.0</v>
      </c>
      <c r="O79" t="n" s="6018">
        <f>M79*N79</f>
      </c>
      <c r="P79" t="n" s="6019">
        <v>0.0</v>
      </c>
      <c r="Q79" t="n" s="6020">
        <v>0.0</v>
      </c>
      <c r="R79" t="n" s="6021">
        <f>P79*Q79</f>
      </c>
      <c r="S79" t="n" s="6022">
        <f>L79+O79+R79</f>
      </c>
      <c r="T79" t="n" s="6023">
        <v>0.0</v>
      </c>
      <c r="U79" t="n" s="6024">
        <v>0.0</v>
      </c>
      <c r="V79" t="n" s="6025">
        <v>0.0</v>
      </c>
      <c r="W79" t="n" s="6026">
        <v>200.0</v>
      </c>
      <c r="X79" t="n" s="6027">
        <f>s79+t79+u79+w79</f>
      </c>
      <c r="Y79" t="n" s="6028">
        <v>14.0</v>
      </c>
      <c r="Z79" t="n" s="6029">
        <v>133.28</v>
      </c>
      <c r="AA79" t="n" s="6030">
        <v>0.0</v>
      </c>
      <c r="AB79" t="n" s="6031">
        <v>0.0</v>
      </c>
      <c r="AC79" t="n" s="6032">
        <v>0.0</v>
      </c>
      <c r="AD79" t="n" s="6033">
        <v>0.0</v>
      </c>
      <c r="AE79" t="n" s="6034">
        <f>y79+aa79+ac79</f>
      </c>
      <c r="AF79" t="n" s="6035">
        <f>z79+ab79+ad79</f>
      </c>
      <c r="AG79" t="n" s="6036">
        <v>219.0</v>
      </c>
      <c r="AH79" t="n" s="6037">
        <v>32.35</v>
      </c>
      <c r="AI79" t="n" s="6038">
        <v>3.7</v>
      </c>
      <c r="AJ79" t="n" s="6039">
        <f>x79+af79+ag79+ah79+ai79</f>
      </c>
      <c r="AK79" t="n" s="6040">
        <f>ROUND((l79+t79+af79+ag79+ah79+ai79+w79)*0.05,2)</f>
      </c>
      <c r="AL79" t="n" s="6041">
        <f>aj79+ak79</f>
      </c>
      <c r="AM79" t="n" s="6042">
        <f>80*0.06</f>
      </c>
      <c r="AN79" t="n" s="6043">
        <f>al79+am79</f>
      </c>
      <c r="AO79" t="s" s="6044">
        <v>0</v>
      </c>
    </row>
    <row r="80">
      <c r="A80" t="s" s="6045">
        <v>405</v>
      </c>
      <c r="B80" t="s" s="6046">
        <v>406</v>
      </c>
      <c r="C80" t="s" s="6047">
        <v>407</v>
      </c>
      <c r="D80" t="s" s="6048">
        <v>408</v>
      </c>
      <c r="E80" t="s" s="6049">
        <v>55</v>
      </c>
      <c r="F80" t="s" s="8082">
        <v>409</v>
      </c>
      <c r="G80" t="s" s="6051">
        <v>358</v>
      </c>
      <c r="H80" t="s" s="6052">
        <v>359</v>
      </c>
      <c r="I80" t="n" s="8415">
        <v>43831.0</v>
      </c>
      <c r="J80" t="n" s="8416">
        <v>44196.0</v>
      </c>
      <c r="K80" t="s" s="6055">
        <v>0</v>
      </c>
      <c r="L80" t="n" s="6056">
        <v>1400.0</v>
      </c>
      <c r="M80" t="n" s="6057">
        <v>0.0</v>
      </c>
      <c r="N80" t="n" s="6058">
        <v>0.0</v>
      </c>
      <c r="O80" t="n" s="6059">
        <f>M80*N80</f>
      </c>
      <c r="P80" t="n" s="6060">
        <v>0.0</v>
      </c>
      <c r="Q80" t="n" s="6061">
        <v>0.0</v>
      </c>
      <c r="R80" t="n" s="6062">
        <f>P80*Q80</f>
      </c>
      <c r="S80" t="n" s="6063">
        <f>L80+O80+R80</f>
      </c>
      <c r="T80" t="n" s="6064">
        <v>0.0</v>
      </c>
      <c r="U80" t="n" s="6065">
        <v>0.0</v>
      </c>
      <c r="V80" t="n" s="6066">
        <v>0.0</v>
      </c>
      <c r="W80" t="n" s="6067">
        <v>500.0</v>
      </c>
      <c r="X80" t="n" s="6068">
        <f>s80+t80+u80+w80</f>
      </c>
      <c r="Y80" t="n" s="6069">
        <v>12.0</v>
      </c>
      <c r="Z80" t="n" s="6070">
        <v>121.2</v>
      </c>
      <c r="AA80" t="n" s="6071">
        <v>0.0</v>
      </c>
      <c r="AB80" t="n" s="6072">
        <v>0.0</v>
      </c>
      <c r="AC80" t="n" s="6073">
        <v>0.0</v>
      </c>
      <c r="AD80" t="n" s="6074">
        <v>0.0</v>
      </c>
      <c r="AE80" t="n" s="6075">
        <f>y80+aa80+ac80</f>
      </c>
      <c r="AF80" t="n" s="6076">
        <f>z80+ab80+ad80</f>
      </c>
      <c r="AG80" t="n" s="6077">
        <v>268.0</v>
      </c>
      <c r="AH80" t="n" s="6078">
        <v>37.65</v>
      </c>
      <c r="AI80" t="n" s="6079">
        <v>4.3</v>
      </c>
      <c r="AJ80" t="n" s="6080">
        <f>x80+af80+ag80+ah80+ai80</f>
      </c>
      <c r="AK80" t="n" s="6081">
        <f>ROUND((l80+t80+af80+ag80+ah80+ai80+w80)*0.05,2)</f>
      </c>
      <c r="AL80" t="n" s="6082">
        <f>aj80+ak80</f>
      </c>
      <c r="AM80" t="n" s="6083">
        <f>80*0.06</f>
      </c>
      <c r="AN80" t="n" s="6084">
        <f>al80+am80</f>
      </c>
      <c r="AO80" t="s" s="6085">
        <v>0</v>
      </c>
    </row>
    <row r="81">
      <c r="A81" t="s" s="6086">
        <v>410</v>
      </c>
      <c r="B81" t="s" s="6087">
        <v>411</v>
      </c>
      <c r="C81" t="s" s="6088">
        <v>412</v>
      </c>
      <c r="D81" t="s" s="6089">
        <v>413</v>
      </c>
      <c r="E81" t="s" s="6090">
        <v>55</v>
      </c>
      <c r="F81" t="s" s="8083">
        <v>414</v>
      </c>
      <c r="G81" t="s" s="6092">
        <v>358</v>
      </c>
      <c r="H81" t="s" s="6093">
        <v>359</v>
      </c>
      <c r="I81" t="n" s="8417">
        <v>43831.0</v>
      </c>
      <c r="J81" t="n" s="8418">
        <v>44196.0</v>
      </c>
      <c r="K81" t="s" s="6096">
        <v>0</v>
      </c>
      <c r="L81" t="n" s="6097">
        <v>1280.0</v>
      </c>
      <c r="M81" t="n" s="6098">
        <v>0.0</v>
      </c>
      <c r="N81" t="n" s="6099">
        <v>0.0</v>
      </c>
      <c r="O81" t="n" s="6100">
        <f>M81*N81</f>
      </c>
      <c r="P81" t="n" s="6101">
        <v>0.0</v>
      </c>
      <c r="Q81" t="n" s="6102">
        <v>0.0</v>
      </c>
      <c r="R81" t="n" s="6103">
        <f>P81*Q81</f>
      </c>
      <c r="S81" t="n" s="6104">
        <f>L81+O81+R81</f>
      </c>
      <c r="T81" t="n" s="6105">
        <v>0.0</v>
      </c>
      <c r="U81" t="n" s="6106">
        <v>0.0</v>
      </c>
      <c r="V81" t="n" s="6107">
        <v>0.0</v>
      </c>
      <c r="W81" t="n" s="6108">
        <v>170.0</v>
      </c>
      <c r="X81" t="n" s="6109">
        <f>s81+t81+u81+w81</f>
      </c>
      <c r="Y81" t="n" s="6110">
        <v>8.0</v>
      </c>
      <c r="Z81" t="n" s="6111">
        <v>73.84</v>
      </c>
      <c r="AA81" t="n" s="6112">
        <v>0.0</v>
      </c>
      <c r="AB81" t="n" s="6113">
        <v>0.0</v>
      </c>
      <c r="AC81" t="n" s="6114">
        <v>0.0</v>
      </c>
      <c r="AD81" t="n" s="6115">
        <v>0.0</v>
      </c>
      <c r="AE81" t="n" s="6116">
        <f>y81+aa81+ac81</f>
      </c>
      <c r="AF81" t="n" s="6117">
        <f>z81+ab81+ad81</f>
      </c>
      <c r="AG81" t="n" s="6118">
        <v>211.0</v>
      </c>
      <c r="AH81" t="n" s="6119">
        <v>28.85</v>
      </c>
      <c r="AI81" t="n" s="6120">
        <v>3.3</v>
      </c>
      <c r="AJ81" t="n" s="6121">
        <f>x81+af81+ag81+ah81+ai81</f>
      </c>
      <c r="AK81" t="n" s="6122">
        <f>ROUND((l81+t81+af81+ag81+ah81+ai81+w81)*0.05,2)</f>
      </c>
      <c r="AL81" t="n" s="6123">
        <f>aj81+ak81</f>
      </c>
      <c r="AM81" t="n" s="6124">
        <f>80*0.06</f>
      </c>
      <c r="AN81" t="n" s="6125">
        <f>al81+am81</f>
      </c>
      <c r="AO81" t="s" s="6126">
        <v>0</v>
      </c>
    </row>
    <row r="82">
      <c r="A82" t="s" s="6127">
        <v>415</v>
      </c>
      <c r="B82" t="s" s="6128">
        <v>416</v>
      </c>
      <c r="C82" t="s" s="6129">
        <v>417</v>
      </c>
      <c r="D82" t="s" s="6130">
        <v>418</v>
      </c>
      <c r="E82" t="s" s="6131">
        <v>55</v>
      </c>
      <c r="F82" t="s" s="8084">
        <v>419</v>
      </c>
      <c r="G82" t="s" s="6133">
        <v>358</v>
      </c>
      <c r="H82" t="s" s="6134">
        <v>359</v>
      </c>
      <c r="I82" t="n" s="8419">
        <v>43831.0</v>
      </c>
      <c r="J82" t="n" s="8420">
        <v>44196.0</v>
      </c>
      <c r="K82" t="s" s="6137">
        <v>0</v>
      </c>
      <c r="L82" t="n" s="6138">
        <v>1280.0</v>
      </c>
      <c r="M82" t="n" s="6139">
        <v>0.0</v>
      </c>
      <c r="N82" t="n" s="6140">
        <v>0.0</v>
      </c>
      <c r="O82" t="n" s="6141">
        <f>M82*N82</f>
      </c>
      <c r="P82" t="n" s="6142">
        <v>0.0</v>
      </c>
      <c r="Q82" t="n" s="6143">
        <v>0.0</v>
      </c>
      <c r="R82" t="n" s="6144">
        <f>P82*Q82</f>
      </c>
      <c r="S82" t="n" s="6145">
        <f>L82+O82+R82</f>
      </c>
      <c r="T82" t="n" s="6146">
        <v>0.0</v>
      </c>
      <c r="U82" t="n" s="6147">
        <v>0.0</v>
      </c>
      <c r="V82" t="n" s="6148">
        <v>0.0</v>
      </c>
      <c r="W82" t="n" s="6149">
        <v>530.0</v>
      </c>
      <c r="X82" t="n" s="6150">
        <f>s82+t82+u82+w82</f>
      </c>
      <c r="Y82" t="n" s="6151">
        <v>8.0</v>
      </c>
      <c r="Z82" t="n" s="6152">
        <v>73.84</v>
      </c>
      <c r="AA82" t="n" s="6153">
        <v>0.0</v>
      </c>
      <c r="AB82" t="n" s="6154">
        <v>0.0</v>
      </c>
      <c r="AC82" t="n" s="6155">
        <v>0.0</v>
      </c>
      <c r="AD82" t="n" s="6156">
        <v>0.0</v>
      </c>
      <c r="AE82" t="n" s="6157">
        <f>y82+aa82+ac82</f>
      </c>
      <c r="AF82" t="n" s="6158">
        <f>z82+ab82+ad82</f>
      </c>
      <c r="AG82" t="n" s="6159">
        <v>250.0</v>
      </c>
      <c r="AH82" t="n" s="6160">
        <v>34.15</v>
      </c>
      <c r="AI82" t="n" s="6161">
        <v>3.9</v>
      </c>
      <c r="AJ82" t="n" s="6162">
        <f>x82+af82+ag82+ah82+ai82</f>
      </c>
      <c r="AK82" t="n" s="6163">
        <f>ROUND((l82+t82+af82+ag82+ah82+ai82+w82)*0.05,2)</f>
      </c>
      <c r="AL82" t="n" s="6164">
        <f>aj82+ak82</f>
      </c>
      <c r="AM82" t="n" s="6165">
        <f>80*0.06</f>
      </c>
      <c r="AN82" t="n" s="6166">
        <f>al82+am82</f>
      </c>
      <c r="AO82" t="s" s="6167">
        <v>0</v>
      </c>
    </row>
    <row r="83">
      <c r="A83" t="s" s="6168">
        <v>420</v>
      </c>
      <c r="B83" t="s" s="6169">
        <v>421</v>
      </c>
      <c r="C83" t="s" s="6170">
        <v>422</v>
      </c>
      <c r="D83" t="s" s="6171">
        <v>423</v>
      </c>
      <c r="E83" t="s" s="6172">
        <v>55</v>
      </c>
      <c r="F83" t="s" s="8085">
        <v>424</v>
      </c>
      <c r="G83" t="s" s="6174">
        <v>425</v>
      </c>
      <c r="H83" t="s" s="6175">
        <v>426</v>
      </c>
      <c r="I83" t="n" s="8421">
        <v>43831.0</v>
      </c>
      <c r="J83" t="n" s="8422">
        <v>44196.0</v>
      </c>
      <c r="K83" t="s" s="6178">
        <v>0</v>
      </c>
      <c r="L83" t="n" s="6179">
        <v>1640.0</v>
      </c>
      <c r="M83" t="n" s="6180">
        <v>0.0</v>
      </c>
      <c r="N83" t="n" s="6181">
        <v>0.0</v>
      </c>
      <c r="O83" t="n" s="6182">
        <f>M83*N83</f>
      </c>
      <c r="P83" t="n" s="6183">
        <v>0.0</v>
      </c>
      <c r="Q83" t="n" s="6184">
        <v>0.0</v>
      </c>
      <c r="R83" t="n" s="6185">
        <f>P83*Q83</f>
      </c>
      <c r="S83" t="n" s="6186">
        <f>L83+O83+R83</f>
      </c>
      <c r="T83" t="n" s="6187">
        <v>0.0</v>
      </c>
      <c r="U83" t="n" s="6188">
        <v>8.0</v>
      </c>
      <c r="V83" t="n" s="6189">
        <v>0.0</v>
      </c>
      <c r="W83" t="n" s="6190">
        <v>1574.0</v>
      </c>
      <c r="X83" t="n" s="6191">
        <f>s83+t83+u83+w83</f>
      </c>
      <c r="Y83" t="n" s="6192">
        <v>22.0</v>
      </c>
      <c r="Z83" t="n" s="6193">
        <v>260.26</v>
      </c>
      <c r="AA83" t="n" s="6194">
        <v>0.0</v>
      </c>
      <c r="AB83" t="n" s="6195">
        <v>0.0</v>
      </c>
      <c r="AC83" t="n" s="6196">
        <v>0.0</v>
      </c>
      <c r="AD83" t="n" s="6197">
        <v>0.0</v>
      </c>
      <c r="AE83" t="n" s="6198">
        <f>y83+aa83+ac83</f>
      </c>
      <c r="AF83" t="n" s="6199">
        <f>z83+ab83+ad83</f>
      </c>
      <c r="AG83" t="n" s="6200">
        <v>432.0</v>
      </c>
      <c r="AH83" t="n" s="6201">
        <v>62.15</v>
      </c>
      <c r="AI83" t="n" s="6202">
        <v>7.1</v>
      </c>
      <c r="AJ83" t="n" s="6203">
        <f>x83+af83+ag83+ah83+ai83</f>
      </c>
      <c r="AK83" t="n" s="6204">
        <f>ROUND((l83+t83+af83+ag83+ah83+ai83+w83)*0.05,2)</f>
      </c>
      <c r="AL83" t="n" s="6205">
        <f>aj83+ak83</f>
      </c>
      <c r="AM83" t="n" s="6206">
        <f>88*0.06</f>
      </c>
      <c r="AN83" t="n" s="6207">
        <f>al83+am83</f>
      </c>
      <c r="AO83" t="s" s="6208">
        <v>0</v>
      </c>
    </row>
    <row r="84">
      <c r="A84" t="s" s="6209">
        <v>427</v>
      </c>
      <c r="B84" t="s" s="6210">
        <v>428</v>
      </c>
      <c r="C84" t="s" s="6211">
        <v>429</v>
      </c>
      <c r="D84" t="s" s="6212">
        <v>430</v>
      </c>
      <c r="E84" t="s" s="6213">
        <v>55</v>
      </c>
      <c r="F84" t="s" s="8086">
        <v>431</v>
      </c>
      <c r="G84" t="s" s="6215">
        <v>425</v>
      </c>
      <c r="H84" t="s" s="6216">
        <v>426</v>
      </c>
      <c r="I84" t="n" s="8423">
        <v>43831.0</v>
      </c>
      <c r="J84" t="n" s="8424">
        <v>44196.0</v>
      </c>
      <c r="K84" t="s" s="6219">
        <v>0</v>
      </c>
      <c r="L84" t="n" s="6220">
        <v>1330.0</v>
      </c>
      <c r="M84" t="n" s="6221">
        <v>0.0</v>
      </c>
      <c r="N84" t="n" s="6222">
        <v>0.0</v>
      </c>
      <c r="O84" t="n" s="6223">
        <f>M84*N84</f>
      </c>
      <c r="P84" t="n" s="6224">
        <v>0.0</v>
      </c>
      <c r="Q84" t="n" s="6225">
        <v>0.0</v>
      </c>
      <c r="R84" t="n" s="6226">
        <f>P84*Q84</f>
      </c>
      <c r="S84" t="n" s="6227">
        <f>L84+O84+R84</f>
      </c>
      <c r="T84" t="n" s="6228">
        <v>0.0</v>
      </c>
      <c r="U84" t="n" s="6229">
        <v>0.0</v>
      </c>
      <c r="V84" t="n" s="6230">
        <v>0.0</v>
      </c>
      <c r="W84" t="n" s="6231">
        <v>1000.0</v>
      </c>
      <c r="X84" t="n" s="6232">
        <f>s84+t84+u84+w84</f>
      </c>
      <c r="Y84" t="n" s="6233">
        <v>6.0</v>
      </c>
      <c r="Z84" t="n" s="6234">
        <v>57.54</v>
      </c>
      <c r="AA84" t="n" s="6235">
        <v>0.0</v>
      </c>
      <c r="AB84" t="n" s="6236">
        <v>0.0</v>
      </c>
      <c r="AC84" t="n" s="6237">
        <v>0.0</v>
      </c>
      <c r="AD84" t="n" s="6238">
        <v>0.0</v>
      </c>
      <c r="AE84" t="n" s="6239">
        <f>y84+aa84+ac84</f>
      </c>
      <c r="AF84" t="n" s="6240">
        <f>z84+ab84+ad84</f>
      </c>
      <c r="AG84" t="n" s="6241">
        <v>318.0</v>
      </c>
      <c r="AH84" t="n" s="6242">
        <v>42.85</v>
      </c>
      <c r="AI84" t="n" s="6243">
        <v>4.9</v>
      </c>
      <c r="AJ84" t="n" s="6244">
        <f>x84+af84+ag84+ah84+ai84</f>
      </c>
      <c r="AK84" t="n" s="6245">
        <f>ROUND((l84+t84+af84+ag84+ah84+ai84+w84)*0.05,2)</f>
      </c>
      <c r="AL84" t="n" s="6246">
        <f>aj84+ak84</f>
      </c>
      <c r="AM84" t="n" s="6247">
        <f>80*0.06</f>
      </c>
      <c r="AN84" t="n" s="6248">
        <f>al84+am84</f>
      </c>
      <c r="AO84" t="s" s="6249">
        <v>0</v>
      </c>
    </row>
    <row r="85">
      <c r="A85" t="s" s="6250">
        <v>432</v>
      </c>
      <c r="B85" t="s" s="6251">
        <v>433</v>
      </c>
      <c r="C85" t="s" s="6252">
        <v>434</v>
      </c>
      <c r="D85" t="s" s="6253">
        <v>435</v>
      </c>
      <c r="E85" t="s" s="6254">
        <v>55</v>
      </c>
      <c r="F85" t="s" s="8087">
        <v>424</v>
      </c>
      <c r="G85" t="s" s="6256">
        <v>425</v>
      </c>
      <c r="H85" t="s" s="6257">
        <v>426</v>
      </c>
      <c r="I85" t="n" s="8425">
        <v>43831.0</v>
      </c>
      <c r="J85" t="n" s="8426">
        <v>44196.0</v>
      </c>
      <c r="K85" t="s" s="6260">
        <v>0</v>
      </c>
      <c r="L85" t="n" s="6261">
        <v>1950.0</v>
      </c>
      <c r="M85" t="n" s="6262">
        <v>0.0</v>
      </c>
      <c r="N85" t="n" s="6263">
        <v>0.0</v>
      </c>
      <c r="O85" t="n" s="6264">
        <f>M85*N85</f>
      </c>
      <c r="P85" t="n" s="6265">
        <v>0.0</v>
      </c>
      <c r="Q85" t="n" s="6266">
        <v>0.0</v>
      </c>
      <c r="R85" t="n" s="6267">
        <f>P85*Q85</f>
      </c>
      <c r="S85" t="n" s="6268">
        <f>L85+O85+R85</f>
      </c>
      <c r="T85" t="n" s="6269">
        <v>0.0</v>
      </c>
      <c r="U85" t="n" s="6270">
        <v>0.0</v>
      </c>
      <c r="V85" t="n" s="6271">
        <v>0.0</v>
      </c>
      <c r="W85" t="n" s="6272">
        <v>2199.0</v>
      </c>
      <c r="X85" t="n" s="6273">
        <f>s85+t85+u85+w85</f>
      </c>
      <c r="Y85" t="n" s="6274">
        <v>16.0</v>
      </c>
      <c r="Z85" t="n" s="6275">
        <v>224.96</v>
      </c>
      <c r="AA85" t="n" s="6276">
        <v>0.0</v>
      </c>
      <c r="AB85" t="n" s="6277">
        <v>0.0</v>
      </c>
      <c r="AC85" t="n" s="6278">
        <v>0.0</v>
      </c>
      <c r="AD85" t="n" s="6279">
        <v>0.0</v>
      </c>
      <c r="AE85" t="n" s="6280">
        <f>y85+aa85+ac85</f>
      </c>
      <c r="AF85" t="n" s="6281">
        <f>z85+ab85+ad85</f>
      </c>
      <c r="AG85" t="n" s="6282">
        <v>554.0</v>
      </c>
      <c r="AH85" t="n" s="6283">
        <v>69.05</v>
      </c>
      <c r="AI85" t="n" s="6284">
        <v>7.9</v>
      </c>
      <c r="AJ85" t="n" s="6285">
        <f>x85+af85+ag85+ah85+ai85</f>
      </c>
      <c r="AK85" t="n" s="6286">
        <f>ROUND((l85+t85+af85+ag85+ah85+ai85+w85)*0.05,2)</f>
      </c>
      <c r="AL85" t="n" s="6287">
        <f>aj85+ak85</f>
      </c>
      <c r="AM85" t="n" s="6288">
        <f>80*0.06</f>
      </c>
      <c r="AN85" t="n" s="6289">
        <f>al85+am85</f>
      </c>
      <c r="AO85" t="s" s="6290">
        <v>0</v>
      </c>
    </row>
    <row r="86">
      <c r="A86" t="s" s="6291">
        <v>436</v>
      </c>
      <c r="B86" t="s" s="6292">
        <v>437</v>
      </c>
      <c r="C86" t="s" s="6293">
        <v>438</v>
      </c>
      <c r="D86" t="s" s="6294">
        <v>439</v>
      </c>
      <c r="E86" t="s" s="6295">
        <v>55</v>
      </c>
      <c r="F86" t="s" s="8088">
        <v>440</v>
      </c>
      <c r="G86" t="s" s="6297">
        <v>425</v>
      </c>
      <c r="H86" t="s" s="6298">
        <v>426</v>
      </c>
      <c r="I86" t="n" s="8427">
        <v>43831.0</v>
      </c>
      <c r="J86" t="n" s="8428">
        <v>44196.0</v>
      </c>
      <c r="K86" t="s" s="6301">
        <v>0</v>
      </c>
      <c r="L86" t="n" s="6302">
        <v>1700.0</v>
      </c>
      <c r="M86" t="n" s="6303">
        <v>0.0</v>
      </c>
      <c r="N86" t="n" s="6304">
        <v>0.0</v>
      </c>
      <c r="O86" t="n" s="6305">
        <f>M86*N86</f>
      </c>
      <c r="P86" t="n" s="6306">
        <v>0.0</v>
      </c>
      <c r="Q86" t="n" s="6307">
        <v>0.0</v>
      </c>
      <c r="R86" t="n" s="6308">
        <f>P86*Q86</f>
      </c>
      <c r="S86" t="n" s="6309">
        <f>L86+O86+R86</f>
      </c>
      <c r="T86" t="n" s="6310">
        <v>0.0</v>
      </c>
      <c r="U86" t="n" s="6311">
        <v>0.0</v>
      </c>
      <c r="V86" t="n" s="6312">
        <v>0.0</v>
      </c>
      <c r="W86" t="n" s="6313">
        <v>483.47</v>
      </c>
      <c r="X86" t="n" s="6314">
        <f>s86+t86+u86+w86</f>
      </c>
      <c r="Y86" t="n" s="6315">
        <v>4.0</v>
      </c>
      <c r="Z86" t="n" s="6316">
        <v>49.04</v>
      </c>
      <c r="AA86" t="n" s="6317">
        <v>0.0</v>
      </c>
      <c r="AB86" t="n" s="6318">
        <v>0.0</v>
      </c>
      <c r="AC86" t="n" s="6319">
        <v>0.0</v>
      </c>
      <c r="AD86" t="n" s="6320">
        <v>0.0</v>
      </c>
      <c r="AE86" t="n" s="6321">
        <f>y86+aa86+ac86</f>
      </c>
      <c r="AF86" t="n" s="6322">
        <f>z86+ab86+ad86</f>
      </c>
      <c r="AG86" t="n" s="6323">
        <v>299.0</v>
      </c>
      <c r="AH86" t="n" s="6324">
        <v>41.15</v>
      </c>
      <c r="AI86" t="n" s="6325">
        <v>4.7</v>
      </c>
      <c r="AJ86" t="n" s="6326">
        <f>x86+af86+ag86+ah86+ai86</f>
      </c>
      <c r="AK86" t="n" s="6327">
        <f>ROUND((l86+t86+af86+ag86+ah86+ai86+w86)*0.05,2)</f>
      </c>
      <c r="AL86" t="n" s="6328">
        <f>aj86+ak86</f>
      </c>
      <c r="AM86" t="n" s="6329">
        <f>80*0.06</f>
      </c>
      <c r="AN86" t="n" s="6330">
        <f>al86+am86</f>
      </c>
      <c r="AO86" t="s" s="6331">
        <v>0</v>
      </c>
    </row>
    <row r="87">
      <c r="A87" t="s" s="6332">
        <v>441</v>
      </c>
      <c r="B87" t="s" s="6333">
        <v>442</v>
      </c>
      <c r="C87" t="s" s="6334">
        <v>443</v>
      </c>
      <c r="D87" t="s" s="6335">
        <v>444</v>
      </c>
      <c r="E87" t="s" s="6336">
        <v>55</v>
      </c>
      <c r="F87" t="s" s="8089">
        <v>424</v>
      </c>
      <c r="G87" t="s" s="6338">
        <v>425</v>
      </c>
      <c r="H87" t="s" s="6339">
        <v>426</v>
      </c>
      <c r="I87" t="n" s="8429">
        <v>43831.0</v>
      </c>
      <c r="J87" t="n" s="8430">
        <v>44196.0</v>
      </c>
      <c r="K87" t="s" s="6342">
        <v>0</v>
      </c>
      <c r="L87" t="n" s="6343">
        <v>1580.0</v>
      </c>
      <c r="M87" t="n" s="6344">
        <v>0.0</v>
      </c>
      <c r="N87" t="n" s="6345">
        <v>0.0</v>
      </c>
      <c r="O87" t="n" s="6346">
        <f>M87*N87</f>
      </c>
      <c r="P87" t="n" s="6347">
        <v>0.0</v>
      </c>
      <c r="Q87" t="n" s="6348">
        <v>0.0</v>
      </c>
      <c r="R87" t="n" s="6349">
        <f>P87*Q87</f>
      </c>
      <c r="S87" t="n" s="6350">
        <f>L87+O87+R87</f>
      </c>
      <c r="T87" t="n" s="6351">
        <v>0.0</v>
      </c>
      <c r="U87" t="n" s="6352">
        <v>0.0</v>
      </c>
      <c r="V87" t="n" s="6353">
        <v>0.0</v>
      </c>
      <c r="W87" t="n" s="6354">
        <v>1752.0</v>
      </c>
      <c r="X87" t="n" s="6355">
        <f>s87+t87+u87+w87</f>
      </c>
      <c r="Y87" t="n" s="6356">
        <v>22.0</v>
      </c>
      <c r="Z87" t="n" s="6357">
        <v>250.58</v>
      </c>
      <c r="AA87" t="n" s="6358">
        <v>0.0</v>
      </c>
      <c r="AB87" t="n" s="6359">
        <v>0.0</v>
      </c>
      <c r="AC87" t="n" s="6360">
        <v>0.0</v>
      </c>
      <c r="AD87" t="n" s="6361">
        <v>0.0</v>
      </c>
      <c r="AE87" t="n" s="6362">
        <f>y87+aa87+ac87</f>
      </c>
      <c r="AF87" t="n" s="6363">
        <f>z87+ab87+ad87</f>
      </c>
      <c r="AG87" t="n" s="6364">
        <v>448.0</v>
      </c>
      <c r="AH87" t="n" s="6365">
        <v>63.85</v>
      </c>
      <c r="AI87" t="n" s="6366">
        <v>7.3</v>
      </c>
      <c r="AJ87" t="n" s="6367">
        <f>x87+af87+ag87+ah87+ai87</f>
      </c>
      <c r="AK87" t="n" s="6368">
        <f>ROUND((l87+t87+af87+ag87+ah87+ai87+w87)*0.05,2)</f>
      </c>
      <c r="AL87" t="n" s="6369">
        <f>aj87+ak87</f>
      </c>
      <c r="AM87" t="n" s="6370">
        <f>80*0.06</f>
      </c>
      <c r="AN87" t="n" s="6371">
        <f>al87+am87</f>
      </c>
      <c r="AO87" t="s" s="6372">
        <v>0</v>
      </c>
    </row>
    <row r="88">
      <c r="A88" t="s" s="6373">
        <v>445</v>
      </c>
      <c r="B88" t="s" s="6374">
        <v>446</v>
      </c>
      <c r="C88" t="s" s="6375">
        <v>447</v>
      </c>
      <c r="D88" t="s" s="6376">
        <v>448</v>
      </c>
      <c r="E88" t="s" s="6377">
        <v>55</v>
      </c>
      <c r="F88" t="s" s="8090">
        <v>449</v>
      </c>
      <c r="G88" t="s" s="6379">
        <v>425</v>
      </c>
      <c r="H88" t="s" s="6380">
        <v>426</v>
      </c>
      <c r="I88" t="n" s="8431">
        <v>43831.0</v>
      </c>
      <c r="J88" t="n" s="8432">
        <v>43861.0</v>
      </c>
      <c r="K88" t="s" s="6383">
        <v>0</v>
      </c>
      <c r="L88" t="n" s="6384">
        <v>2030.0</v>
      </c>
      <c r="M88" t="n" s="6385">
        <v>0.0</v>
      </c>
      <c r="N88" t="n" s="6386">
        <v>0.0</v>
      </c>
      <c r="O88" t="n" s="6387">
        <f>M88*N88</f>
      </c>
      <c r="P88" t="n" s="6388">
        <v>0.0</v>
      </c>
      <c r="Q88" t="n" s="6389">
        <v>0.0</v>
      </c>
      <c r="R88" t="n" s="6390">
        <f>P88*Q88</f>
      </c>
      <c r="S88" t="n" s="6391">
        <f>L88+O88+R88</f>
      </c>
      <c r="T88" t="n" s="6392">
        <v>0.0</v>
      </c>
      <c r="U88" t="n" s="6393">
        <v>2.0</v>
      </c>
      <c r="V88" t="n" s="6394">
        <v>0.0</v>
      </c>
      <c r="W88" t="n" s="6395">
        <v>0.0</v>
      </c>
      <c r="X88" t="n" s="6396">
        <f>s88+t88+u88+w88</f>
      </c>
      <c r="Y88" t="n" s="6397">
        <v>0.0</v>
      </c>
      <c r="Z88" t="n" s="6398">
        <v>0.0</v>
      </c>
      <c r="AA88" t="n" s="6399">
        <v>0.0</v>
      </c>
      <c r="AB88" t="n" s="6400">
        <v>0.0</v>
      </c>
      <c r="AC88" t="n" s="6401">
        <v>0.0</v>
      </c>
      <c r="AD88" t="n" s="6402">
        <v>0.0</v>
      </c>
      <c r="AE88" t="n" s="6403">
        <f>y88+aa88+ac88</f>
      </c>
      <c r="AF88" t="n" s="6404">
        <f>z88+ab88+ad88</f>
      </c>
      <c r="AG88" t="n" s="6405">
        <v>279.0</v>
      </c>
      <c r="AH88" t="n" s="6406">
        <v>37.65</v>
      </c>
      <c r="AI88" t="n" s="6407">
        <v>4.3</v>
      </c>
      <c r="AJ88" t="n" s="6408">
        <f>x88+af88+ag88+ah88+ai88</f>
      </c>
      <c r="AK88" t="n" s="6409">
        <f>ROUND((l88+t88+af88+ag88+ah88+ai88+w88)*0.05,2)</f>
      </c>
      <c r="AL88" t="n" s="6410">
        <f>aj88+ak88</f>
      </c>
      <c r="AM88" t="n" s="6411">
        <f>82*0.06</f>
      </c>
      <c r="AN88" t="n" s="6412">
        <f>al88+am88</f>
      </c>
      <c r="AO88" t="s" s="6413">
        <v>0</v>
      </c>
    </row>
    <row r="89">
      <c r="A89" t="s" s="6414">
        <v>450</v>
      </c>
      <c r="B89" t="s" s="6415">
        <v>451</v>
      </c>
      <c r="C89" t="s" s="6416">
        <v>452</v>
      </c>
      <c r="D89" t="s" s="6417">
        <v>453</v>
      </c>
      <c r="E89" t="s" s="6418">
        <v>55</v>
      </c>
      <c r="F89" t="s" s="8091">
        <v>454</v>
      </c>
      <c r="G89" t="s" s="6420">
        <v>425</v>
      </c>
      <c r="H89" t="s" s="6421">
        <v>426</v>
      </c>
      <c r="I89" t="n" s="8433">
        <v>43831.0</v>
      </c>
      <c r="J89" t="n" s="8434">
        <v>44196.0</v>
      </c>
      <c r="K89" t="s" s="6424">
        <v>0</v>
      </c>
      <c r="L89" t="n" s="6425">
        <v>1710.0</v>
      </c>
      <c r="M89" t="n" s="6426">
        <v>0.0</v>
      </c>
      <c r="N89" t="n" s="6427">
        <v>0.0</v>
      </c>
      <c r="O89" t="n" s="6428">
        <f>M89*N89</f>
      </c>
      <c r="P89" t="n" s="6429">
        <v>0.0</v>
      </c>
      <c r="Q89" t="n" s="6430">
        <v>0.0</v>
      </c>
      <c r="R89" t="n" s="6431">
        <f>P89*Q89</f>
      </c>
      <c r="S89" t="n" s="6432">
        <f>L89+O89+R89</f>
      </c>
      <c r="T89" t="n" s="6433">
        <v>0.0</v>
      </c>
      <c r="U89" t="n" s="6434">
        <v>0.0</v>
      </c>
      <c r="V89" t="n" s="6435">
        <v>0.0</v>
      </c>
      <c r="W89" t="n" s="6436">
        <v>0.0</v>
      </c>
      <c r="X89" t="n" s="6437">
        <f>s89+t89+u89+w89</f>
      </c>
      <c r="Y89" t="n" s="6438">
        <v>4.0</v>
      </c>
      <c r="Z89" t="n" s="6439">
        <v>49.32</v>
      </c>
      <c r="AA89" t="n" s="6440">
        <v>0.0</v>
      </c>
      <c r="AB89" t="n" s="6441">
        <v>0.0</v>
      </c>
      <c r="AC89" t="n" s="6442">
        <v>0.0</v>
      </c>
      <c r="AD89" t="n" s="6443">
        <v>0.0</v>
      </c>
      <c r="AE89" t="n" s="6444">
        <f>y89+aa89+ac89</f>
      </c>
      <c r="AF89" t="n" s="6445">
        <f>z89+ab89+ad89</f>
      </c>
      <c r="AG89" t="n" s="6446">
        <v>237.0</v>
      </c>
      <c r="AH89" t="n" s="6447">
        <v>32.35</v>
      </c>
      <c r="AI89" t="n" s="6448">
        <v>3.7</v>
      </c>
      <c r="AJ89" t="n" s="6449">
        <f>x89+af89+ag89+ah89+ai89</f>
      </c>
      <c r="AK89" t="n" s="6450">
        <f>ROUND((l89+t89+af89+ag89+ah89+ai89+w89)*0.05,2)</f>
      </c>
      <c r="AL89" t="n" s="6451">
        <f>aj89+ak89</f>
      </c>
      <c r="AM89" t="n" s="6452">
        <f>80*0.06</f>
      </c>
      <c r="AN89" t="n" s="6453">
        <f>al89+am89</f>
      </c>
      <c r="AO89" t="s" s="6454">
        <v>0</v>
      </c>
    </row>
    <row r="90">
      <c r="A90" t="s" s="6455">
        <v>455</v>
      </c>
      <c r="B90" t="s" s="6456">
        <v>456</v>
      </c>
      <c r="C90" t="s" s="6457">
        <v>457</v>
      </c>
      <c r="D90" t="s" s="6458">
        <v>458</v>
      </c>
      <c r="E90" t="s" s="6459">
        <v>55</v>
      </c>
      <c r="F90" t="s" s="8092">
        <v>459</v>
      </c>
      <c r="G90" t="s" s="6461">
        <v>425</v>
      </c>
      <c r="H90" t="s" s="6462">
        <v>426</v>
      </c>
      <c r="I90" t="n" s="8435">
        <v>43831.0</v>
      </c>
      <c r="J90" t="n" s="8436">
        <v>44196.0</v>
      </c>
      <c r="K90" t="s" s="6465">
        <v>0</v>
      </c>
      <c r="L90" t="n" s="6466">
        <v>1300.0</v>
      </c>
      <c r="M90" t="n" s="6467">
        <v>0.0</v>
      </c>
      <c r="N90" t="n" s="6468">
        <v>0.0</v>
      </c>
      <c r="O90" t="n" s="6469">
        <f>M90*N90</f>
      </c>
      <c r="P90" t="n" s="6470">
        <v>0.0</v>
      </c>
      <c r="Q90" t="n" s="6471">
        <v>0.0</v>
      </c>
      <c r="R90" t="n" s="6472">
        <f>P90*Q90</f>
      </c>
      <c r="S90" t="n" s="6473">
        <f>L90+O90+R90</f>
      </c>
      <c r="T90" t="n" s="6474">
        <v>0.0</v>
      </c>
      <c r="U90" t="n" s="6475">
        <v>0.0</v>
      </c>
      <c r="V90" t="n" s="6476">
        <v>0.0</v>
      </c>
      <c r="W90" t="n" s="6477">
        <v>0.0</v>
      </c>
      <c r="X90" t="n" s="6478">
        <f>s90+t90+u90+w90</f>
      </c>
      <c r="Y90" t="n" s="6479">
        <v>7.0</v>
      </c>
      <c r="Z90" t="n" s="6480">
        <v>65.66</v>
      </c>
      <c r="AA90" t="n" s="6481">
        <v>0.0</v>
      </c>
      <c r="AB90" t="n" s="6482">
        <v>0.0</v>
      </c>
      <c r="AC90" t="n" s="6483">
        <v>0.0</v>
      </c>
      <c r="AD90" t="n" s="6484">
        <v>0.0</v>
      </c>
      <c r="AE90" t="n" s="6485">
        <f>y90+aa90+ac90</f>
      </c>
      <c r="AF90" t="n" s="6486">
        <f>z90+ab90+ad90</f>
      </c>
      <c r="AG90" t="n" s="6487">
        <v>182.0</v>
      </c>
      <c r="AH90" t="n" s="6488">
        <v>25.35</v>
      </c>
      <c r="AI90" t="n" s="6489">
        <v>2.9</v>
      </c>
      <c r="AJ90" t="n" s="6490">
        <f>x90+af90+ag90+ah90+ai90</f>
      </c>
      <c r="AK90" t="n" s="6491">
        <f>ROUND((l90+t90+af90+ag90+ah90+ai90+w90)*0.05,2)</f>
      </c>
      <c r="AL90" t="n" s="6492">
        <f>aj90+ak90</f>
      </c>
      <c r="AM90" t="n" s="6493">
        <f>80*0.06</f>
      </c>
      <c r="AN90" t="n" s="6494">
        <f>al90+am90</f>
      </c>
      <c r="AO90" t="s" s="6495">
        <v>0</v>
      </c>
    </row>
    <row r="91">
      <c r="A91" t="s" s="6496">
        <v>460</v>
      </c>
      <c r="B91" t="s" s="6497">
        <v>461</v>
      </c>
      <c r="C91" t="s" s="6498">
        <v>462</v>
      </c>
      <c r="D91" t="s" s="6499">
        <v>463</v>
      </c>
      <c r="E91" t="s" s="6500">
        <v>55</v>
      </c>
      <c r="F91" t="s" s="8093">
        <v>464</v>
      </c>
      <c r="G91" t="s" s="6502">
        <v>425</v>
      </c>
      <c r="H91" t="s" s="6503">
        <v>426</v>
      </c>
      <c r="I91" t="n" s="8437">
        <v>43831.0</v>
      </c>
      <c r="J91" t="n" s="8438">
        <v>44196.0</v>
      </c>
      <c r="K91" t="s" s="6506">
        <v>0</v>
      </c>
      <c r="L91" t="n" s="6507">
        <v>1420.0</v>
      </c>
      <c r="M91" t="n" s="6508">
        <v>0.0</v>
      </c>
      <c r="N91" t="n" s="6509">
        <v>0.0</v>
      </c>
      <c r="O91" t="n" s="6510">
        <f>M91*N91</f>
      </c>
      <c r="P91" t="n" s="6511">
        <v>0.0</v>
      </c>
      <c r="Q91" t="n" s="6512">
        <v>0.0</v>
      </c>
      <c r="R91" t="n" s="6513">
        <f>P91*Q91</f>
      </c>
      <c r="S91" t="n" s="6514">
        <f>L91+O91+R91</f>
      </c>
      <c r="T91" t="n" s="6515">
        <v>0.0</v>
      </c>
      <c r="U91" t="n" s="6516">
        <v>0.0</v>
      </c>
      <c r="V91" t="n" s="6517">
        <v>0.0</v>
      </c>
      <c r="W91" t="n" s="6518">
        <v>530.0</v>
      </c>
      <c r="X91" t="n" s="6519">
        <f>s91+t91+u91+w91</f>
      </c>
      <c r="Y91" t="n" s="6520">
        <v>7.0</v>
      </c>
      <c r="Z91" t="n" s="6521">
        <v>71.68</v>
      </c>
      <c r="AA91" t="n" s="6522">
        <v>0.0</v>
      </c>
      <c r="AB91" t="n" s="6523">
        <v>0.0</v>
      </c>
      <c r="AC91" t="n" s="6524">
        <v>0.0</v>
      </c>
      <c r="AD91" t="n" s="6525">
        <v>0.0</v>
      </c>
      <c r="AE91" t="n" s="6526">
        <f>y91+aa91+ac91</f>
      </c>
      <c r="AF91" t="n" s="6527">
        <f>z91+ab91+ad91</f>
      </c>
      <c r="AG91" t="n" s="6528">
        <v>268.0</v>
      </c>
      <c r="AH91" t="n" s="6529">
        <v>37.65</v>
      </c>
      <c r="AI91" t="n" s="6530">
        <v>4.3</v>
      </c>
      <c r="AJ91" t="n" s="6531">
        <f>x91+af91+ag91+ah91+ai91</f>
      </c>
      <c r="AK91" t="n" s="6532">
        <f>ROUND((l91+t91+af91+ag91+ah91+ai91+w91)*0.05,2)</f>
      </c>
      <c r="AL91" t="n" s="6533">
        <f>aj91+ak91</f>
      </c>
      <c r="AM91" t="n" s="6534">
        <f>80*0.06</f>
      </c>
      <c r="AN91" t="n" s="6535">
        <f>al91+am91</f>
      </c>
      <c r="AO91" t="s" s="6536">
        <v>0</v>
      </c>
    </row>
    <row r="92">
      <c r="A92" t="s" s="6537">
        <v>465</v>
      </c>
      <c r="B92" t="s" s="6538">
        <v>466</v>
      </c>
      <c r="C92" t="s" s="6539">
        <v>467</v>
      </c>
      <c r="D92" t="s" s="6540">
        <v>468</v>
      </c>
      <c r="E92" t="s" s="6541">
        <v>55</v>
      </c>
      <c r="F92" t="s" s="8094">
        <v>469</v>
      </c>
      <c r="G92" t="s" s="6543">
        <v>425</v>
      </c>
      <c r="H92" t="s" s="6544">
        <v>426</v>
      </c>
      <c r="I92" t="n" s="8439">
        <v>43831.0</v>
      </c>
      <c r="J92" t="n" s="8440">
        <v>44196.0</v>
      </c>
      <c r="K92" t="s" s="6547">
        <v>0</v>
      </c>
      <c r="L92" t="n" s="6548">
        <v>1800.0</v>
      </c>
      <c r="M92" t="n" s="6549">
        <v>0.0</v>
      </c>
      <c r="N92" t="n" s="6550">
        <v>0.0</v>
      </c>
      <c r="O92" t="n" s="6551">
        <f>M92*N92</f>
      </c>
      <c r="P92" t="n" s="6552">
        <v>0.0</v>
      </c>
      <c r="Q92" t="n" s="6553">
        <v>0.0</v>
      </c>
      <c r="R92" t="n" s="6554">
        <f>P92*Q92</f>
      </c>
      <c r="S92" t="n" s="6555">
        <f>L92+O92+R92</f>
      </c>
      <c r="T92" t="n" s="6556">
        <v>0.0</v>
      </c>
      <c r="U92" t="n" s="6557">
        <v>0.0</v>
      </c>
      <c r="V92" t="n" s="6558">
        <v>0.0</v>
      </c>
      <c r="W92" t="n" s="6559">
        <v>0.0</v>
      </c>
      <c r="X92" t="n" s="6560">
        <f>s92+t92+u92+w92</f>
      </c>
      <c r="Y92" t="n" s="6561">
        <v>4.0</v>
      </c>
      <c r="Z92" t="n" s="6562">
        <v>51.92</v>
      </c>
      <c r="AA92" t="n" s="6563">
        <v>0.0</v>
      </c>
      <c r="AB92" t="n" s="6564">
        <v>0.0</v>
      </c>
      <c r="AC92" t="n" s="6565">
        <v>0.0</v>
      </c>
      <c r="AD92" t="n" s="6566">
        <v>0.0</v>
      </c>
      <c r="AE92" t="n" s="6567">
        <f>y92+aa92+ac92</f>
      </c>
      <c r="AF92" t="n" s="6568">
        <f>z92+ab92+ad92</f>
      </c>
      <c r="AG92" t="n" s="6569">
        <v>247.0</v>
      </c>
      <c r="AH92" t="n" s="6570">
        <v>34.15</v>
      </c>
      <c r="AI92" t="n" s="6571">
        <v>3.9</v>
      </c>
      <c r="AJ92" t="n" s="6572">
        <f>x92+af92+ag92+ah92+ai92</f>
      </c>
      <c r="AK92" t="n" s="6573">
        <f>ROUND((l92+t92+af92+ag92+ah92+ai92+w92)*0.05,2)</f>
      </c>
      <c r="AL92" t="n" s="6574">
        <f>aj92+ak92</f>
      </c>
      <c r="AM92" t="n" s="6575">
        <f>80*0.06</f>
      </c>
      <c r="AN92" t="n" s="6576">
        <f>al92+am92</f>
      </c>
      <c r="AO92" t="s" s="6577">
        <v>0</v>
      </c>
    </row>
    <row r="93">
      <c r="A93" t="s" s="6578">
        <v>470</v>
      </c>
      <c r="B93" t="s" s="6579">
        <v>471</v>
      </c>
      <c r="C93" t="s" s="6580">
        <v>472</v>
      </c>
      <c r="D93" t="s" s="6581">
        <v>473</v>
      </c>
      <c r="E93" t="s" s="6582">
        <v>55</v>
      </c>
      <c r="F93" t="s" s="8095">
        <v>474</v>
      </c>
      <c r="G93" t="s" s="6584">
        <v>425</v>
      </c>
      <c r="H93" t="s" s="6585">
        <v>426</v>
      </c>
      <c r="I93" t="n" s="8441">
        <v>43831.0</v>
      </c>
      <c r="J93" t="n" s="8442">
        <v>44196.0</v>
      </c>
      <c r="K93" t="s" s="6588">
        <v>0</v>
      </c>
      <c r="L93" t="n" s="6589">
        <v>1100.0</v>
      </c>
      <c r="M93" t="n" s="6590">
        <v>0.0</v>
      </c>
      <c r="N93" t="n" s="6591">
        <v>0.0</v>
      </c>
      <c r="O93" t="n" s="6592">
        <f>M93*N93</f>
      </c>
      <c r="P93" t="n" s="6593">
        <v>0.0</v>
      </c>
      <c r="Q93" t="n" s="6594">
        <v>0.0</v>
      </c>
      <c r="R93" t="n" s="6595">
        <f>P93*Q93</f>
      </c>
      <c r="S93" t="n" s="6596">
        <f>L93+O93+R93</f>
      </c>
      <c r="T93" t="n" s="6597">
        <v>0.0</v>
      </c>
      <c r="U93" t="n" s="6598">
        <v>0.0</v>
      </c>
      <c r="V93" t="n" s="6599">
        <v>0.0</v>
      </c>
      <c r="W93" t="n" s="6600">
        <v>0.0</v>
      </c>
      <c r="X93" t="n" s="6601">
        <f>s93+t93+u93+w93</f>
      </c>
      <c r="Y93" t="n" s="6602">
        <v>7.0</v>
      </c>
      <c r="Z93" t="n" s="6603">
        <v>55.51</v>
      </c>
      <c r="AA93" t="n" s="6604">
        <v>0.0</v>
      </c>
      <c r="AB93" t="n" s="6605">
        <v>0.0</v>
      </c>
      <c r="AC93" t="n" s="6606">
        <v>0.0</v>
      </c>
      <c r="AD93" t="n" s="6607">
        <v>0.0</v>
      </c>
      <c r="AE93" t="n" s="6608">
        <f>y93+aa93+ac93</f>
      </c>
      <c r="AF93" t="n" s="6609">
        <f>z93+ab93+ad93</f>
      </c>
      <c r="AG93" t="n" s="6610">
        <v>156.0</v>
      </c>
      <c r="AH93" t="n" s="6611">
        <v>21.85</v>
      </c>
      <c r="AI93" t="n" s="6612">
        <v>2.5</v>
      </c>
      <c r="AJ93" t="n" s="6613">
        <f>x93+af93+ag93+ah93+ai93</f>
      </c>
      <c r="AK93" t="n" s="6614">
        <f>ROUND((l93+t93+af93+ag93+ah93+ai93+w93)*0.05,2)</f>
      </c>
      <c r="AL93" t="n" s="6615">
        <f>aj93+ak93</f>
      </c>
      <c r="AM93" t="n" s="6616">
        <f>80*0.06</f>
      </c>
      <c r="AN93" t="n" s="6617">
        <f>al93+am93</f>
      </c>
      <c r="AO93" t="s" s="6618">
        <v>0</v>
      </c>
    </row>
    <row r="94">
      <c r="A94" t="s" s="6619">
        <v>475</v>
      </c>
      <c r="B94" t="s" s="6620">
        <v>476</v>
      </c>
      <c r="C94" t="s" s="6621">
        <v>477</v>
      </c>
      <c r="D94" t="s" s="6622">
        <v>478</v>
      </c>
      <c r="E94" t="s" s="6623">
        <v>55</v>
      </c>
      <c r="F94" t="s" s="8096">
        <v>479</v>
      </c>
      <c r="G94" t="s" s="6625">
        <v>425</v>
      </c>
      <c r="H94" t="s" s="6626">
        <v>426</v>
      </c>
      <c r="I94" t="n" s="8443">
        <v>43831.0</v>
      </c>
      <c r="J94" t="n" s="8444">
        <v>44196.0</v>
      </c>
      <c r="K94" t="s" s="6629">
        <v>0</v>
      </c>
      <c r="L94" t="n" s="6630">
        <v>1240.0</v>
      </c>
      <c r="M94" t="n" s="6631">
        <v>0.0</v>
      </c>
      <c r="N94" t="n" s="6632">
        <v>0.0</v>
      </c>
      <c r="O94" t="n" s="6633">
        <f>M94*N94</f>
      </c>
      <c r="P94" t="n" s="6634">
        <v>0.0</v>
      </c>
      <c r="Q94" t="n" s="6635">
        <v>0.0</v>
      </c>
      <c r="R94" t="n" s="6636">
        <f>P94*Q94</f>
      </c>
      <c r="S94" t="n" s="6637">
        <f>L94+O94+R94</f>
      </c>
      <c r="T94" t="n" s="6638">
        <v>0.0</v>
      </c>
      <c r="U94" t="n" s="6639">
        <v>0.0</v>
      </c>
      <c r="V94" t="n" s="6640">
        <v>0.0</v>
      </c>
      <c r="W94" t="n" s="6641">
        <v>880.0</v>
      </c>
      <c r="X94" t="n" s="6642">
        <f>s94+t94+u94+w94</f>
      </c>
      <c r="Y94" t="n" s="6643">
        <v>7.0</v>
      </c>
      <c r="Z94" t="n" s="6644">
        <v>62.58</v>
      </c>
      <c r="AA94" t="n" s="6645">
        <v>0.0</v>
      </c>
      <c r="AB94" t="n" s="6646">
        <v>0.0</v>
      </c>
      <c r="AC94" t="n" s="6647">
        <v>0.0</v>
      </c>
      <c r="AD94" t="n" s="6648">
        <v>0.0</v>
      </c>
      <c r="AE94" t="n" s="6649">
        <f>y94+aa94+ac94</f>
      </c>
      <c r="AF94" t="n" s="6650">
        <f>z94+ab94+ad94</f>
      </c>
      <c r="AG94" t="n" s="6651">
        <v>289.0</v>
      </c>
      <c r="AH94" t="n" s="6652">
        <v>39.35</v>
      </c>
      <c r="AI94" t="n" s="6653">
        <v>4.5</v>
      </c>
      <c r="AJ94" t="n" s="6654">
        <f>x94+af94+ag94+ah94+ai94</f>
      </c>
      <c r="AK94" t="n" s="6655">
        <f>ROUND((l94+t94+af94+ag94+ah94+ai94+w94)*0.05,2)</f>
      </c>
      <c r="AL94" t="n" s="6656">
        <f>aj94+ak94</f>
      </c>
      <c r="AM94" t="n" s="6657">
        <f>80*0.06</f>
      </c>
      <c r="AN94" t="n" s="6658">
        <f>al94+am94</f>
      </c>
      <c r="AO94" t="s" s="6659">
        <v>0</v>
      </c>
    </row>
    <row r="95">
      <c r="A95" t="s" s="6660">
        <v>480</v>
      </c>
      <c r="B95" t="s" s="6661">
        <v>481</v>
      </c>
      <c r="C95" t="s" s="6662">
        <v>482</v>
      </c>
      <c r="D95" t="s" s="6663">
        <v>483</v>
      </c>
      <c r="E95" t="s" s="6664">
        <v>55</v>
      </c>
      <c r="F95" t="s" s="8097">
        <v>484</v>
      </c>
      <c r="G95" t="s" s="6666">
        <v>105</v>
      </c>
      <c r="H95" t="s" s="6667">
        <v>485</v>
      </c>
      <c r="I95" t="n" s="8445">
        <v>43831.0</v>
      </c>
      <c r="J95" t="n" s="8446">
        <v>44196.0</v>
      </c>
      <c r="K95" t="s" s="6670">
        <v>0</v>
      </c>
      <c r="L95" t="n" s="6671">
        <v>1770.0</v>
      </c>
      <c r="M95" t="n" s="6672">
        <v>0.0</v>
      </c>
      <c r="N95" t="n" s="6673">
        <v>0.0</v>
      </c>
      <c r="O95" t="n" s="6674">
        <f>M95*N95</f>
      </c>
      <c r="P95" t="n" s="6675">
        <v>0.0</v>
      </c>
      <c r="Q95" t="n" s="6676">
        <v>0.0</v>
      </c>
      <c r="R95" t="n" s="6677">
        <f>P95*Q95</f>
      </c>
      <c r="S95" t="n" s="6678">
        <f>L95+O95+R95</f>
      </c>
      <c r="T95" t="n" s="6679">
        <v>0.0</v>
      </c>
      <c r="U95" t="n" s="6680">
        <v>16.8</v>
      </c>
      <c r="V95" t="n" s="6681">
        <v>0.0</v>
      </c>
      <c r="W95" t="n" s="6682">
        <v>1250.0</v>
      </c>
      <c r="X95" t="n" s="6683">
        <f>s95+t95+u95+w95</f>
      </c>
      <c r="Y95" t="n" s="6684">
        <v>17.0</v>
      </c>
      <c r="Z95" t="n" s="6685">
        <v>216.92</v>
      </c>
      <c r="AA95" t="n" s="6686">
        <v>0.0</v>
      </c>
      <c r="AB95" t="n" s="6687">
        <v>0.0</v>
      </c>
      <c r="AC95" t="n" s="6688">
        <v>1.0</v>
      </c>
      <c r="AD95" t="n" s="6689">
        <v>25.53</v>
      </c>
      <c r="AE95" t="n" s="6690">
        <f>y95+aa95+ac95</f>
      </c>
      <c r="AF95" t="n" s="6691">
        <f>z95+ab95+ad95</f>
      </c>
      <c r="AG95" t="n" s="6692">
        <v>414.0</v>
      </c>
      <c r="AH95" t="n" s="6693">
        <v>60.35</v>
      </c>
      <c r="AI95" t="n" s="6694">
        <v>6.9</v>
      </c>
      <c r="AJ95" t="n" s="6695">
        <f>x95+af95+ag95+ah95+ai95</f>
      </c>
      <c r="AK95" t="n" s="6696">
        <f>ROUND((l95+t95+af95+ag95+ah95+ai95+w95)*0.05,2)</f>
      </c>
      <c r="AL95" t="n" s="6697">
        <f>aj95+ak95</f>
      </c>
      <c r="AM95" t="n" s="6698">
        <f>96.8*0.06</f>
      </c>
      <c r="AN95" t="n" s="6699">
        <f>al95+am95</f>
      </c>
      <c r="AO95" t="s" s="6700">
        <v>0</v>
      </c>
    </row>
    <row r="96">
      <c r="A96" t="s" s="6701">
        <v>486</v>
      </c>
      <c r="B96" t="s" s="6702">
        <v>487</v>
      </c>
      <c r="C96" t="s" s="6703">
        <v>488</v>
      </c>
      <c r="D96" t="s" s="6704">
        <v>489</v>
      </c>
      <c r="E96" t="s" s="6705">
        <v>55</v>
      </c>
      <c r="F96" t="s" s="8098">
        <v>490</v>
      </c>
      <c r="G96" t="s" s="6707">
        <v>105</v>
      </c>
      <c r="H96" t="s" s="6708">
        <v>485</v>
      </c>
      <c r="I96" t="n" s="8447">
        <v>43831.0</v>
      </c>
      <c r="J96" t="n" s="8448">
        <v>44196.0</v>
      </c>
      <c r="K96" t="s" s="6711">
        <v>0</v>
      </c>
      <c r="L96" t="n" s="6712">
        <v>1460.0</v>
      </c>
      <c r="M96" t="n" s="6713">
        <v>0.0</v>
      </c>
      <c r="N96" t="n" s="6714">
        <v>0.0</v>
      </c>
      <c r="O96" t="n" s="6715">
        <f>M96*N96</f>
      </c>
      <c r="P96" t="n" s="6716">
        <v>0.0</v>
      </c>
      <c r="Q96" t="n" s="6717">
        <v>0.0</v>
      </c>
      <c r="R96" t="n" s="6718">
        <f>P96*Q96</f>
      </c>
      <c r="S96" t="n" s="6719">
        <f>L96+O96+R96</f>
      </c>
      <c r="T96" t="n" s="6720">
        <v>0.0</v>
      </c>
      <c r="U96" t="n" s="6721">
        <v>0.0</v>
      </c>
      <c r="V96" t="n" s="6722">
        <v>0.0</v>
      </c>
      <c r="W96" t="n" s="6723">
        <v>1500.0</v>
      </c>
      <c r="X96" t="n" s="6724">
        <f>s96+t96+u96+w96</f>
      </c>
      <c r="Y96" t="n" s="6725">
        <v>12.0</v>
      </c>
      <c r="Z96" t="n" s="6726">
        <v>126.36</v>
      </c>
      <c r="AA96" t="n" s="6727">
        <v>0.0</v>
      </c>
      <c r="AB96" t="n" s="6728">
        <v>0.0</v>
      </c>
      <c r="AC96" t="n" s="6729">
        <v>2.0</v>
      </c>
      <c r="AD96" t="n" s="6730">
        <v>42.12</v>
      </c>
      <c r="AE96" t="n" s="6731">
        <f>y96+aa96+ac96</f>
      </c>
      <c r="AF96" t="n" s="6732">
        <f>z96+ab96+ad96</f>
      </c>
      <c r="AG96" t="n" s="6733">
        <v>406.0</v>
      </c>
      <c r="AH96" t="n" s="6734">
        <v>56.85</v>
      </c>
      <c r="AI96" t="n" s="6735">
        <v>6.5</v>
      </c>
      <c r="AJ96" t="n" s="6736">
        <f>x96+af96+ag96+ah96+ai96</f>
      </c>
      <c r="AK96" t="n" s="6737">
        <f>ROUND((l96+t96+af96+ag96+ah96+ai96+w96)*0.05,2)</f>
      </c>
      <c r="AL96" t="n" s="6738">
        <f>aj96+ak96</f>
      </c>
      <c r="AM96" t="n" s="6739">
        <f>80*0.06</f>
      </c>
      <c r="AN96" t="n" s="6740">
        <f>al96+am96</f>
      </c>
      <c r="AO96" t="s" s="6741">
        <v>0</v>
      </c>
    </row>
    <row r="97">
      <c r="A97" t="s" s="6742">
        <v>491</v>
      </c>
      <c r="B97" t="s" s="6743">
        <v>492</v>
      </c>
      <c r="C97" t="s" s="6744">
        <v>493</v>
      </c>
      <c r="D97" t="s" s="6745">
        <v>494</v>
      </c>
      <c r="E97" t="s" s="6746">
        <v>55</v>
      </c>
      <c r="F97" t="s" s="8099">
        <v>495</v>
      </c>
      <c r="G97" t="s" s="6748">
        <v>105</v>
      </c>
      <c r="H97" t="s" s="6749">
        <v>485</v>
      </c>
      <c r="I97" t="n" s="8449">
        <v>43831.0</v>
      </c>
      <c r="J97" t="n" s="8450">
        <v>44196.0</v>
      </c>
      <c r="K97" t="s" s="6752">
        <v>0</v>
      </c>
      <c r="L97" t="n" s="6753">
        <v>1830.0</v>
      </c>
      <c r="M97" t="n" s="6754">
        <v>0.0</v>
      </c>
      <c r="N97" t="n" s="6755">
        <v>0.0</v>
      </c>
      <c r="O97" t="n" s="6756">
        <f>M97*N97</f>
      </c>
      <c r="P97" t="n" s="6757">
        <v>0.0</v>
      </c>
      <c r="Q97" t="n" s="6758">
        <v>0.0</v>
      </c>
      <c r="R97" t="n" s="6759">
        <f>P97*Q97</f>
      </c>
      <c r="S97" t="n" s="6760">
        <f>L97+O97+R97</f>
      </c>
      <c r="T97" t="n" s="6761">
        <v>0.0</v>
      </c>
      <c r="U97" t="n" s="6762">
        <v>0.0</v>
      </c>
      <c r="V97" t="n" s="6763">
        <v>0.0</v>
      </c>
      <c r="W97" t="n" s="6764">
        <v>1500.0</v>
      </c>
      <c r="X97" t="n" s="6765">
        <f>s97+t97+u97+w97</f>
      </c>
      <c r="Y97" t="n" s="6766">
        <v>10.0</v>
      </c>
      <c r="Z97" t="n" s="6767">
        <v>132.0</v>
      </c>
      <c r="AA97" t="n" s="6768">
        <v>0.0</v>
      </c>
      <c r="AB97" t="n" s="6769">
        <v>0.0</v>
      </c>
      <c r="AC97" t="n" s="6770">
        <v>0.0</v>
      </c>
      <c r="AD97" t="n" s="6771">
        <v>0.0</v>
      </c>
      <c r="AE97" t="n" s="6772">
        <f>y97+aa97+ac97</f>
      </c>
      <c r="AF97" t="n" s="6773">
        <f>z97+ab97+ad97</f>
      </c>
      <c r="AG97" t="n" s="6774">
        <v>455.0</v>
      </c>
      <c r="AH97" t="n" s="6775">
        <v>63.85</v>
      </c>
      <c r="AI97" t="n" s="6776">
        <v>7.3</v>
      </c>
      <c r="AJ97" t="n" s="6777">
        <f>x97+af97+ag97+ah97+ai97</f>
      </c>
      <c r="AK97" t="n" s="6778">
        <f>ROUND((l97+t97+af97+ag97+ah97+ai97+w97)*0.05,2)</f>
      </c>
      <c r="AL97" t="n" s="6779">
        <f>aj97+ak97</f>
      </c>
      <c r="AM97" t="n" s="6780">
        <f>80*0.06</f>
      </c>
      <c r="AN97" t="n" s="6781">
        <f>al97+am97</f>
      </c>
      <c r="AO97" t="s" s="6782">
        <v>0</v>
      </c>
    </row>
    <row r="98">
      <c r="A98" t="s" s="6783">
        <v>496</v>
      </c>
      <c r="B98" t="s" s="6784">
        <v>497</v>
      </c>
      <c r="C98" t="s" s="6785">
        <v>498</v>
      </c>
      <c r="D98" t="s" s="6786">
        <v>499</v>
      </c>
      <c r="E98" t="s" s="6787">
        <v>55</v>
      </c>
      <c r="F98" t="s" s="8100">
        <v>500</v>
      </c>
      <c r="G98" t="s" s="6789">
        <v>105</v>
      </c>
      <c r="H98" t="s" s="6790">
        <v>485</v>
      </c>
      <c r="I98" t="n" s="8451">
        <v>43831.0</v>
      </c>
      <c r="J98" t="n" s="8452">
        <v>44196.0</v>
      </c>
      <c r="K98" t="s" s="6793">
        <v>0</v>
      </c>
      <c r="L98" t="n" s="6794">
        <v>1460.0</v>
      </c>
      <c r="M98" t="n" s="6795">
        <v>0.0</v>
      </c>
      <c r="N98" t="n" s="6796">
        <v>0.0</v>
      </c>
      <c r="O98" t="n" s="6797">
        <f>M98*N98</f>
      </c>
      <c r="P98" t="n" s="6798">
        <v>0.0</v>
      </c>
      <c r="Q98" t="n" s="6799">
        <v>0.0</v>
      </c>
      <c r="R98" t="n" s="6800">
        <f>P98*Q98</f>
      </c>
      <c r="S98" t="n" s="6801">
        <f>L98+O98+R98</f>
      </c>
      <c r="T98" t="n" s="6802">
        <v>0.0</v>
      </c>
      <c r="U98" t="n" s="6803">
        <v>0.0</v>
      </c>
      <c r="V98" t="n" s="6804">
        <v>0.0</v>
      </c>
      <c r="W98" t="n" s="6805">
        <v>1500.0</v>
      </c>
      <c r="X98" t="n" s="6806">
        <f>s98+t98+u98+w98</f>
      </c>
      <c r="Y98" t="n" s="6807">
        <v>11.0</v>
      </c>
      <c r="Z98" t="n" s="6808">
        <v>115.83</v>
      </c>
      <c r="AA98" t="n" s="6809">
        <v>0.0</v>
      </c>
      <c r="AB98" t="n" s="6810">
        <v>0.0</v>
      </c>
      <c r="AC98" t="n" s="6811">
        <v>1.0</v>
      </c>
      <c r="AD98" t="n" s="6812">
        <v>21.06</v>
      </c>
      <c r="AE98" t="n" s="6813">
        <f>y98+aa98+ac98</f>
      </c>
      <c r="AF98" t="n" s="6814">
        <f>z98+ab98+ad98</f>
      </c>
      <c r="AG98" t="n" s="6815">
        <v>406.0</v>
      </c>
      <c r="AH98" t="n" s="6816">
        <v>56.85</v>
      </c>
      <c r="AI98" t="n" s="6817">
        <v>6.5</v>
      </c>
      <c r="AJ98" t="n" s="6818">
        <f>x98+af98+ag98+ah98+ai98</f>
      </c>
      <c r="AK98" t="n" s="6819">
        <f>ROUND((l98+t98+af98+ag98+ah98+ai98+w98)*0.05,2)</f>
      </c>
      <c r="AL98" t="n" s="6820">
        <f>aj98+ak98</f>
      </c>
      <c r="AM98" t="n" s="6821">
        <f>80*0.06</f>
      </c>
      <c r="AN98" t="n" s="6822">
        <f>al98+am98</f>
      </c>
      <c r="AO98" t="s" s="6823">
        <v>0</v>
      </c>
    </row>
    <row r="99">
      <c r="A99" t="s" s="6824">
        <v>501</v>
      </c>
      <c r="B99" t="s" s="6825">
        <v>502</v>
      </c>
      <c r="C99" t="s" s="6826">
        <v>503</v>
      </c>
      <c r="D99" t="s" s="6827">
        <v>504</v>
      </c>
      <c r="E99" t="s" s="6828">
        <v>55</v>
      </c>
      <c r="F99" t="s" s="8101">
        <v>505</v>
      </c>
      <c r="G99" t="s" s="6830">
        <v>105</v>
      </c>
      <c r="H99" t="s" s="6831">
        <v>485</v>
      </c>
      <c r="I99" t="n" s="8453">
        <v>43831.0</v>
      </c>
      <c r="J99" t="n" s="8454">
        <v>44196.0</v>
      </c>
      <c r="K99" t="s" s="6834">
        <v>0</v>
      </c>
      <c r="L99" t="n" s="6835">
        <v>1450.0</v>
      </c>
      <c r="M99" t="n" s="6836">
        <v>0.0</v>
      </c>
      <c r="N99" t="n" s="6837">
        <v>0.0</v>
      </c>
      <c r="O99" t="n" s="6838">
        <f>M99*N99</f>
      </c>
      <c r="P99" t="n" s="6839">
        <v>0.0</v>
      </c>
      <c r="Q99" t="n" s="6840">
        <v>0.0</v>
      </c>
      <c r="R99" t="n" s="6841">
        <f>P99*Q99</f>
      </c>
      <c r="S99" t="n" s="6842">
        <f>L99+O99+R99</f>
      </c>
      <c r="T99" t="n" s="6843">
        <v>0.0</v>
      </c>
      <c r="U99" t="n" s="6844">
        <v>0.0</v>
      </c>
      <c r="V99" t="n" s="6845">
        <v>0.0</v>
      </c>
      <c r="W99" t="n" s="6846">
        <v>888.46</v>
      </c>
      <c r="X99" t="n" s="6847">
        <f>s99+t99+u99+w99</f>
      </c>
      <c r="Y99" t="n" s="6848">
        <v>8.0</v>
      </c>
      <c r="Z99" t="n" s="6849">
        <v>83.68</v>
      </c>
      <c r="AA99" t="n" s="6850">
        <v>0.0</v>
      </c>
      <c r="AB99" t="n" s="6851">
        <v>0.0</v>
      </c>
      <c r="AC99" t="n" s="6852">
        <v>0.0</v>
      </c>
      <c r="AD99" t="n" s="6853">
        <v>0.0</v>
      </c>
      <c r="AE99" t="n" s="6854">
        <f>y99+aa99+ac99</f>
      </c>
      <c r="AF99" t="n" s="6855">
        <f>z99+ab99+ad99</f>
      </c>
      <c r="AG99" t="n" s="6856">
        <v>325.0</v>
      </c>
      <c r="AH99" t="n" s="6857">
        <v>44.65</v>
      </c>
      <c r="AI99" t="n" s="6858">
        <v>5.1</v>
      </c>
      <c r="AJ99" t="n" s="6859">
        <f>x99+af99+ag99+ah99+ai99</f>
      </c>
      <c r="AK99" t="n" s="6860">
        <f>ROUND((l99+t99+af99+ag99+ah99+ai99+w99)*0.05,2)</f>
      </c>
      <c r="AL99" t="n" s="6861">
        <f>aj99+ak99</f>
      </c>
      <c r="AM99" t="n" s="6862">
        <f>80*0.06</f>
      </c>
      <c r="AN99" t="n" s="6863">
        <f>al99+am99</f>
      </c>
      <c r="AO99" t="s" s="6864">
        <v>0</v>
      </c>
    </row>
    <row r="100">
      <c r="A100" t="s" s="6865">
        <v>506</v>
      </c>
      <c r="B100" t="s" s="6866">
        <v>507</v>
      </c>
      <c r="C100" t="s" s="6867">
        <v>508</v>
      </c>
      <c r="D100" t="s" s="6868">
        <v>509</v>
      </c>
      <c r="E100" t="s" s="6869">
        <v>55</v>
      </c>
      <c r="F100" t="s" s="8102">
        <v>510</v>
      </c>
      <c r="G100" t="s" s="6871">
        <v>105</v>
      </c>
      <c r="H100" t="s" s="6872">
        <v>485</v>
      </c>
      <c r="I100" t="n" s="8455">
        <v>43831.0</v>
      </c>
      <c r="J100" t="n" s="8456">
        <v>44196.0</v>
      </c>
      <c r="K100" t="s" s="6875">
        <v>0</v>
      </c>
      <c r="L100" t="n" s="6876">
        <v>1400.0</v>
      </c>
      <c r="M100" t="n" s="6877">
        <v>0.0</v>
      </c>
      <c r="N100" t="n" s="6878">
        <v>0.0</v>
      </c>
      <c r="O100" t="n" s="6879">
        <f>M100*N100</f>
      </c>
      <c r="P100" t="n" s="6880">
        <v>0.0</v>
      </c>
      <c r="Q100" t="n" s="6881">
        <v>0.0</v>
      </c>
      <c r="R100" t="n" s="6882">
        <f>P100*Q100</f>
      </c>
      <c r="S100" t="n" s="6883">
        <f>L100+O100+R100</f>
      </c>
      <c r="T100" t="n" s="6884">
        <v>0.0</v>
      </c>
      <c r="U100" t="n" s="6885">
        <v>7.9</v>
      </c>
      <c r="V100" t="n" s="6886">
        <v>0.0</v>
      </c>
      <c r="W100" t="n" s="6887">
        <v>1400.0</v>
      </c>
      <c r="X100" t="n" s="6888">
        <f>s100+t100+u100+w100</f>
      </c>
      <c r="Y100" t="n" s="6889">
        <v>8.0</v>
      </c>
      <c r="Z100" t="n" s="6890">
        <v>80.8</v>
      </c>
      <c r="AA100" t="n" s="6891">
        <v>0.0</v>
      </c>
      <c r="AB100" t="n" s="6892">
        <v>0.0</v>
      </c>
      <c r="AC100" t="n" s="6893">
        <v>0.0</v>
      </c>
      <c r="AD100" t="n" s="6894">
        <v>0.0</v>
      </c>
      <c r="AE100" t="n" s="6895">
        <f>y100+aa100+ac100</f>
      </c>
      <c r="AF100" t="n" s="6896">
        <f>z100+ab100+ad100</f>
      </c>
      <c r="AG100" t="n" s="6897">
        <v>385.0</v>
      </c>
      <c r="AH100" t="n" s="6898">
        <v>53.35</v>
      </c>
      <c r="AI100" t="n" s="6899">
        <v>6.1</v>
      </c>
      <c r="AJ100" t="n" s="6900">
        <f>x100+af100+ag100+ah100+ai100</f>
      </c>
      <c r="AK100" t="n" s="6901">
        <f>ROUND((l100+t100+af100+ag100+ah100+ai100+w100)*0.05,2)</f>
      </c>
      <c r="AL100" t="n" s="6902">
        <f>aj100+ak100</f>
      </c>
      <c r="AM100" t="n" s="6903">
        <f>87.9*0.06</f>
      </c>
      <c r="AN100" t="n" s="6904">
        <f>al100+am100</f>
      </c>
      <c r="AO100" t="s" s="6905">
        <v>0</v>
      </c>
    </row>
    <row r="101">
      <c r="A101" t="s" s="6906">
        <v>511</v>
      </c>
      <c r="B101" t="s" s="6907">
        <v>512</v>
      </c>
      <c r="C101" t="s" s="6908">
        <v>513</v>
      </c>
      <c r="D101" t="s" s="6909">
        <v>514</v>
      </c>
      <c r="E101" t="s" s="6910">
        <v>55</v>
      </c>
      <c r="F101" t="s" s="8103">
        <v>515</v>
      </c>
      <c r="G101" t="s" s="6912">
        <v>516</v>
      </c>
      <c r="H101" t="s" s="6913">
        <v>517</v>
      </c>
      <c r="I101" t="n" s="8457">
        <v>43831.0</v>
      </c>
      <c r="J101" t="n" s="8458">
        <v>44196.0</v>
      </c>
      <c r="K101" t="s" s="6916">
        <v>0</v>
      </c>
      <c r="L101" t="n" s="6917">
        <v>1200.0</v>
      </c>
      <c r="M101" t="n" s="6918">
        <v>0.0</v>
      </c>
      <c r="N101" t="n" s="6919">
        <v>0.0</v>
      </c>
      <c r="O101" t="n" s="6920">
        <f>M101*N101</f>
      </c>
      <c r="P101" t="n" s="6921">
        <v>0.0</v>
      </c>
      <c r="Q101" t="n" s="6922">
        <v>0.0</v>
      </c>
      <c r="R101" t="n" s="6923">
        <f>P101*Q101</f>
      </c>
      <c r="S101" t="n" s="6924">
        <f>L101+O101+R101</f>
      </c>
      <c r="T101" t="n" s="6925">
        <v>0.0</v>
      </c>
      <c r="U101" t="n" s="6926">
        <v>0.0</v>
      </c>
      <c r="V101" t="n" s="6927">
        <v>0.0</v>
      </c>
      <c r="W101" t="n" s="6928">
        <v>600.0</v>
      </c>
      <c r="X101" t="n" s="6929">
        <f>s101+t101+u101+w101</f>
      </c>
      <c r="Y101" t="n" s="6930">
        <v>7.0</v>
      </c>
      <c r="Z101" t="n" s="6931">
        <v>60.55</v>
      </c>
      <c r="AA101" t="n" s="6932">
        <v>0.0</v>
      </c>
      <c r="AB101" t="n" s="6933">
        <v>0.0</v>
      </c>
      <c r="AC101" t="n" s="6934">
        <v>0.0</v>
      </c>
      <c r="AD101" t="n" s="6935">
        <v>0.0</v>
      </c>
      <c r="AE101" t="n" s="6936">
        <f>y101+aa101+ac101</f>
      </c>
      <c r="AF101" t="n" s="6937">
        <f>z101+ab101+ad101</f>
      </c>
      <c r="AG101" t="n" s="6938">
        <v>247.0</v>
      </c>
      <c r="AH101" t="n" s="6939">
        <v>34.15</v>
      </c>
      <c r="AI101" t="n" s="6940">
        <v>3.9</v>
      </c>
      <c r="AJ101" t="n" s="6941">
        <f>x101+af101+ag101+ah101+ai101</f>
      </c>
      <c r="AK101" t="n" s="6942">
        <f>ROUND((l101+t101+af101+ag101+ah101+ai101+w101)*0.05,2)</f>
      </c>
      <c r="AL101" t="n" s="6943">
        <f>aj101+ak101</f>
      </c>
      <c r="AM101" t="n" s="6944">
        <f>80*0.06</f>
      </c>
      <c r="AN101" t="n" s="6945">
        <f>al101+am101</f>
      </c>
      <c r="AO101" t="s" s="6946">
        <v>0</v>
      </c>
    </row>
    <row r="102">
      <c r="A102" t="s" s="6947">
        <v>518</v>
      </c>
      <c r="B102" t="s" s="6948">
        <v>519</v>
      </c>
      <c r="C102" t="s" s="6949">
        <v>520</v>
      </c>
      <c r="D102" t="s" s="6950">
        <v>521</v>
      </c>
      <c r="E102" t="s" s="6951">
        <v>55</v>
      </c>
      <c r="F102" t="s" s="8104">
        <v>522</v>
      </c>
      <c r="G102" t="s" s="6953">
        <v>516</v>
      </c>
      <c r="H102" t="s" s="6954">
        <v>517</v>
      </c>
      <c r="I102" t="n" s="8459">
        <v>43831.0</v>
      </c>
      <c r="J102" t="n" s="8460">
        <v>44196.0</v>
      </c>
      <c r="K102" t="s" s="6957">
        <v>0</v>
      </c>
      <c r="L102" t="n" s="6958">
        <v>1340.0</v>
      </c>
      <c r="M102" t="n" s="6959">
        <v>0.0</v>
      </c>
      <c r="N102" t="n" s="6960">
        <v>0.0</v>
      </c>
      <c r="O102" t="n" s="6961">
        <f>M102*N102</f>
      </c>
      <c r="P102" t="n" s="6962">
        <v>0.0</v>
      </c>
      <c r="Q102" t="n" s="6963">
        <v>0.0</v>
      </c>
      <c r="R102" t="n" s="6964">
        <f>P102*Q102</f>
      </c>
      <c r="S102" t="n" s="6965">
        <f>L102+O102+R102</f>
      </c>
      <c r="T102" t="n" s="6966">
        <v>0.0</v>
      </c>
      <c r="U102" t="n" s="6967">
        <v>0.0</v>
      </c>
      <c r="V102" t="n" s="6968">
        <v>0.0</v>
      </c>
      <c r="W102" t="n" s="6969">
        <v>0.0</v>
      </c>
      <c r="X102" t="n" s="6970">
        <f>s102+t102+u102+w102</f>
      </c>
      <c r="Y102" t="n" s="6971">
        <v>0.0</v>
      </c>
      <c r="Z102" t="n" s="6972">
        <v>0.0</v>
      </c>
      <c r="AA102" t="n" s="6973">
        <v>0.0</v>
      </c>
      <c r="AB102" t="n" s="6974">
        <v>0.0</v>
      </c>
      <c r="AC102" t="n" s="6975">
        <v>0.0</v>
      </c>
      <c r="AD102" t="n" s="6976">
        <v>0.0</v>
      </c>
      <c r="AE102" t="n" s="6977">
        <f>y102+aa102+ac102</f>
      </c>
      <c r="AF102" t="n" s="6978">
        <f>z102+ab102+ad102</f>
      </c>
      <c r="AG102" t="n" s="6979">
        <v>188.0</v>
      </c>
      <c r="AH102" t="n" s="6980">
        <v>25.35</v>
      </c>
      <c r="AI102" t="n" s="6981">
        <v>2.9</v>
      </c>
      <c r="AJ102" t="n" s="6982">
        <f>x102+af102+ag102+ah102+ai102</f>
      </c>
      <c r="AK102" t="n" s="6983">
        <f>ROUND((l102+t102+af102+ag102+ah102+ai102+w102)*0.05,2)</f>
      </c>
      <c r="AL102" t="n" s="6984">
        <f>aj102+ak102</f>
      </c>
      <c r="AM102" t="n" s="6985">
        <f>80*0.06</f>
      </c>
      <c r="AN102" t="n" s="6986">
        <f>al102+am102</f>
      </c>
      <c r="AO102" t="s" s="6987">
        <v>0</v>
      </c>
    </row>
    <row r="103">
      <c r="A103" t="s" s="6988">
        <v>523</v>
      </c>
      <c r="B103" t="s" s="6989">
        <v>524</v>
      </c>
      <c r="C103" t="s" s="6990">
        <v>525</v>
      </c>
      <c r="D103" t="s" s="6991">
        <v>526</v>
      </c>
      <c r="E103" t="s" s="6992">
        <v>55</v>
      </c>
      <c r="F103" t="s" s="8105">
        <v>527</v>
      </c>
      <c r="G103" t="s" s="6994">
        <v>516</v>
      </c>
      <c r="H103" t="s" s="6995">
        <v>517</v>
      </c>
      <c r="I103" t="n" s="8461">
        <v>43831.0</v>
      </c>
      <c r="J103" t="n" s="8462">
        <v>44196.0</v>
      </c>
      <c r="K103" t="s" s="6998">
        <v>0</v>
      </c>
      <c r="L103" t="n" s="6999">
        <v>1300.0</v>
      </c>
      <c r="M103" t="n" s="7000">
        <v>0.0</v>
      </c>
      <c r="N103" t="n" s="7001">
        <v>0.0</v>
      </c>
      <c r="O103" t="n" s="7002">
        <f>M103*N103</f>
      </c>
      <c r="P103" t="n" s="7003">
        <v>0.0</v>
      </c>
      <c r="Q103" t="n" s="7004">
        <v>0.0</v>
      </c>
      <c r="R103" t="n" s="7005">
        <f>P103*Q103</f>
      </c>
      <c r="S103" t="n" s="7006">
        <f>L103+O103+R103</f>
      </c>
      <c r="T103" t="n" s="7007">
        <v>0.0</v>
      </c>
      <c r="U103" t="n" s="7008">
        <v>0.0</v>
      </c>
      <c r="V103" t="n" s="7009">
        <v>0.0</v>
      </c>
      <c r="W103" t="n" s="7010">
        <v>1080.0</v>
      </c>
      <c r="X103" t="n" s="7011">
        <f>s103+t103+u103+w103</f>
      </c>
      <c r="Y103" t="n" s="7012">
        <v>6.0</v>
      </c>
      <c r="Z103" t="n" s="7013">
        <v>56.28</v>
      </c>
      <c r="AA103" t="n" s="7014">
        <v>0.0</v>
      </c>
      <c r="AB103" t="n" s="7015">
        <v>0.0</v>
      </c>
      <c r="AC103" t="n" s="7016">
        <v>0.0</v>
      </c>
      <c r="AD103" t="n" s="7017">
        <v>0.0</v>
      </c>
      <c r="AE103" t="n" s="7018">
        <f>y103+aa103+ac103</f>
      </c>
      <c r="AF103" t="n" s="7019">
        <f>z103+ab103+ad103</f>
      </c>
      <c r="AG103" t="n" s="7020">
        <v>323.0</v>
      </c>
      <c r="AH103" t="n" s="7021">
        <v>44.65</v>
      </c>
      <c r="AI103" t="n" s="7022">
        <v>5.1</v>
      </c>
      <c r="AJ103" t="n" s="7023">
        <f>x103+af103+ag103+ah103+ai103</f>
      </c>
      <c r="AK103" t="n" s="7024">
        <f>ROUND((l103+t103+af103+ag103+ah103+ai103+w103)*0.05,2)</f>
      </c>
      <c r="AL103" t="n" s="7025">
        <f>aj103+ak103</f>
      </c>
      <c r="AM103" t="n" s="7026">
        <f>80*0.06</f>
      </c>
      <c r="AN103" t="n" s="7027">
        <f>al103+am103</f>
      </c>
      <c r="AO103" t="s" s="7028">
        <v>0</v>
      </c>
    </row>
    <row r="104">
      <c r="A104" t="s" s="7029">
        <v>528</v>
      </c>
      <c r="B104" t="s" s="7030">
        <v>529</v>
      </c>
      <c r="C104" t="s" s="7031">
        <v>530</v>
      </c>
      <c r="D104" t="s" s="7032">
        <v>531</v>
      </c>
      <c r="E104" t="s" s="7033">
        <v>55</v>
      </c>
      <c r="F104" t="s" s="8106">
        <v>532</v>
      </c>
      <c r="G104" t="s" s="7035">
        <v>516</v>
      </c>
      <c r="H104" t="s" s="7036">
        <v>517</v>
      </c>
      <c r="I104" t="n" s="8463">
        <v>43831.0</v>
      </c>
      <c r="J104" t="n" s="8464">
        <v>44196.0</v>
      </c>
      <c r="K104" t="s" s="7039">
        <v>0</v>
      </c>
      <c r="L104" t="n" s="7040">
        <v>1290.0</v>
      </c>
      <c r="M104" t="n" s="7041">
        <v>0.0</v>
      </c>
      <c r="N104" t="n" s="7042">
        <v>0.0</v>
      </c>
      <c r="O104" t="n" s="7043">
        <f>M104*N104</f>
      </c>
      <c r="P104" t="n" s="7044">
        <v>0.0</v>
      </c>
      <c r="Q104" t="n" s="7045">
        <v>0.0</v>
      </c>
      <c r="R104" t="n" s="7046">
        <f>P104*Q104</f>
      </c>
      <c r="S104" t="n" s="7047">
        <f>L104+O104+R104</f>
      </c>
      <c r="T104" t="n" s="7048">
        <v>0.0</v>
      </c>
      <c r="U104" t="n" s="7049">
        <v>0.0</v>
      </c>
      <c r="V104" t="n" s="7050">
        <v>0.0</v>
      </c>
      <c r="W104" t="n" s="7051">
        <v>880.0</v>
      </c>
      <c r="X104" t="n" s="7052">
        <f>s104+t104+u104+w104</f>
      </c>
      <c r="Y104" t="n" s="7053">
        <v>0.0</v>
      </c>
      <c r="Z104" t="n" s="7054">
        <v>0.0</v>
      </c>
      <c r="AA104" t="n" s="7055">
        <v>0.0</v>
      </c>
      <c r="AB104" t="n" s="7056">
        <v>0.0</v>
      </c>
      <c r="AC104" t="n" s="7057">
        <v>0.0</v>
      </c>
      <c r="AD104" t="n" s="7058">
        <v>0.0</v>
      </c>
      <c r="AE104" t="n" s="7059">
        <f>y104+aa104+ac104</f>
      </c>
      <c r="AF104" t="n" s="7060">
        <f>z104+ab104+ad104</f>
      </c>
      <c r="AG104" t="n" s="7061">
        <v>305.0</v>
      </c>
      <c r="AH104" t="n" s="7062">
        <v>41.15</v>
      </c>
      <c r="AI104" t="n" s="7063">
        <v>4.7</v>
      </c>
      <c r="AJ104" t="n" s="7064">
        <f>x104+af104+ag104+ah104+ai104</f>
      </c>
      <c r="AK104" t="n" s="7065">
        <f>ROUND((l104+t104+af104+ag104+ah104+ai104+w104)*0.05,2)</f>
      </c>
      <c r="AL104" t="n" s="7066">
        <f>aj104+ak104</f>
      </c>
      <c r="AM104" t="n" s="7067">
        <f>80*0.06</f>
      </c>
      <c r="AN104" t="n" s="7068">
        <f>al104+am104</f>
      </c>
      <c r="AO104" t="s" s="7069">
        <v>0</v>
      </c>
    </row>
    <row r="105">
      <c r="A105" t="s" s="7070">
        <v>533</v>
      </c>
      <c r="B105" t="s" s="7071">
        <v>534</v>
      </c>
      <c r="C105" t="s" s="7072">
        <v>535</v>
      </c>
      <c r="D105" t="s" s="7073">
        <v>536</v>
      </c>
      <c r="E105" t="s" s="7074">
        <v>55</v>
      </c>
      <c r="F105" t="s" s="8107">
        <v>537</v>
      </c>
      <c r="G105" t="s" s="7076">
        <v>516</v>
      </c>
      <c r="H105" t="s" s="7077">
        <v>517</v>
      </c>
      <c r="I105" t="n" s="8465">
        <v>43831.0</v>
      </c>
      <c r="J105" t="n" s="8466">
        <v>44196.0</v>
      </c>
      <c r="K105" t="s" s="7080">
        <v>0</v>
      </c>
      <c r="L105" t="n" s="7081">
        <v>1270.0</v>
      </c>
      <c r="M105" t="n" s="7082">
        <v>0.0</v>
      </c>
      <c r="N105" t="n" s="7083">
        <v>0.0</v>
      </c>
      <c r="O105" t="n" s="7084">
        <f>M105*N105</f>
      </c>
      <c r="P105" t="n" s="7085">
        <v>0.0</v>
      </c>
      <c r="Q105" t="n" s="7086">
        <v>0.0</v>
      </c>
      <c r="R105" t="n" s="7087">
        <f>P105*Q105</f>
      </c>
      <c r="S105" t="n" s="7088">
        <f>L105+O105+R105</f>
      </c>
      <c r="T105" t="n" s="7089">
        <v>0.0</v>
      </c>
      <c r="U105" t="n" s="7090">
        <v>0.0</v>
      </c>
      <c r="V105" t="n" s="7091">
        <v>0.0</v>
      </c>
      <c r="W105" t="n" s="7092">
        <v>700.0</v>
      </c>
      <c r="X105" t="n" s="7093">
        <f>s105+t105+u105+w105</f>
      </c>
      <c r="Y105" t="n" s="7094">
        <v>8.0</v>
      </c>
      <c r="Z105" t="n" s="7095">
        <v>73.28</v>
      </c>
      <c r="AA105" t="n" s="7096">
        <v>0.0</v>
      </c>
      <c r="AB105" t="n" s="7097">
        <v>0.0</v>
      </c>
      <c r="AC105" t="n" s="7098">
        <v>0.0</v>
      </c>
      <c r="AD105" t="n" s="7099">
        <v>0.0</v>
      </c>
      <c r="AE105" t="n" s="7100">
        <f>y105+aa105+ac105</f>
      </c>
      <c r="AF105" t="n" s="7101">
        <f>z105+ab105+ad105</f>
      </c>
      <c r="AG105" t="n" s="7102">
        <v>279.0</v>
      </c>
      <c r="AH105" t="n" s="7103">
        <v>39.35</v>
      </c>
      <c r="AI105" t="n" s="7104">
        <v>4.5</v>
      </c>
      <c r="AJ105" t="n" s="7105">
        <f>x105+af105+ag105+ah105+ai105</f>
      </c>
      <c r="AK105" t="n" s="7106">
        <f>ROUND((l105+t105+af105+ag105+ah105+ai105+w105)*0.05,2)</f>
      </c>
      <c r="AL105" t="n" s="7107">
        <f>aj105+ak105</f>
      </c>
      <c r="AM105" t="n" s="7108">
        <f>80*0.06</f>
      </c>
      <c r="AN105" t="n" s="7109">
        <f>al105+am105</f>
      </c>
      <c r="AO105" t="s" s="7110">
        <v>0</v>
      </c>
    </row>
    <row r="106">
      <c r="A106" t="s" s="7111">
        <v>538</v>
      </c>
      <c r="B106" t="s" s="7112">
        <v>539</v>
      </c>
      <c r="C106" t="s" s="7113">
        <v>540</v>
      </c>
      <c r="D106" t="s" s="7114">
        <v>541</v>
      </c>
      <c r="E106" t="s" s="7115">
        <v>542</v>
      </c>
      <c r="F106" t="s" s="8108">
        <v>543</v>
      </c>
      <c r="G106" t="s" s="7117">
        <v>516</v>
      </c>
      <c r="H106" t="s" s="7118">
        <v>517</v>
      </c>
      <c r="I106" t="n" s="8467">
        <v>43831.0</v>
      </c>
      <c r="J106" t="n" s="8468">
        <v>44196.0</v>
      </c>
      <c r="K106" t="s" s="7121">
        <v>0</v>
      </c>
      <c r="L106" t="n" s="7122">
        <v>3600.0</v>
      </c>
      <c r="M106" t="n" s="7123">
        <v>0.0</v>
      </c>
      <c r="N106" t="n" s="7124">
        <v>0.0</v>
      </c>
      <c r="O106" t="n" s="7125">
        <f>M106*N106</f>
      </c>
      <c r="P106" t="n" s="7126">
        <v>0.0</v>
      </c>
      <c r="Q106" t="n" s="7127">
        <v>0.0</v>
      </c>
      <c r="R106" t="n" s="7128">
        <f>P106*Q106</f>
      </c>
      <c r="S106" t="n" s="7129">
        <f>L106+O106+R106</f>
      </c>
      <c r="T106" t="n" s="7130">
        <v>0.0</v>
      </c>
      <c r="U106" t="n" s="7131">
        <v>0.0</v>
      </c>
      <c r="V106" t="n" s="7132">
        <v>0.0</v>
      </c>
      <c r="W106" t="n" s="7133">
        <v>300.0</v>
      </c>
      <c r="X106" t="n" s="7134">
        <f>s106+t106+u106+w106</f>
      </c>
      <c r="Y106" t="n" s="7135">
        <v>0.0</v>
      </c>
      <c r="Z106" t="n" s="7136">
        <v>0.0</v>
      </c>
      <c r="AA106" t="n" s="7137">
        <v>0.0</v>
      </c>
      <c r="AB106" t="n" s="7138">
        <v>0.0</v>
      </c>
      <c r="AC106" t="n" s="7139">
        <v>0.0</v>
      </c>
      <c r="AD106" t="n" s="7140">
        <v>0.0</v>
      </c>
      <c r="AE106" t="n" s="7141">
        <f>y106+aa106+ac106</f>
      </c>
      <c r="AF106" t="n" s="7142">
        <f>z106+ab106+ad106</f>
      </c>
      <c r="AG106" t="n" s="7143">
        <v>546.0</v>
      </c>
      <c r="AH106" t="n" s="7144">
        <v>69.05</v>
      </c>
      <c r="AI106" t="n" s="7145">
        <v>7.9</v>
      </c>
      <c r="AJ106" t="n" s="7146">
        <f>x106+af106+ag106+ah106+ai106</f>
      </c>
      <c r="AK106" t="n" s="7147">
        <f>ROUND((l106+t106+af106+ag106+ah106+ai106+w106)*0.05,2)</f>
      </c>
      <c r="AL106" t="n" s="7148">
        <f>aj106+ak106</f>
      </c>
      <c r="AM106" t="n" s="7149">
        <f>80*0.06</f>
      </c>
      <c r="AN106" t="n" s="7150">
        <f>al106+am106</f>
      </c>
      <c r="AO106" t="s" s="7151">
        <v>0</v>
      </c>
    </row>
    <row r="107">
      <c r="A107" t="s" s="7152">
        <v>544</v>
      </c>
      <c r="B107" t="s" s="7153">
        <v>545</v>
      </c>
      <c r="C107" t="s" s="7154">
        <v>546</v>
      </c>
      <c r="D107" t="s" s="7155">
        <v>547</v>
      </c>
      <c r="E107" t="s" s="7156">
        <v>55</v>
      </c>
      <c r="F107" t="s" s="8109">
        <v>543</v>
      </c>
      <c r="G107" t="s" s="7158">
        <v>516</v>
      </c>
      <c r="H107" t="s" s="7159">
        <v>517</v>
      </c>
      <c r="I107" t="n" s="8469">
        <v>43831.0</v>
      </c>
      <c r="J107" t="n" s="8470">
        <v>44196.0</v>
      </c>
      <c r="K107" t="s" s="7162">
        <v>0</v>
      </c>
      <c r="L107" t="n" s="7163">
        <v>1260.0</v>
      </c>
      <c r="M107" t="n" s="7164">
        <v>0.0</v>
      </c>
      <c r="N107" t="n" s="7165">
        <v>0.0</v>
      </c>
      <c r="O107" t="n" s="7166">
        <f>M107*N107</f>
      </c>
      <c r="P107" t="n" s="7167">
        <v>0.0</v>
      </c>
      <c r="Q107" t="n" s="7168">
        <v>0.0</v>
      </c>
      <c r="R107" t="n" s="7169">
        <f>P107*Q107</f>
      </c>
      <c r="S107" t="n" s="7170">
        <f>L107+O107+R107</f>
      </c>
      <c r="T107" t="n" s="7171">
        <v>0.0</v>
      </c>
      <c r="U107" t="n" s="7172">
        <v>0.0</v>
      </c>
      <c r="V107" t="n" s="7173">
        <v>0.0</v>
      </c>
      <c r="W107" t="n" s="7174">
        <v>100.0</v>
      </c>
      <c r="X107" t="n" s="7175">
        <f>s107+t107+u107+w107</f>
      </c>
      <c r="Y107" t="n" s="7176">
        <v>8.0</v>
      </c>
      <c r="Z107" t="n" s="7177">
        <v>72.72</v>
      </c>
      <c r="AA107" t="n" s="7178">
        <v>0.0</v>
      </c>
      <c r="AB107" t="n" s="7179">
        <v>0.0</v>
      </c>
      <c r="AC107" t="n" s="7180">
        <v>0.0</v>
      </c>
      <c r="AD107" t="n" s="7181">
        <v>0.0</v>
      </c>
      <c r="AE107" t="n" s="7182">
        <f>y107+aa107+ac107</f>
      </c>
      <c r="AF107" t="n" s="7183">
        <f>z107+ab107+ad107</f>
      </c>
      <c r="AG107" t="n" s="7184">
        <v>198.0</v>
      </c>
      <c r="AH107" t="n" s="7185">
        <v>27.15</v>
      </c>
      <c r="AI107" t="n" s="7186">
        <v>3.1</v>
      </c>
      <c r="AJ107" t="n" s="7187">
        <f>x107+af107+ag107+ah107+ai107</f>
      </c>
      <c r="AK107" t="n" s="7188">
        <f>ROUND((l107+t107+af107+ag107+ah107+ai107+w107)*0.05,2)</f>
      </c>
      <c r="AL107" t="n" s="7189">
        <f>aj107+ak107</f>
      </c>
      <c r="AM107" t="n" s="7190">
        <f>80*0.06</f>
      </c>
      <c r="AN107" t="n" s="7191">
        <f>al107+am107</f>
      </c>
      <c r="AO107" t="s" s="7192">
        <v>0</v>
      </c>
    </row>
    <row r="108">
      <c r="A108" t="s" s="7193">
        <v>548</v>
      </c>
      <c r="B108" t="s" s="7194">
        <v>549</v>
      </c>
      <c r="C108" t="s" s="7195">
        <v>550</v>
      </c>
      <c r="D108" t="s" s="7196">
        <v>551</v>
      </c>
      <c r="E108" t="s" s="7197">
        <v>55</v>
      </c>
      <c r="F108" t="s" s="8110">
        <v>552</v>
      </c>
      <c r="G108" t="s" s="7199">
        <v>516</v>
      </c>
      <c r="H108" t="s" s="7200">
        <v>517</v>
      </c>
      <c r="I108" t="n" s="8471">
        <v>43831.0</v>
      </c>
      <c r="J108" t="n" s="8472">
        <v>44196.0</v>
      </c>
      <c r="K108" t="s" s="7203">
        <v>0</v>
      </c>
      <c r="L108" t="n" s="7204">
        <v>1460.0</v>
      </c>
      <c r="M108" t="n" s="7205">
        <v>0.0</v>
      </c>
      <c r="N108" t="n" s="7206">
        <v>0.0</v>
      </c>
      <c r="O108" t="n" s="7207">
        <f>M108*N108</f>
      </c>
      <c r="P108" t="n" s="7208">
        <v>0.0</v>
      </c>
      <c r="Q108" t="n" s="7209">
        <v>0.0</v>
      </c>
      <c r="R108" t="n" s="7210">
        <f>P108*Q108</f>
      </c>
      <c r="S108" t="n" s="7211">
        <f>L108+O108+R108</f>
      </c>
      <c r="T108" t="n" s="7212">
        <v>0.0</v>
      </c>
      <c r="U108" t="n" s="7213">
        <v>0.0</v>
      </c>
      <c r="V108" t="n" s="7214">
        <v>0.0</v>
      </c>
      <c r="W108" t="n" s="7215">
        <v>420.0</v>
      </c>
      <c r="X108" t="n" s="7216">
        <f>s108+t108+u108+w108</f>
      </c>
      <c r="Y108" t="n" s="7217">
        <v>2.0</v>
      </c>
      <c r="Z108" t="n" s="7218">
        <v>21.06</v>
      </c>
      <c r="AA108" t="n" s="7219">
        <v>0.0</v>
      </c>
      <c r="AB108" t="n" s="7220">
        <v>0.0</v>
      </c>
      <c r="AC108" t="n" s="7221">
        <v>0.0</v>
      </c>
      <c r="AD108" t="n" s="7222">
        <v>0.0</v>
      </c>
      <c r="AE108" t="n" s="7223">
        <f>y108+aa108+ac108</f>
      </c>
      <c r="AF108" t="n" s="7224">
        <f>z108+ab108+ad108</f>
      </c>
      <c r="AG108" t="n" s="7225">
        <v>266.0</v>
      </c>
      <c r="AH108" t="n" s="7226">
        <v>35.85</v>
      </c>
      <c r="AI108" t="n" s="7227">
        <v>4.1</v>
      </c>
      <c r="AJ108" t="n" s="7228">
        <f>x108+af108+ag108+ah108+ai108</f>
      </c>
      <c r="AK108" t="n" s="7229">
        <f>ROUND((l108+t108+af108+ag108+ah108+ai108+w108)*0.05,2)</f>
      </c>
      <c r="AL108" t="n" s="7230">
        <f>aj108+ak108</f>
      </c>
      <c r="AM108" t="n" s="7231">
        <f>80*0.06</f>
      </c>
      <c r="AN108" t="n" s="7232">
        <f>al108+am108</f>
      </c>
      <c r="AO108" t="s" s="7233">
        <v>0</v>
      </c>
    </row>
    <row r="109">
      <c r="A109" t="s" s="7234">
        <v>553</v>
      </c>
      <c r="B109" t="s" s="7235">
        <v>554</v>
      </c>
      <c r="C109" t="s" s="7236">
        <v>555</v>
      </c>
      <c r="D109" t="s" s="7237">
        <v>556</v>
      </c>
      <c r="E109" t="s" s="7238">
        <v>55</v>
      </c>
      <c r="F109" t="s" s="8111">
        <v>543</v>
      </c>
      <c r="G109" t="s" s="7240">
        <v>516</v>
      </c>
      <c r="H109" t="s" s="7241">
        <v>517</v>
      </c>
      <c r="I109" t="n" s="8473">
        <v>43831.0</v>
      </c>
      <c r="J109" t="n" s="8474">
        <v>44196.0</v>
      </c>
      <c r="K109" t="s" s="7244">
        <v>0</v>
      </c>
      <c r="L109" t="n" s="7245">
        <v>1220.0</v>
      </c>
      <c r="M109" t="n" s="7246">
        <v>0.0</v>
      </c>
      <c r="N109" t="n" s="7247">
        <v>0.0</v>
      </c>
      <c r="O109" t="n" s="7248">
        <f>M109*N109</f>
      </c>
      <c r="P109" t="n" s="7249">
        <v>0.0</v>
      </c>
      <c r="Q109" t="n" s="7250">
        <v>0.0</v>
      </c>
      <c r="R109" t="n" s="7251">
        <f>P109*Q109</f>
      </c>
      <c r="S109" t="n" s="7252">
        <f>L109+O109+R109</f>
      </c>
      <c r="T109" t="n" s="7253">
        <v>0.0</v>
      </c>
      <c r="U109" t="n" s="7254">
        <v>0.0</v>
      </c>
      <c r="V109" t="n" s="7255">
        <v>0.0</v>
      </c>
      <c r="W109" t="n" s="7256">
        <v>850.0</v>
      </c>
      <c r="X109" t="n" s="7257">
        <f>s109+t109+u109+w109</f>
      </c>
      <c r="Y109" t="n" s="7258">
        <v>8.0</v>
      </c>
      <c r="Z109" t="n" s="7259">
        <v>70.4</v>
      </c>
      <c r="AA109" t="n" s="7260">
        <v>0.0</v>
      </c>
      <c r="AB109" t="n" s="7261">
        <v>0.0</v>
      </c>
      <c r="AC109" t="n" s="7262">
        <v>0.0</v>
      </c>
      <c r="AD109" t="n" s="7263">
        <v>0.0</v>
      </c>
      <c r="AE109" t="n" s="7264">
        <f>y109+aa109+ac109</f>
      </c>
      <c r="AF109" t="n" s="7265">
        <f>z109+ab109+ad109</f>
      </c>
      <c r="AG109" t="n" s="7266">
        <v>292.0</v>
      </c>
      <c r="AH109" t="n" s="7267">
        <v>41.15</v>
      </c>
      <c r="AI109" t="n" s="7268">
        <v>4.7</v>
      </c>
      <c r="AJ109" t="n" s="7269">
        <f>x109+af109+ag109+ah109+ai109</f>
      </c>
      <c r="AK109" t="n" s="7270">
        <f>ROUND((l109+t109+af109+ag109+ah109+ai109+w109)*0.05,2)</f>
      </c>
      <c r="AL109" t="n" s="7271">
        <f>aj109+ak109</f>
      </c>
      <c r="AM109" t="n" s="7272">
        <f>80*0.06</f>
      </c>
      <c r="AN109" t="n" s="7273">
        <f>al109+am109</f>
      </c>
      <c r="AO109" t="s" s="7274">
        <v>0</v>
      </c>
    </row>
    <row r="110">
      <c r="A110" t="s" s="7275">
        <v>557</v>
      </c>
      <c r="B110" t="s" s="7276">
        <v>558</v>
      </c>
      <c r="C110" t="s" s="7277">
        <v>559</v>
      </c>
      <c r="D110" t="s" s="7278">
        <v>560</v>
      </c>
      <c r="E110" t="s" s="7279">
        <v>55</v>
      </c>
      <c r="F110" t="s" s="8112">
        <v>561</v>
      </c>
      <c r="G110" t="s" s="7281">
        <v>516</v>
      </c>
      <c r="H110" t="s" s="7282">
        <v>517</v>
      </c>
      <c r="I110" t="n" s="8475">
        <v>43831.0</v>
      </c>
      <c r="J110" t="n" s="8476">
        <v>44196.0</v>
      </c>
      <c r="K110" t="s" s="7285">
        <v>0</v>
      </c>
      <c r="L110" t="n" s="7286">
        <v>1190.0</v>
      </c>
      <c r="M110" t="n" s="7287">
        <v>0.0</v>
      </c>
      <c r="N110" t="n" s="7288">
        <v>0.0</v>
      </c>
      <c r="O110" t="n" s="7289">
        <f>M110*N110</f>
      </c>
      <c r="P110" t="n" s="7290">
        <v>0.0</v>
      </c>
      <c r="Q110" t="n" s="7291">
        <v>0.0</v>
      </c>
      <c r="R110" t="n" s="7292">
        <f>P110*Q110</f>
      </c>
      <c r="S110" t="n" s="7293">
        <f>L110+O110+R110</f>
      </c>
      <c r="T110" t="n" s="7294">
        <v>0.0</v>
      </c>
      <c r="U110" t="n" s="7295">
        <v>0.0</v>
      </c>
      <c r="V110" t="n" s="7296">
        <v>0.0</v>
      </c>
      <c r="W110" t="n" s="7297">
        <v>1000.0</v>
      </c>
      <c r="X110" t="n" s="7298">
        <f>s110+t110+u110+w110</f>
      </c>
      <c r="Y110" t="n" s="7299">
        <v>8.0</v>
      </c>
      <c r="Z110" t="n" s="7300">
        <v>68.64</v>
      </c>
      <c r="AA110" t="n" s="7301">
        <v>0.0</v>
      </c>
      <c r="AB110" t="n" s="7302">
        <v>0.0</v>
      </c>
      <c r="AC110" t="n" s="7303">
        <v>0.0</v>
      </c>
      <c r="AD110" t="n" s="7304">
        <v>0.0</v>
      </c>
      <c r="AE110" t="n" s="7305">
        <f>y110+aa110+ac110</f>
      </c>
      <c r="AF110" t="n" s="7306">
        <f>z110+ab110+ad110</f>
      </c>
      <c r="AG110" t="n" s="7307">
        <v>299.0</v>
      </c>
      <c r="AH110" t="n" s="7308">
        <v>41.15</v>
      </c>
      <c r="AI110" t="n" s="7309">
        <v>4.7</v>
      </c>
      <c r="AJ110" t="n" s="7310">
        <f>x110+af110+ag110+ah110+ai110</f>
      </c>
      <c r="AK110" t="n" s="7311">
        <f>ROUND((l110+t110+af110+ag110+ah110+ai110+w110)*0.05,2)</f>
      </c>
      <c r="AL110" t="n" s="7312">
        <f>aj110+ak110</f>
      </c>
      <c r="AM110" t="n" s="7313">
        <f>80*0.06</f>
      </c>
      <c r="AN110" t="n" s="7314">
        <f>al110+am110</f>
      </c>
      <c r="AO110" t="s" s="7315">
        <v>0</v>
      </c>
    </row>
    <row r="111">
      <c r="A111" t="s" s="7316">
        <v>562</v>
      </c>
      <c r="B111" t="s" s="7317">
        <v>563</v>
      </c>
      <c r="C111" t="s" s="7318">
        <v>564</v>
      </c>
      <c r="D111" t="s" s="7319">
        <v>565</v>
      </c>
      <c r="E111" t="s" s="7320">
        <v>55</v>
      </c>
      <c r="F111" t="s" s="8113">
        <v>566</v>
      </c>
      <c r="G111" t="s" s="7322">
        <v>516</v>
      </c>
      <c r="H111" t="s" s="7323">
        <v>517</v>
      </c>
      <c r="I111" t="n" s="8477">
        <v>43831.0</v>
      </c>
      <c r="J111" t="n" s="8478">
        <v>44196.0</v>
      </c>
      <c r="K111" t="s" s="7326">
        <v>0</v>
      </c>
      <c r="L111" t="n" s="7327">
        <v>1270.0</v>
      </c>
      <c r="M111" t="n" s="7328">
        <v>0.0</v>
      </c>
      <c r="N111" t="n" s="7329">
        <v>0.0</v>
      </c>
      <c r="O111" t="n" s="7330">
        <f>M111*N111</f>
      </c>
      <c r="P111" t="n" s="7331">
        <v>0.0</v>
      </c>
      <c r="Q111" t="n" s="7332">
        <v>0.0</v>
      </c>
      <c r="R111" t="n" s="7333">
        <f>P111*Q111</f>
      </c>
      <c r="S111" t="n" s="7334">
        <f>L111+O111+R111</f>
      </c>
      <c r="T111" t="n" s="7335">
        <v>0.0</v>
      </c>
      <c r="U111" t="n" s="7336">
        <v>0.0</v>
      </c>
      <c r="V111" t="n" s="7337">
        <v>0.0</v>
      </c>
      <c r="W111" t="n" s="7338">
        <v>420.0</v>
      </c>
      <c r="X111" t="n" s="7339">
        <f>s111+t111+u111+w111</f>
      </c>
      <c r="Y111" t="n" s="7340">
        <v>8.0</v>
      </c>
      <c r="Z111" t="n" s="7341">
        <v>73.28</v>
      </c>
      <c r="AA111" t="n" s="7342">
        <v>0.0</v>
      </c>
      <c r="AB111" t="n" s="7343">
        <v>0.0</v>
      </c>
      <c r="AC111" t="n" s="7344">
        <v>0.0</v>
      </c>
      <c r="AD111" t="n" s="7345">
        <v>0.0</v>
      </c>
      <c r="AE111" t="n" s="7346">
        <f>y111+aa111+ac111</f>
      </c>
      <c r="AF111" t="n" s="7347">
        <f>z111+ab111+ad111</f>
      </c>
      <c r="AG111" t="n" s="7348">
        <v>242.0</v>
      </c>
      <c r="AH111" t="n" s="7349">
        <v>34.15</v>
      </c>
      <c r="AI111" t="n" s="7350">
        <v>3.9</v>
      </c>
      <c r="AJ111" t="n" s="7351">
        <f>x111+af111+ag111+ah111+ai111</f>
      </c>
      <c r="AK111" t="n" s="7352">
        <f>ROUND((l111+t111+af111+ag111+ah111+ai111+w111)*0.05,2)</f>
      </c>
      <c r="AL111" t="n" s="7353">
        <f>aj111+ak111</f>
      </c>
      <c r="AM111" t="n" s="7354">
        <f>80*0.06</f>
      </c>
      <c r="AN111" t="n" s="7355">
        <f>al111+am111</f>
      </c>
      <c r="AO111" t="s" s="7356">
        <v>0</v>
      </c>
    </row>
    <row r="112">
      <c r="A112" t="s" s="7357">
        <v>567</v>
      </c>
      <c r="B112" t="s" s="7358">
        <v>568</v>
      </c>
      <c r="C112" t="s" s="7359">
        <v>569</v>
      </c>
      <c r="D112" t="s" s="7360">
        <v>570</v>
      </c>
      <c r="E112" t="s" s="7361">
        <v>55</v>
      </c>
      <c r="F112" t="s" s="8114">
        <v>571</v>
      </c>
      <c r="G112" t="s" s="7363">
        <v>516</v>
      </c>
      <c r="H112" t="s" s="7364">
        <v>517</v>
      </c>
      <c r="I112" t="n" s="8479">
        <v>43831.0</v>
      </c>
      <c r="J112" t="n" s="8480">
        <v>44196.0</v>
      </c>
      <c r="K112" t="s" s="7367">
        <v>0</v>
      </c>
      <c r="L112" t="n" s="7368">
        <v>1250.0</v>
      </c>
      <c r="M112" t="n" s="7369">
        <v>0.0</v>
      </c>
      <c r="N112" t="n" s="7370">
        <v>0.0</v>
      </c>
      <c r="O112" t="n" s="7371">
        <f>M112*N112</f>
      </c>
      <c r="P112" t="n" s="7372">
        <v>0.0</v>
      </c>
      <c r="Q112" t="n" s="7373">
        <v>0.0</v>
      </c>
      <c r="R112" t="n" s="7374">
        <f>P112*Q112</f>
      </c>
      <c r="S112" t="n" s="7375">
        <f>L112+O112+R112</f>
      </c>
      <c r="T112" t="n" s="7376">
        <v>0.0</v>
      </c>
      <c r="U112" t="n" s="7377">
        <v>0.0</v>
      </c>
      <c r="V112" t="n" s="7378">
        <v>0.0</v>
      </c>
      <c r="W112" t="n" s="7379">
        <v>1050.0</v>
      </c>
      <c r="X112" t="n" s="7380">
        <f>s112+t112+u112+w112</f>
      </c>
      <c r="Y112" t="n" s="7381">
        <v>8.0</v>
      </c>
      <c r="Z112" t="n" s="7382">
        <v>72.08</v>
      </c>
      <c r="AA112" t="n" s="7383">
        <v>0.0</v>
      </c>
      <c r="AB112" t="n" s="7384">
        <v>0.0</v>
      </c>
      <c r="AC112" t="n" s="7385">
        <v>0.0</v>
      </c>
      <c r="AD112" t="n" s="7386">
        <v>0.0</v>
      </c>
      <c r="AE112" t="n" s="7387">
        <f>y112+aa112+ac112</f>
      </c>
      <c r="AF112" t="n" s="7388">
        <f>z112+ab112+ad112</f>
      </c>
      <c r="AG112" t="n" s="7389">
        <v>320.0</v>
      </c>
      <c r="AH112" t="n" s="7390">
        <v>44.65</v>
      </c>
      <c r="AI112" t="n" s="7391">
        <v>5.1</v>
      </c>
      <c r="AJ112" t="n" s="7392">
        <f>x112+af112+ag112+ah112+ai112</f>
      </c>
      <c r="AK112" t="n" s="7393">
        <f>ROUND((l112+t112+af112+ag112+ah112+ai112+w112)*0.05,2)</f>
      </c>
      <c r="AL112" t="n" s="7394">
        <f>aj112+ak112</f>
      </c>
      <c r="AM112" t="n" s="7395">
        <f>80*0.06</f>
      </c>
      <c r="AN112" t="n" s="7396">
        <f>al112+am112</f>
      </c>
      <c r="AO112" t="s" s="7397">
        <v>0</v>
      </c>
    </row>
    <row r="113">
      <c r="A113" t="s" s="7398">
        <v>572</v>
      </c>
      <c r="B113" t="s" s="7399">
        <v>573</v>
      </c>
      <c r="C113" t="s" s="7400">
        <v>574</v>
      </c>
      <c r="D113" t="s" s="7401">
        <v>575</v>
      </c>
      <c r="E113" t="s" s="7402">
        <v>93</v>
      </c>
      <c r="F113" t="s" s="8115">
        <v>576</v>
      </c>
      <c r="G113" t="s" s="7404">
        <v>516</v>
      </c>
      <c r="H113" t="s" s="7405">
        <v>517</v>
      </c>
      <c r="I113" t="n" s="8481">
        <v>43831.0</v>
      </c>
      <c r="J113" t="n" s="8482">
        <v>44196.0</v>
      </c>
      <c r="K113" t="s" s="7408">
        <v>0</v>
      </c>
      <c r="L113" t="n" s="7409">
        <v>1670.0</v>
      </c>
      <c r="M113" t="n" s="7410">
        <v>0.0</v>
      </c>
      <c r="N113" t="n" s="7411">
        <v>0.0</v>
      </c>
      <c r="O113" t="n" s="7412">
        <f>M113*N113</f>
      </c>
      <c r="P113" t="n" s="7413">
        <v>0.0</v>
      </c>
      <c r="Q113" t="n" s="7414">
        <v>0.0</v>
      </c>
      <c r="R113" t="n" s="7415">
        <f>P113*Q113</f>
      </c>
      <c r="S113" t="n" s="7416">
        <f>L113+O113+R113</f>
      </c>
      <c r="T113" t="n" s="7417">
        <v>0.0</v>
      </c>
      <c r="U113" t="n" s="7418">
        <v>0.0</v>
      </c>
      <c r="V113" t="n" s="7419">
        <v>0.0</v>
      </c>
      <c r="W113" t="n" s="7420">
        <v>100.0</v>
      </c>
      <c r="X113" t="n" s="7421">
        <f>s113+t113+u113+w113</f>
      </c>
      <c r="Y113" t="n" s="7422">
        <v>4.0</v>
      </c>
      <c r="Z113" t="n" s="7423">
        <v>48.16</v>
      </c>
      <c r="AA113" t="n" s="7424">
        <v>0.0</v>
      </c>
      <c r="AB113" t="n" s="7425">
        <v>0.0</v>
      </c>
      <c r="AC113" t="n" s="7426">
        <v>0.0</v>
      </c>
      <c r="AD113" t="n" s="7427">
        <v>0.0</v>
      </c>
      <c r="AE113" t="n" s="7428">
        <f>y113+aa113+ac113</f>
      </c>
      <c r="AF113" t="n" s="7429">
        <f>z113+ab113+ad113</f>
      </c>
      <c r="AG113" t="n" s="7430">
        <v>245.0</v>
      </c>
      <c r="AH113" t="n" s="7431">
        <v>34.15</v>
      </c>
      <c r="AI113" t="n" s="7432">
        <v>3.9</v>
      </c>
      <c r="AJ113" t="n" s="7433">
        <f>x113+af113+ag113+ah113+ai113</f>
      </c>
      <c r="AK113" t="n" s="7434">
        <f>ROUND((l113+t113+af113+ag113+ah113+ai113+w113)*0.05,2)</f>
      </c>
      <c r="AL113" t="n" s="7435">
        <f>aj113+ak113</f>
      </c>
      <c r="AM113" t="n" s="7436">
        <f>80*0.06</f>
      </c>
      <c r="AN113" t="n" s="7437">
        <f>al113+am113</f>
      </c>
      <c r="AO113" t="s" s="7438">
        <v>0</v>
      </c>
    </row>
    <row r="114">
      <c r="A114" t="s" s="7439">
        <v>577</v>
      </c>
      <c r="B114" t="s" s="7440">
        <v>578</v>
      </c>
      <c r="C114" t="s" s="7441">
        <v>579</v>
      </c>
      <c r="D114" t="s" s="7442">
        <v>580</v>
      </c>
      <c r="E114" t="s" s="7443">
        <v>55</v>
      </c>
      <c r="F114" t="s" s="8116">
        <v>581</v>
      </c>
      <c r="G114" t="s" s="7445">
        <v>516</v>
      </c>
      <c r="H114" t="s" s="7446">
        <v>517</v>
      </c>
      <c r="I114" t="n" s="8483">
        <v>43831.0</v>
      </c>
      <c r="J114" t="n" s="8484">
        <v>44196.0</v>
      </c>
      <c r="K114" t="s" s="7449">
        <v>0</v>
      </c>
      <c r="L114" t="n" s="7450">
        <v>1160.0</v>
      </c>
      <c r="M114" t="n" s="7451">
        <v>0.0</v>
      </c>
      <c r="N114" t="n" s="7452">
        <v>0.0</v>
      </c>
      <c r="O114" t="n" s="7453">
        <f>M114*N114</f>
      </c>
      <c r="P114" t="n" s="7454">
        <v>0.0</v>
      </c>
      <c r="Q114" t="n" s="7455">
        <v>0.0</v>
      </c>
      <c r="R114" t="n" s="7456">
        <f>P114*Q114</f>
      </c>
      <c r="S114" t="n" s="7457">
        <f>L114+O114+R114</f>
      </c>
      <c r="T114" t="n" s="7458">
        <v>0.0</v>
      </c>
      <c r="U114" t="n" s="7459">
        <v>0.0</v>
      </c>
      <c r="V114" t="n" s="7460">
        <v>0.0</v>
      </c>
      <c r="W114" t="n" s="7461">
        <v>100.0</v>
      </c>
      <c r="X114" t="n" s="7462">
        <f>s114+t114+u114+w114</f>
      </c>
      <c r="Y114" t="n" s="7463">
        <v>8.0</v>
      </c>
      <c r="Z114" t="n" s="7464">
        <v>66.96</v>
      </c>
      <c r="AA114" t="n" s="7465">
        <v>0.0</v>
      </c>
      <c r="AB114" t="n" s="7466">
        <v>0.0</v>
      </c>
      <c r="AC114" t="n" s="7467">
        <v>0.0</v>
      </c>
      <c r="AD114" t="n" s="7468">
        <v>0.0</v>
      </c>
      <c r="AE114" t="n" s="7469">
        <f>y114+aa114+ac114</f>
      </c>
      <c r="AF114" t="n" s="7470">
        <f>z114+ab114+ad114</f>
      </c>
      <c r="AG114" t="n" s="7471">
        <v>185.0</v>
      </c>
      <c r="AH114" t="n" s="7472">
        <v>25.35</v>
      </c>
      <c r="AI114" t="n" s="7473">
        <v>2.9</v>
      </c>
      <c r="AJ114" t="n" s="7474">
        <f>x114+af114+ag114+ah114+ai114</f>
      </c>
      <c r="AK114" t="n" s="7475">
        <f>ROUND((l114+t114+af114+ag114+ah114+ai114+w114)*0.05,2)</f>
      </c>
      <c r="AL114" t="n" s="7476">
        <f>aj114+ak114</f>
      </c>
      <c r="AM114" t="n" s="7477">
        <f>80*0.06</f>
      </c>
      <c r="AN114" t="n" s="7478">
        <f>al114+am114</f>
      </c>
      <c r="AO114" t="s" s="7479">
        <v>0</v>
      </c>
    </row>
    <row r="115">
      <c r="A115" t="s" s="7480">
        <v>582</v>
      </c>
      <c r="B115" t="s" s="7481">
        <v>583</v>
      </c>
      <c r="C115" t="s" s="7482">
        <v>584</v>
      </c>
      <c r="D115" t="s" s="7483">
        <v>585</v>
      </c>
      <c r="E115" t="s" s="7484">
        <v>55</v>
      </c>
      <c r="F115" t="s" s="8117">
        <v>586</v>
      </c>
      <c r="G115" t="s" s="7486">
        <v>516</v>
      </c>
      <c r="H115" t="s" s="7487">
        <v>517</v>
      </c>
      <c r="I115" t="n" s="8485">
        <v>43831.0</v>
      </c>
      <c r="J115" t="n" s="8486">
        <v>44196.0</v>
      </c>
      <c r="K115" t="s" s="7490">
        <v>0</v>
      </c>
      <c r="L115" t="n" s="7491">
        <v>1380.0</v>
      </c>
      <c r="M115" t="n" s="7492">
        <v>0.0</v>
      </c>
      <c r="N115" t="n" s="7493">
        <v>0.0</v>
      </c>
      <c r="O115" t="n" s="7494">
        <f>M115*N115</f>
      </c>
      <c r="P115" t="n" s="7495">
        <v>0.0</v>
      </c>
      <c r="Q115" t="n" s="7496">
        <v>0.0</v>
      </c>
      <c r="R115" t="n" s="7497">
        <f>P115*Q115</f>
      </c>
      <c r="S115" t="n" s="7498">
        <f>L115+O115+R115</f>
      </c>
      <c r="T115" t="n" s="7499">
        <v>0.0</v>
      </c>
      <c r="U115" t="n" s="7500">
        <v>0.0</v>
      </c>
      <c r="V115" t="n" s="7501">
        <v>0.0</v>
      </c>
      <c r="W115" t="n" s="7502">
        <v>1400.0</v>
      </c>
      <c r="X115" t="n" s="7503">
        <f>s115+t115+u115+w115</f>
      </c>
      <c r="Y115" t="n" s="7504">
        <v>8.0</v>
      </c>
      <c r="Z115" t="n" s="7505">
        <v>79.6</v>
      </c>
      <c r="AA115" t="n" s="7506">
        <v>0.0</v>
      </c>
      <c r="AB115" t="n" s="7507">
        <v>0.0</v>
      </c>
      <c r="AC115" t="n" s="7508">
        <v>0.0</v>
      </c>
      <c r="AD115" t="n" s="7509">
        <v>0.0</v>
      </c>
      <c r="AE115" t="n" s="7510">
        <f>y115+aa115+ac115</f>
      </c>
      <c r="AF115" t="n" s="7511">
        <f>z115+ab115+ad115</f>
      </c>
      <c r="AG115" t="n" s="7512">
        <v>375.0</v>
      </c>
      <c r="AH115" t="n" s="7513">
        <v>51.65</v>
      </c>
      <c r="AI115" t="n" s="7514">
        <v>5.9</v>
      </c>
      <c r="AJ115" t="n" s="7515">
        <f>x115+af115+ag115+ah115+ai115</f>
      </c>
      <c r="AK115" t="n" s="7516">
        <f>ROUND((l115+t115+af115+ag115+ah115+ai115+w115)*0.05,2)</f>
      </c>
      <c r="AL115" t="n" s="7517">
        <f>aj115+ak115</f>
      </c>
      <c r="AM115" t="n" s="7518">
        <f>80*0.06</f>
      </c>
      <c r="AN115" t="n" s="7519">
        <f>al115+am115</f>
      </c>
      <c r="AO115" t="s" s="7520">
        <v>0</v>
      </c>
    </row>
    <row r="116">
      <c r="A116" t="s" s="7521">
        <v>587</v>
      </c>
      <c r="B116" t="s" s="7522">
        <v>588</v>
      </c>
      <c r="C116" t="s" s="7523">
        <v>589</v>
      </c>
      <c r="D116" t="s" s="7524">
        <v>590</v>
      </c>
      <c r="E116" t="s" s="7525">
        <v>55</v>
      </c>
      <c r="F116" t="s" s="8118">
        <v>591</v>
      </c>
      <c r="G116" t="s" s="7527">
        <v>516</v>
      </c>
      <c r="H116" t="s" s="7528">
        <v>517</v>
      </c>
      <c r="I116" t="n" s="8487">
        <v>43831.0</v>
      </c>
      <c r="J116" t="n" s="8488">
        <v>44196.0</v>
      </c>
      <c r="K116" t="s" s="7531">
        <v>0</v>
      </c>
      <c r="L116" t="n" s="7532">
        <v>1450.0</v>
      </c>
      <c r="M116" t="n" s="7533">
        <v>0.0</v>
      </c>
      <c r="N116" t="n" s="7534">
        <v>0.0</v>
      </c>
      <c r="O116" t="n" s="7535">
        <f>M116*N116</f>
      </c>
      <c r="P116" t="n" s="7536">
        <v>0.0</v>
      </c>
      <c r="Q116" t="n" s="7537">
        <v>0.0</v>
      </c>
      <c r="R116" t="n" s="7538">
        <f>P116*Q116</f>
      </c>
      <c r="S116" t="n" s="7539">
        <f>L116+O116+R116</f>
      </c>
      <c r="T116" t="n" s="7540">
        <v>0.0</v>
      </c>
      <c r="U116" t="n" s="7541">
        <v>0.0</v>
      </c>
      <c r="V116" t="n" s="7542">
        <v>0.0</v>
      </c>
      <c r="W116" t="n" s="7543">
        <v>0.0</v>
      </c>
      <c r="X116" t="n" s="7544">
        <f>s116+t116+u116+w116</f>
      </c>
      <c r="Y116" t="n" s="7545">
        <v>8.0</v>
      </c>
      <c r="Z116" t="n" s="7546">
        <v>83.68</v>
      </c>
      <c r="AA116" t="n" s="7547">
        <v>0.0</v>
      </c>
      <c r="AB116" t="n" s="7548">
        <v>0.0</v>
      </c>
      <c r="AC116" t="n" s="7549">
        <v>0.0</v>
      </c>
      <c r="AD116" t="n" s="7550">
        <v>0.0</v>
      </c>
      <c r="AE116" t="n" s="7551">
        <f>y116+aa116+ac116</f>
      </c>
      <c r="AF116" t="n" s="7552">
        <f>z116+ab116+ad116</f>
      </c>
      <c r="AG116" t="n" s="7553">
        <v>203.0</v>
      </c>
      <c r="AH116" t="n" s="7554">
        <v>28.85</v>
      </c>
      <c r="AI116" t="n" s="7555">
        <v>3.3</v>
      </c>
      <c r="AJ116" t="n" s="7556">
        <f>x116+af116+ag116+ah116+ai116</f>
      </c>
      <c r="AK116" t="n" s="7557">
        <f>ROUND((l116+t116+af116+ag116+ah116+ai116+w116)*0.05,2)</f>
      </c>
      <c r="AL116" t="n" s="7558">
        <f>aj116+ak116</f>
      </c>
      <c r="AM116" t="n" s="7559">
        <f>80*0.06</f>
      </c>
      <c r="AN116" t="n" s="7560">
        <f>al116+am116</f>
      </c>
      <c r="AO116" t="s" s="7561">
        <v>0</v>
      </c>
    </row>
    <row r="117">
      <c r="A117" t="s" s="7562">
        <v>592</v>
      </c>
      <c r="B117" t="s" s="7563">
        <v>593</v>
      </c>
      <c r="C117" t="s" s="7564">
        <v>594</v>
      </c>
      <c r="D117" t="s" s="7565">
        <v>595</v>
      </c>
      <c r="E117" t="s" s="7566">
        <v>55</v>
      </c>
      <c r="F117" t="s" s="8119">
        <v>596</v>
      </c>
      <c r="G117" t="s" s="7568">
        <v>516</v>
      </c>
      <c r="H117" t="s" s="7569">
        <v>517</v>
      </c>
      <c r="I117" t="n" s="8489">
        <v>43831.0</v>
      </c>
      <c r="J117" t="n" s="8490">
        <v>44196.0</v>
      </c>
      <c r="K117" t="s" s="7572">
        <v>0</v>
      </c>
      <c r="L117" t="n" s="7573">
        <v>1140.0</v>
      </c>
      <c r="M117" t="n" s="7574">
        <v>0.0</v>
      </c>
      <c r="N117" t="n" s="7575">
        <v>0.0</v>
      </c>
      <c r="O117" t="n" s="7576">
        <f>M117*N117</f>
      </c>
      <c r="P117" t="n" s="7577">
        <v>0.0</v>
      </c>
      <c r="Q117" t="n" s="7578">
        <v>0.0</v>
      </c>
      <c r="R117" t="n" s="7579">
        <f>P117*Q117</f>
      </c>
      <c r="S117" t="n" s="7580">
        <f>L117+O117+R117</f>
      </c>
      <c r="T117" t="n" s="7581">
        <v>0.0</v>
      </c>
      <c r="U117" t="n" s="7582">
        <v>0.0</v>
      </c>
      <c r="V117" t="n" s="7583">
        <v>0.0</v>
      </c>
      <c r="W117" t="n" s="7584">
        <v>100.0</v>
      </c>
      <c r="X117" t="n" s="7585">
        <f>s117+t117+u117+w117</f>
      </c>
      <c r="Y117" t="n" s="7586">
        <v>8.0</v>
      </c>
      <c r="Z117" t="n" s="7587">
        <v>65.76</v>
      </c>
      <c r="AA117" t="n" s="7588">
        <v>0.0</v>
      </c>
      <c r="AB117" t="n" s="7589">
        <v>0.0</v>
      </c>
      <c r="AC117" t="n" s="7590">
        <v>0.0</v>
      </c>
      <c r="AD117" t="n" s="7591">
        <v>0.0</v>
      </c>
      <c r="AE117" t="n" s="7592">
        <f>y117+aa117+ac117</f>
      </c>
      <c r="AF117" t="n" s="7593">
        <f>z117+ab117+ad117</f>
      </c>
      <c r="AG117" t="n" s="7594">
        <v>182.0</v>
      </c>
      <c r="AH117" t="n" s="7595">
        <v>25.35</v>
      </c>
      <c r="AI117" t="n" s="7596">
        <v>2.9</v>
      </c>
      <c r="AJ117" t="n" s="7597">
        <f>x117+af117+ag117+ah117+ai117</f>
      </c>
      <c r="AK117" t="n" s="7598">
        <f>ROUND((l117+t117+af117+ag117+ah117+ai117+w117)*0.05,2)</f>
      </c>
      <c r="AL117" t="n" s="7599">
        <f>aj117+ak117</f>
      </c>
      <c r="AM117" t="n" s="7600">
        <f>80*0.06</f>
      </c>
      <c r="AN117" t="n" s="7601">
        <f>al117+am117</f>
      </c>
      <c r="AO117" t="s" s="7602">
        <v>0</v>
      </c>
    </row>
    <row r="118">
      <c r="A118" t="s" s="7603">
        <v>597</v>
      </c>
      <c r="B118" t="s" s="7604">
        <v>598</v>
      </c>
      <c r="C118" t="s" s="7605">
        <v>599</v>
      </c>
      <c r="D118" t="s" s="7606">
        <v>600</v>
      </c>
      <c r="E118" t="s" s="7607">
        <v>55</v>
      </c>
      <c r="F118" t="s" s="8120">
        <v>601</v>
      </c>
      <c r="G118" t="s" s="7609">
        <v>602</v>
      </c>
      <c r="H118" t="s" s="7610">
        <v>603</v>
      </c>
      <c r="I118" t="n" s="8491">
        <v>43831.0</v>
      </c>
      <c r="J118" t="n" s="8492">
        <v>44196.0</v>
      </c>
      <c r="K118" t="s" s="7613">
        <v>0</v>
      </c>
      <c r="L118" t="n" s="7614">
        <v>1430.0</v>
      </c>
      <c r="M118" t="n" s="7615">
        <v>0.0</v>
      </c>
      <c r="N118" t="n" s="7616">
        <v>0.0</v>
      </c>
      <c r="O118" t="n" s="7617">
        <f>M118*N118</f>
      </c>
      <c r="P118" t="n" s="7618">
        <v>0.0</v>
      </c>
      <c r="Q118" t="n" s="7619">
        <v>0.0</v>
      </c>
      <c r="R118" t="n" s="7620">
        <f>P118*Q118</f>
      </c>
      <c r="S118" t="n" s="7621">
        <f>L118+O118+R118</f>
      </c>
      <c r="T118" t="n" s="7622">
        <v>0.0</v>
      </c>
      <c r="U118" t="n" s="7623">
        <v>0.0</v>
      </c>
      <c r="V118" t="n" s="7624">
        <v>0.0</v>
      </c>
      <c r="W118" t="n" s="7625">
        <v>1000.0</v>
      </c>
      <c r="X118" t="n" s="7626">
        <f>s118+t118+u118+w118</f>
      </c>
      <c r="Y118" t="n" s="7627">
        <v>7.0</v>
      </c>
      <c r="Z118" t="n" s="7628">
        <v>72.17</v>
      </c>
      <c r="AA118" t="n" s="7629">
        <v>0.0</v>
      </c>
      <c r="AB118" t="n" s="7630">
        <v>0.0</v>
      </c>
      <c r="AC118" t="n" s="7631">
        <v>0.0</v>
      </c>
      <c r="AD118" t="n" s="7632">
        <v>0.0</v>
      </c>
      <c r="AE118" t="n" s="7633">
        <f>y118+aa118+ac118</f>
      </c>
      <c r="AF118" t="n" s="7634">
        <f>z118+ab118+ad118</f>
      </c>
      <c r="AG118" t="n" s="7635">
        <v>331.0</v>
      </c>
      <c r="AH118" t="n" s="7636">
        <v>46.35</v>
      </c>
      <c r="AI118" t="n" s="7637">
        <v>5.3</v>
      </c>
      <c r="AJ118" t="n" s="7638">
        <f>x118+af118+ag118+ah118+ai118</f>
      </c>
      <c r="AK118" t="n" s="7639">
        <f>ROUND((l118+t118+af118+ag118+ah118+ai118+w118)*0.05,2)</f>
      </c>
      <c r="AL118" t="n" s="7640">
        <f>aj118+ak118</f>
      </c>
      <c r="AM118" t="n" s="7641">
        <f>80*0.06</f>
      </c>
      <c r="AN118" t="n" s="7642">
        <f>al118+am118</f>
      </c>
      <c r="AO118" t="s" s="7643">
        <v>0</v>
      </c>
    </row>
    <row r="119">
      <c r="A119" t="s" s="7644">
        <v>604</v>
      </c>
      <c r="B119" t="s" s="7645">
        <v>605</v>
      </c>
      <c r="C119" t="s" s="7646">
        <v>606</v>
      </c>
      <c r="D119" t="s" s="7647">
        <v>607</v>
      </c>
      <c r="E119" t="s" s="7648">
        <v>55</v>
      </c>
      <c r="F119" t="s" s="8121">
        <v>608</v>
      </c>
      <c r="G119" t="s" s="7650">
        <v>602</v>
      </c>
      <c r="H119" t="s" s="7651">
        <v>603</v>
      </c>
      <c r="I119" t="n" s="8493">
        <v>43831.0</v>
      </c>
      <c r="J119" t="n" s="8494">
        <v>44196.0</v>
      </c>
      <c r="K119" t="s" s="7654">
        <v>0</v>
      </c>
      <c r="L119" t="n" s="7655">
        <v>1300.0</v>
      </c>
      <c r="M119" t="n" s="7656">
        <v>0.0</v>
      </c>
      <c r="N119" t="n" s="7657">
        <v>0.0</v>
      </c>
      <c r="O119" t="n" s="7658">
        <f>M119*N119</f>
      </c>
      <c r="P119" t="n" s="7659">
        <v>0.0</v>
      </c>
      <c r="Q119" t="n" s="7660">
        <v>0.0</v>
      </c>
      <c r="R119" t="n" s="7661">
        <f>P119*Q119</f>
      </c>
      <c r="S119" t="n" s="7662">
        <f>L119+O119+R119</f>
      </c>
      <c r="T119" t="n" s="7663">
        <v>0.0</v>
      </c>
      <c r="U119" t="n" s="7664">
        <v>0.0</v>
      </c>
      <c r="V119" t="n" s="7665">
        <v>0.0</v>
      </c>
      <c r="W119" t="n" s="7666">
        <v>1650.0</v>
      </c>
      <c r="X119" t="n" s="7667">
        <f>s119+t119+u119+w119</f>
      </c>
      <c r="Y119" t="n" s="7668">
        <v>5.0</v>
      </c>
      <c r="Z119" t="n" s="7669">
        <v>46.9</v>
      </c>
      <c r="AA119" t="n" s="7670">
        <v>0.0</v>
      </c>
      <c r="AB119" t="n" s="7671">
        <v>0.0</v>
      </c>
      <c r="AC119" t="n" s="7672">
        <v>0.0</v>
      </c>
      <c r="AD119" t="n" s="7673">
        <v>0.0</v>
      </c>
      <c r="AE119" t="n" s="7674">
        <f>y119+aa119+ac119</f>
      </c>
      <c r="AF119" t="n" s="7675">
        <f>z119+ab119+ad119</f>
      </c>
      <c r="AG119" t="n" s="7676">
        <v>406.0</v>
      </c>
      <c r="AH119" t="n" s="7677">
        <v>55.15</v>
      </c>
      <c r="AI119" t="n" s="7678">
        <v>6.3</v>
      </c>
      <c r="AJ119" t="n" s="7679">
        <f>x119+af119+ag119+ah119+ai119</f>
      </c>
      <c r="AK119" t="n" s="7680">
        <f>ROUND((l119+t119+af119+ag119+ah119+ai119+w119)*0.05,2)</f>
      </c>
      <c r="AL119" t="n" s="7681">
        <f>aj119+ak119</f>
      </c>
      <c r="AM119" t="n" s="7682">
        <f>80*0.06</f>
      </c>
      <c r="AN119" t="n" s="7683">
        <f>al119+am119</f>
      </c>
      <c r="AO119" t="s" s="7684">
        <v>0</v>
      </c>
    </row>
    <row r="120">
      <c r="A120" t="s" s="7685">
        <v>609</v>
      </c>
      <c r="B120" t="s" s="7686">
        <v>610</v>
      </c>
      <c r="C120" t="s" s="7687">
        <v>611</v>
      </c>
      <c r="D120" t="s" s="7688">
        <v>612</v>
      </c>
      <c r="E120" t="s" s="7689">
        <v>55</v>
      </c>
      <c r="F120" t="s" s="8122">
        <v>613</v>
      </c>
      <c r="G120" t="s" s="7691">
        <v>602</v>
      </c>
      <c r="H120" t="s" s="7692">
        <v>603</v>
      </c>
      <c r="I120" t="n" s="8495">
        <v>43831.0</v>
      </c>
      <c r="J120" t="n" s="8496">
        <v>44196.0</v>
      </c>
      <c r="K120" t="s" s="7695">
        <v>0</v>
      </c>
      <c r="L120" t="n" s="7696">
        <v>1420.0</v>
      </c>
      <c r="M120" t="n" s="7697">
        <v>0.0</v>
      </c>
      <c r="N120" t="n" s="7698">
        <v>0.0</v>
      </c>
      <c r="O120" t="n" s="7699">
        <f>M120*N120</f>
      </c>
      <c r="P120" t="n" s="7700">
        <v>0.0</v>
      </c>
      <c r="Q120" t="n" s="7701">
        <v>0.0</v>
      </c>
      <c r="R120" t="n" s="7702">
        <f>P120*Q120</f>
      </c>
      <c r="S120" t="n" s="7703">
        <f>L120+O120+R120</f>
      </c>
      <c r="T120" t="n" s="7704">
        <v>0.0</v>
      </c>
      <c r="U120" t="n" s="7705">
        <v>0.0</v>
      </c>
      <c r="V120" t="n" s="7706">
        <v>0.0</v>
      </c>
      <c r="W120" t="n" s="7707">
        <v>2200.0</v>
      </c>
      <c r="X120" t="n" s="7708">
        <f>s120+t120+u120+w120</f>
      </c>
      <c r="Y120" t="n" s="7709">
        <v>7.0</v>
      </c>
      <c r="Z120" t="n" s="7710">
        <v>71.68</v>
      </c>
      <c r="AA120" t="n" s="7711">
        <v>0.0</v>
      </c>
      <c r="AB120" t="n" s="7712">
        <v>0.0</v>
      </c>
      <c r="AC120" t="n" s="7713">
        <v>0.0</v>
      </c>
      <c r="AD120" t="n" s="7714">
        <v>0.0</v>
      </c>
      <c r="AE120" t="n" s="7715">
        <f>y120+aa120+ac120</f>
      </c>
      <c r="AF120" t="n" s="7716">
        <f>z120+ab120+ad120</f>
      </c>
      <c r="AG120" t="n" s="7717">
        <v>492.0</v>
      </c>
      <c r="AH120" t="n" s="7718">
        <v>67.35</v>
      </c>
      <c r="AI120" t="n" s="7719">
        <v>7.7</v>
      </c>
      <c r="AJ120" t="n" s="7720">
        <f>x120+af120+ag120+ah120+ai120</f>
      </c>
      <c r="AK120" t="n" s="7721">
        <f>ROUND((l120+t120+af120+ag120+ah120+ai120+w120)*0.05,2)</f>
      </c>
      <c r="AL120" t="n" s="7722">
        <f>aj120+ak120</f>
      </c>
      <c r="AM120" t="n" s="7723">
        <f>80*0.06</f>
      </c>
      <c r="AN120" t="n" s="7724">
        <f>al120+am120</f>
      </c>
      <c r="AO120" t="s" s="7725">
        <v>0</v>
      </c>
    </row>
    <row r="121">
      <c r="A121" t="s" s="7726">
        <v>614</v>
      </c>
      <c r="B121" t="s" s="7727">
        <v>615</v>
      </c>
      <c r="C121" t="s" s="7728">
        <v>616</v>
      </c>
      <c r="D121" t="s" s="7729">
        <v>617</v>
      </c>
      <c r="E121" t="s" s="7730">
        <v>55</v>
      </c>
      <c r="F121" t="s" s="8123">
        <v>618</v>
      </c>
      <c r="G121" t="s" s="7732">
        <v>602</v>
      </c>
      <c r="H121" t="s" s="7733">
        <v>603</v>
      </c>
      <c r="I121" t="n" s="8497">
        <v>43831.0</v>
      </c>
      <c r="J121" t="n" s="8498">
        <v>44196.0</v>
      </c>
      <c r="K121" t="s" s="7736">
        <v>0</v>
      </c>
      <c r="L121" t="n" s="7737">
        <v>1600.0</v>
      </c>
      <c r="M121" t="n" s="7738">
        <v>0.0</v>
      </c>
      <c r="N121" t="n" s="7739">
        <v>0.0</v>
      </c>
      <c r="O121" t="n" s="7740">
        <f>M121*N121</f>
      </c>
      <c r="P121" t="n" s="7741">
        <v>0.0</v>
      </c>
      <c r="Q121" t="n" s="7742">
        <v>0.0</v>
      </c>
      <c r="R121" t="n" s="7743">
        <f>P121*Q121</f>
      </c>
      <c r="S121" t="n" s="7744">
        <f>L121+O121+R121</f>
      </c>
      <c r="T121" t="n" s="7745">
        <v>0.0</v>
      </c>
      <c r="U121" t="n" s="7746">
        <v>0.0</v>
      </c>
      <c r="V121" t="n" s="7747">
        <v>0.0</v>
      </c>
      <c r="W121" t="n" s="7748">
        <v>2400.0</v>
      </c>
      <c r="X121" t="n" s="7749">
        <f>s121+t121+u121+w121</f>
      </c>
      <c r="Y121" t="n" s="7750">
        <v>6.5</v>
      </c>
      <c r="Z121" t="n" s="7751">
        <v>75.01</v>
      </c>
      <c r="AA121" t="n" s="7752">
        <v>0.0</v>
      </c>
      <c r="AB121" t="n" s="7753">
        <v>0.0</v>
      </c>
      <c r="AC121" t="n" s="7754">
        <v>0.0</v>
      </c>
      <c r="AD121" t="n" s="7755">
        <v>0.0</v>
      </c>
      <c r="AE121" t="n" s="7756">
        <f>y121+aa121+ac121</f>
      </c>
      <c r="AF121" t="n" s="7757">
        <f>z121+ab121+ad121</f>
      </c>
      <c r="AG121" t="n" s="7758">
        <v>533.0</v>
      </c>
      <c r="AH121" t="n" s="7759">
        <v>69.05</v>
      </c>
      <c r="AI121" t="n" s="7760">
        <v>7.9</v>
      </c>
      <c r="AJ121" t="n" s="7761">
        <f>x121+af121+ag121+ah121+ai121</f>
      </c>
      <c r="AK121" t="n" s="7762">
        <f>ROUND((l121+t121+af121+ag121+ah121+ai121+w121)*0.05,2)</f>
      </c>
      <c r="AL121" t="n" s="7763">
        <f>aj121+ak121</f>
      </c>
      <c r="AM121" t="n" s="7764">
        <f>80*0.06</f>
      </c>
      <c r="AN121" t="n" s="7765">
        <f>al121+am121</f>
      </c>
      <c r="AO121" t="s" s="7766">
        <v>0</v>
      </c>
    </row>
    <row r="122">
      <c r="A122" t="s" s="7767">
        <v>619</v>
      </c>
      <c r="B122" t="s" s="7768">
        <v>620</v>
      </c>
      <c r="C122" t="s" s="7769">
        <v>621</v>
      </c>
      <c r="D122" t="s" s="7770">
        <v>622</v>
      </c>
      <c r="E122" t="s" s="7771">
        <v>55</v>
      </c>
      <c r="F122" t="s" s="8124">
        <v>623</v>
      </c>
      <c r="G122" t="s" s="7773">
        <v>602</v>
      </c>
      <c r="H122" t="s" s="7774">
        <v>603</v>
      </c>
      <c r="I122" t="n" s="8499">
        <v>43466.0</v>
      </c>
      <c r="J122" t="n" s="8500">
        <v>43830.0</v>
      </c>
      <c r="K122" t="s" s="7777">
        <v>0</v>
      </c>
      <c r="L122" t="n" s="7778">
        <v>0.0</v>
      </c>
      <c r="M122" t="n" s="7779">
        <v>0.0</v>
      </c>
      <c r="N122" t="n" s="7780">
        <v>0.0</v>
      </c>
      <c r="O122" t="n" s="7781">
        <f>M122*N122</f>
      </c>
      <c r="P122" t="n" s="7782">
        <v>0.0</v>
      </c>
      <c r="Q122" t="n" s="7783">
        <v>0.0</v>
      </c>
      <c r="R122" t="n" s="7784">
        <f>P122*Q122</f>
      </c>
      <c r="S122" t="n" s="7785">
        <f>L122+O122+R122</f>
      </c>
      <c r="T122" t="n" s="7786">
        <v>0.0</v>
      </c>
      <c r="U122" t="n" s="7787">
        <v>0.0</v>
      </c>
      <c r="V122" t="n" s="7788">
        <v>0.0</v>
      </c>
      <c r="W122" t="n" s="7789">
        <v>2400.0</v>
      </c>
      <c r="X122" t="n" s="7790">
        <f>s122+t122+u122+w122</f>
      </c>
      <c r="Y122" t="n" s="7791">
        <v>5.0</v>
      </c>
      <c r="Z122" t="n" s="7792">
        <v>47.6</v>
      </c>
      <c r="AA122" t="n" s="7793">
        <v>0.0</v>
      </c>
      <c r="AB122" t="n" s="7794">
        <v>0.0</v>
      </c>
      <c r="AC122" t="n" s="7795">
        <v>0.0</v>
      </c>
      <c r="AD122" t="n" s="7796">
        <v>0.0</v>
      </c>
      <c r="AE122" t="n" s="7797">
        <f>y122+aa122+ac122</f>
      </c>
      <c r="AF122" t="n" s="7798">
        <f>z122+ab122+ad122</f>
      </c>
      <c r="AG122" t="n" s="7799">
        <v>325.0</v>
      </c>
      <c r="AH122" t="n" s="7800">
        <v>44.65</v>
      </c>
      <c r="AI122" t="n" s="7801">
        <v>5.1</v>
      </c>
      <c r="AJ122" t="n" s="7802">
        <f>x122+af122+ag122+ah122+ai122</f>
      </c>
      <c r="AK122" t="n" s="7803">
        <f>ROUND((l122+t122+af122+ag122+ah122+ai122+w122)*0.05,2)</f>
      </c>
      <c r="AL122" t="n" s="7804">
        <f>aj122+ak122</f>
      </c>
      <c r="AM122" t="n" s="7805">
        <f>80*0.06</f>
      </c>
      <c r="AN122" t="n" s="7806">
        <f>al122+am122</f>
      </c>
      <c r="AO122" t="s" s="7807">
        <v>0</v>
      </c>
    </row>
    <row r="123">
      <c r="A123" t="s" s="7808">
        <v>624</v>
      </c>
      <c r="B123" t="s" s="7809">
        <v>625</v>
      </c>
      <c r="C123" t="s" s="7810">
        <v>626</v>
      </c>
      <c r="D123" t="s" s="7811">
        <v>627</v>
      </c>
      <c r="E123" t="s" s="7812">
        <v>55</v>
      </c>
      <c r="F123" t="s" s="8125">
        <v>628</v>
      </c>
      <c r="G123" t="s" s="7814">
        <v>602</v>
      </c>
      <c r="H123" t="s" s="7815">
        <v>603</v>
      </c>
      <c r="I123" t="n" s="8501">
        <v>43831.0</v>
      </c>
      <c r="J123" t="n" s="8502">
        <v>44196.0</v>
      </c>
      <c r="K123" t="s" s="7818">
        <v>0</v>
      </c>
      <c r="L123" t="n" s="7819">
        <v>1250.0</v>
      </c>
      <c r="M123" t="n" s="7820">
        <v>0.0</v>
      </c>
      <c r="N123" t="n" s="7821">
        <v>0.0</v>
      </c>
      <c r="O123" t="n" s="7822">
        <f>M123*N123</f>
      </c>
      <c r="P123" t="n" s="7823">
        <v>0.0</v>
      </c>
      <c r="Q123" t="n" s="7824">
        <v>0.0</v>
      </c>
      <c r="R123" t="n" s="7825">
        <f>P123*Q123</f>
      </c>
      <c r="S123" t="n" s="7826">
        <f>L123+O123+R123</f>
      </c>
      <c r="T123" t="n" s="7827">
        <v>0.0</v>
      </c>
      <c r="U123" t="n" s="7828">
        <v>3.0</v>
      </c>
      <c r="V123" t="n" s="7829">
        <v>0.0</v>
      </c>
      <c r="W123" t="n" s="7830">
        <v>1080.0</v>
      </c>
      <c r="X123" t="n" s="7831">
        <f>s123+t123+u123+w123</f>
      </c>
      <c r="Y123" t="n" s="7832">
        <v>6.0</v>
      </c>
      <c r="Z123" t="n" s="7833">
        <v>54.06</v>
      </c>
      <c r="AA123" t="n" s="7834">
        <v>0.0</v>
      </c>
      <c r="AB123" t="n" s="7835">
        <v>0.0</v>
      </c>
      <c r="AC123" t="n" s="7836">
        <v>0.0</v>
      </c>
      <c r="AD123" t="n" s="7837">
        <v>0.0</v>
      </c>
      <c r="AE123" t="n" s="7838">
        <f>y123+aa123+ac123</f>
      </c>
      <c r="AF123" t="n" s="7839">
        <f>z123+ab123+ad123</f>
      </c>
      <c r="AG123" t="n" s="7840">
        <v>318.0</v>
      </c>
      <c r="AH123" t="n" s="7841">
        <v>42.85</v>
      </c>
      <c r="AI123" t="n" s="7842">
        <v>4.9</v>
      </c>
      <c r="AJ123" t="n" s="7843">
        <f>x123+af123+ag123+ah123+ai123</f>
      </c>
      <c r="AK123" t="n" s="7844">
        <f>ROUND((l123+t123+af123+ag123+ah123+ai123+w123)*0.05,2)</f>
      </c>
      <c r="AL123" t="n" s="7845">
        <f>aj123+ak123</f>
      </c>
      <c r="AM123" t="n" s="7846">
        <f>83*0.06</f>
      </c>
      <c r="AN123" t="n" s="7847">
        <f>al123+am123</f>
      </c>
      <c r="AO123" t="s" s="7848">
        <v>0</v>
      </c>
    </row>
    <row r="124">
      <c r="A124" t="s" s="7849">
        <v>629</v>
      </c>
      <c r="B124" t="s" s="7850">
        <v>630</v>
      </c>
      <c r="C124" t="s" s="7851">
        <v>631</v>
      </c>
      <c r="D124" t="s" s="7852">
        <v>632</v>
      </c>
      <c r="E124" t="s" s="7853">
        <v>55</v>
      </c>
      <c r="F124" t="s" s="8126">
        <v>633</v>
      </c>
      <c r="G124" t="s" s="7855">
        <v>602</v>
      </c>
      <c r="H124" t="s" s="7856">
        <v>603</v>
      </c>
      <c r="I124" t="n" s="8503">
        <v>43831.0</v>
      </c>
      <c r="J124" t="n" s="8504">
        <v>44196.0</v>
      </c>
      <c r="K124" t="s" s="7859">
        <v>0</v>
      </c>
      <c r="L124" t="n" s="7860">
        <v>1450.0</v>
      </c>
      <c r="M124" t="n" s="7861">
        <v>0.0</v>
      </c>
      <c r="N124" t="n" s="7862">
        <v>0.0</v>
      </c>
      <c r="O124" t="n" s="7863">
        <f>M124*N124</f>
      </c>
      <c r="P124" t="n" s="7864">
        <v>0.0</v>
      </c>
      <c r="Q124" t="n" s="7865">
        <v>0.0</v>
      </c>
      <c r="R124" t="n" s="7866">
        <f>P124*Q124</f>
      </c>
      <c r="S124" t="n" s="7867">
        <f>L124+O124+R124</f>
      </c>
      <c r="T124" t="n" s="7868">
        <v>0.0</v>
      </c>
      <c r="U124" t="n" s="7869">
        <v>8.0</v>
      </c>
      <c r="V124" t="n" s="7870">
        <v>0.0</v>
      </c>
      <c r="W124" t="n" s="7871">
        <v>1400.0</v>
      </c>
      <c r="X124" t="n" s="7872">
        <f>s124+t124+u124+w124</f>
      </c>
      <c r="Y124" t="n" s="7873">
        <v>0.0</v>
      </c>
      <c r="Z124" t="n" s="7874">
        <v>0.0</v>
      </c>
      <c r="AA124" t="n" s="7875">
        <v>0.0</v>
      </c>
      <c r="AB124" t="n" s="7876">
        <v>0.0</v>
      </c>
      <c r="AC124" t="n" s="7877">
        <v>0.0</v>
      </c>
      <c r="AD124" t="n" s="7878">
        <v>0.0</v>
      </c>
      <c r="AE124" t="n" s="7879">
        <f>y124+aa124+ac124</f>
      </c>
      <c r="AF124" t="n" s="7880">
        <f>z124+ab124+ad124</f>
      </c>
      <c r="AG124" t="n" s="7881">
        <v>393.0</v>
      </c>
      <c r="AH124" t="n" s="7882">
        <v>53.35</v>
      </c>
      <c r="AI124" t="n" s="7883">
        <v>6.1</v>
      </c>
      <c r="AJ124" t="n" s="7884">
        <f>x124+af124+ag124+ah124+ai124</f>
      </c>
      <c r="AK124" t="n" s="7885">
        <f>ROUND((l124+t124+af124+ag124+ah124+ai124+w124)*0.05,2)</f>
      </c>
      <c r="AL124" t="n" s="7886">
        <f>aj124+ak124</f>
      </c>
      <c r="AM124" t="n" s="7887">
        <f>88*0.06</f>
      </c>
      <c r="AN124" t="n" s="7888">
        <f>al124+am124</f>
      </c>
      <c r="AO124" t="s" s="7889">
        <v>0</v>
      </c>
    </row>
    <row r="125">
      <c r="A125" t="s" s="7890">
        <v>634</v>
      </c>
      <c r="B125" t="s" s="7891">
        <v>635</v>
      </c>
      <c r="C125" t="s" s="7892">
        <v>636</v>
      </c>
      <c r="D125" t="s" s="7893">
        <v>637</v>
      </c>
      <c r="E125" t="s" s="7894">
        <v>55</v>
      </c>
      <c r="F125" t="s" s="8127">
        <v>638</v>
      </c>
      <c r="G125" t="s" s="7896">
        <v>602</v>
      </c>
      <c r="H125" t="s" s="7897">
        <v>603</v>
      </c>
      <c r="I125" t="n" s="8505">
        <v>43831.0</v>
      </c>
      <c r="J125" t="n" s="8506">
        <v>44196.0</v>
      </c>
      <c r="K125" t="s" s="7900">
        <v>0</v>
      </c>
      <c r="L125" t="n" s="7901">
        <v>1160.0</v>
      </c>
      <c r="M125" t="n" s="7902">
        <v>0.0</v>
      </c>
      <c r="N125" t="n" s="7903">
        <v>0.0</v>
      </c>
      <c r="O125" t="n" s="7904">
        <f>M125*N125</f>
      </c>
      <c r="P125" t="n" s="7905">
        <v>0.0</v>
      </c>
      <c r="Q125" t="n" s="7906">
        <v>0.0</v>
      </c>
      <c r="R125" t="n" s="7907">
        <f>P125*Q125</f>
      </c>
      <c r="S125" t="n" s="7908">
        <f>L125+O125+R125</f>
      </c>
      <c r="T125" t="n" s="7909">
        <v>0.0</v>
      </c>
      <c r="U125" t="n" s="7910">
        <v>0.0</v>
      </c>
      <c r="V125" t="n" s="7911">
        <v>0.0</v>
      </c>
      <c r="W125" t="n" s="7912">
        <v>1000.0</v>
      </c>
      <c r="X125" t="n" s="7913">
        <f>s125+t125+u125+w125</f>
      </c>
      <c r="Y125" t="n" s="7914">
        <v>7.0</v>
      </c>
      <c r="Z125" t="n" s="7915">
        <v>58.59</v>
      </c>
      <c r="AA125" t="n" s="7916">
        <v>0.0</v>
      </c>
      <c r="AB125" t="n" s="7917">
        <v>0.0</v>
      </c>
      <c r="AC125" t="n" s="7918">
        <v>0.0</v>
      </c>
      <c r="AD125" t="n" s="7919">
        <v>0.0</v>
      </c>
      <c r="AE125" t="n" s="7920">
        <f>y125+aa125+ac125</f>
      </c>
      <c r="AF125" t="n" s="7921">
        <f>z125+ab125+ad125</f>
      </c>
      <c r="AG125" t="n" s="7922">
        <v>302.0</v>
      </c>
      <c r="AH125" t="n" s="7923">
        <v>41.15</v>
      </c>
      <c r="AI125" t="n" s="7924">
        <v>4.7</v>
      </c>
      <c r="AJ125" t="n" s="7925">
        <f>x125+af125+ag125+ah125+ai125</f>
      </c>
      <c r="AK125" t="n" s="7926">
        <f>ROUND((l125+t125+af125+ag125+ah125+ai125+w125)*0.05,2)</f>
      </c>
      <c r="AL125" t="n" s="7927">
        <f>aj125+ak125</f>
      </c>
      <c r="AM125" t="n" s="7928">
        <f>80*0.06</f>
      </c>
      <c r="AN125" t="n" s="7929">
        <f>al125+am125</f>
      </c>
      <c r="AO125" t="s" s="7930">
        <v>0</v>
      </c>
    </row>
    <row r="126">
      <c r="A126" t="s" s="7931">
        <v>639</v>
      </c>
      <c r="B126" t="s" s="7932">
        <v>640</v>
      </c>
      <c r="C126" t="s" s="7933">
        <v>641</v>
      </c>
      <c r="D126" t="s" s="7934">
        <v>642</v>
      </c>
      <c r="E126" t="s" s="7935">
        <v>542</v>
      </c>
      <c r="F126" t="s" s="8128">
        <v>0</v>
      </c>
      <c r="G126" t="s" s="7937">
        <v>643</v>
      </c>
      <c r="H126" t="s" s="7938">
        <v>603</v>
      </c>
      <c r="I126" t="n" s="8507">
        <v>43831.0</v>
      </c>
      <c r="J126" t="n" s="8508">
        <v>44196.0</v>
      </c>
      <c r="K126" t="s" s="7941">
        <v>0</v>
      </c>
      <c r="L126" t="n" s="7942">
        <v>3770.0</v>
      </c>
      <c r="M126" t="n" s="7943">
        <v>0.0</v>
      </c>
      <c r="N126" t="n" s="7944">
        <v>0.0</v>
      </c>
      <c r="O126" t="n" s="7945">
        <f>M126*N126</f>
      </c>
      <c r="P126" t="n" s="7946">
        <v>0.0</v>
      </c>
      <c r="Q126" t="n" s="7947">
        <v>0.0</v>
      </c>
      <c r="R126" t="n" s="7948">
        <f>P126*Q126</f>
      </c>
      <c r="S126" t="n" s="7949">
        <f>L126+O126+R126</f>
      </c>
      <c r="T126" t="n" s="7950">
        <v>0.0</v>
      </c>
      <c r="U126" t="n" s="7951">
        <v>0.0</v>
      </c>
      <c r="V126" t="n" s="7952">
        <v>0.0</v>
      </c>
      <c r="W126" t="n" s="7953">
        <v>1900.0</v>
      </c>
      <c r="X126" t="n" s="7954">
        <f>s126+t126+u126+w126</f>
      </c>
      <c r="Y126" t="n" s="7955">
        <v>0.0</v>
      </c>
      <c r="Z126" t="n" s="7956">
        <v>0.0</v>
      </c>
      <c r="AA126" t="n" s="7957">
        <v>0.0</v>
      </c>
      <c r="AB126" t="n" s="7958">
        <v>0.0</v>
      </c>
      <c r="AC126" t="n" s="7959">
        <v>0.0</v>
      </c>
      <c r="AD126" t="n" s="7960">
        <v>0.0</v>
      </c>
      <c r="AE126" t="n" s="7961">
        <f>y126+aa126+ac126</f>
      </c>
      <c r="AF126" t="n" s="7962">
        <f>z126+ab126+ad126</f>
      </c>
      <c r="AG126" t="n" s="7963">
        <v>780.0</v>
      </c>
      <c r="AH126" t="n" s="7964">
        <v>69.05</v>
      </c>
      <c r="AI126" t="n" s="7965">
        <v>7.9</v>
      </c>
      <c r="AJ126" t="n" s="7966">
        <f>x126+af126+ag126+ah126+ai126</f>
      </c>
      <c r="AK126" t="n" s="7967">
        <f>ROUND((l126+t126+af126+ag126+ah126+ai126+w126)*0.05,2)</f>
      </c>
      <c r="AL126" t="n" s="7968">
        <f>aj126+ak126</f>
      </c>
      <c r="AM126" t="n" s="7969">
        <f>80*0.06</f>
      </c>
      <c r="AN126" t="n" s="7970">
        <f>al126+am126</f>
      </c>
      <c r="AO126" t="s" s="7971">
        <v>0</v>
      </c>
    </row>
    <row r="127">
      <c r="A127" t="s" s="7972">
        <v>644</v>
      </c>
      <c r="B127" t="s" s="7973">
        <v>645</v>
      </c>
      <c r="C127" t="s" s="7974">
        <v>646</v>
      </c>
      <c r="D127" t="s" s="7975">
        <v>647</v>
      </c>
      <c r="E127" t="s" s="7976">
        <v>55</v>
      </c>
      <c r="F127" t="s" s="8129">
        <v>648</v>
      </c>
      <c r="G127" t="s" s="7978">
        <v>602</v>
      </c>
      <c r="H127" t="s" s="7979">
        <v>603</v>
      </c>
      <c r="I127" t="n" s="8509">
        <v>43845.0</v>
      </c>
      <c r="J127" t="n" s="8510">
        <v>44196.0</v>
      </c>
      <c r="K127" t="s" s="7982">
        <v>0</v>
      </c>
      <c r="L127" t="n" s="7983">
        <v>658.06</v>
      </c>
      <c r="M127" t="n" s="7984">
        <v>0.0</v>
      </c>
      <c r="N127" t="n" s="7985">
        <v>0.0</v>
      </c>
      <c r="O127" t="n" s="7986">
        <f>M127*N127</f>
      </c>
      <c r="P127" t="n" s="7987">
        <v>0.0</v>
      </c>
      <c r="Q127" t="n" s="7988">
        <v>0.0</v>
      </c>
      <c r="R127" t="n" s="7989">
        <f>P127*Q127</f>
      </c>
      <c r="S127" t="n" s="7990">
        <f>L127+O127+R127</f>
      </c>
      <c r="T127" t="n" s="7991">
        <v>0.0</v>
      </c>
      <c r="U127" t="n" s="7992">
        <v>0.0</v>
      </c>
      <c r="V127" t="n" s="7993">
        <v>0.0</v>
      </c>
      <c r="W127" t="n" s="7994">
        <v>0.0</v>
      </c>
      <c r="X127" t="n" s="7995">
        <f>s127+t127+u127+w127</f>
      </c>
      <c r="Y127" t="n" s="7996">
        <v>0.0</v>
      </c>
      <c r="Z127" t="n" s="7997">
        <v>0.0</v>
      </c>
      <c r="AA127" t="n" s="7998">
        <v>0.0</v>
      </c>
      <c r="AB127" t="n" s="7999">
        <v>0.0</v>
      </c>
      <c r="AC127" t="n" s="8000">
        <v>0.0</v>
      </c>
      <c r="AD127" t="n" s="8001">
        <v>0.0</v>
      </c>
      <c r="AE127" t="n" s="8002">
        <f>y127+aa127+ac127</f>
      </c>
      <c r="AF127" t="n" s="8003">
        <f>z127+ab127+ad127</f>
      </c>
      <c r="AG127" t="n" s="8004">
        <v>94.0</v>
      </c>
      <c r="AH127" t="n" s="8005">
        <v>13.15</v>
      </c>
      <c r="AI127" t="n" s="8006">
        <v>1.5</v>
      </c>
      <c r="AJ127" t="n" s="8007">
        <f>x127+af127+ag127+ah127+ai127</f>
      </c>
      <c r="AK127" t="n" s="8008">
        <f>ROUND((l127+t127+af127+ag127+ah127+ai127+w127)*0.05,2)</f>
      </c>
      <c r="AL127" t="n" s="8009">
        <f>aj127+ak127</f>
      </c>
      <c r="AM127" t="n" s="8010">
        <f>80*0.06</f>
      </c>
      <c r="AN127" t="n" s="8011">
        <f>al127+am127</f>
      </c>
      <c r="AO127" t="s" s="8012">
        <v>0</v>
      </c>
    </row>
    <row r="128">
      <c r="L128" s="3160"/>
      <c r="M128" s="3161"/>
      <c r="N128" s="3162"/>
      <c r="O128" s="3163"/>
      <c r="P128" s="3164"/>
      <c r="Q128" s="3165"/>
      <c r="R128" s="3166"/>
      <c r="S128" s="3167"/>
      <c r="T128" s="3168"/>
      <c r="U128" s="3169"/>
      <c r="V128" s="3170"/>
      <c r="W128" s="3171"/>
      <c r="X128" s="3172"/>
      <c r="Y128" s="3173"/>
      <c r="Z128" s="3174"/>
      <c r="AA128" s="3175"/>
      <c r="AB128" s="3176"/>
      <c r="AC128" s="3177"/>
      <c r="AD128" s="3178"/>
      <c r="AE128" s="3179"/>
      <c r="AF128" s="3180"/>
      <c r="AG128" s="3181"/>
      <c r="AH128" s="3182"/>
      <c r="AI128" s="3183"/>
      <c r="AJ128" s="3184"/>
      <c r="AK128" s="3185"/>
      <c r="AL128" s="3186"/>
    </row>
    <row r="129"/>
    <row r="130">
      <c r="A130" t="s">
        <v>0</v>
      </c>
      <c r="B130" t="s">
        <v>649</v>
      </c>
      <c r="C130">
        <f>COUNTA(A11:A127)</f>
      </c>
      <c r="L130" s="3187">
        <f>SUM(l11:l127)</f>
      </c>
      <c r="M130" s="3188">
        <f>SUM(m11:m127)</f>
      </c>
      <c r="N130" s="3189"/>
      <c r="O130" s="3190">
        <f>SUM(o11:o127)</f>
      </c>
      <c r="P130" s="3191">
        <f>SUM(p11:p127)</f>
      </c>
      <c r="Q130" s="3192"/>
      <c r="R130" s="3193">
        <f>SUM(r11:r127)</f>
      </c>
      <c r="S130" s="3194">
        <f>SUM(s11:s127)</f>
      </c>
      <c r="T130" s="3195">
        <f>SUM(t11:t127)</f>
      </c>
      <c r="U130" s="3196">
        <f>SUM(u11:u127)</f>
      </c>
      <c r="V130" s="3197">
        <f>SUM(v11:v127)</f>
      </c>
      <c r="W130" s="3198">
        <f>SUM(w11:w127)</f>
      </c>
      <c r="X130" s="3199">
        <f>SUM(x11:x127)</f>
      </c>
      <c r="Y130" s="3200">
        <f>SUM(y11:y127)</f>
      </c>
      <c r="Z130" s="3201">
        <f>SUM(z11:z127)</f>
      </c>
      <c r="AA130" s="3202">
        <f>SUM(aa11:aa127)</f>
      </c>
      <c r="AB130" s="3203">
        <f>SUM(ab11:ab127)</f>
      </c>
      <c r="AC130" s="3204">
        <f>SUM(ac11:ac127)</f>
      </c>
      <c r="AD130" s="3205">
        <f>SUM(ad11:ad127)</f>
      </c>
      <c r="AE130" s="3206">
        <f>SUM(ae11:ae127)</f>
      </c>
      <c r="AF130" s="3207">
        <f>SUM(af11:af127)</f>
      </c>
      <c r="AG130" s="3208">
        <f>SUM(ag11:ag127)</f>
      </c>
      <c r="AH130" s="3209">
        <f>SUM(ah11:ah127)</f>
      </c>
      <c r="AI130" s="3210">
        <f>SUM(ai11:ai127)</f>
      </c>
      <c r="AJ130" s="3211">
        <f>SUM(aj11:aj127)</f>
      </c>
      <c r="AK130" s="3212">
        <f>SUM(ak11:ak127)</f>
      </c>
      <c r="AL130" s="3213">
        <f>SUM(al11:al127)</f>
      </c>
      <c r="AM130" s="3214">
        <f>SUM(am11:am127)</f>
      </c>
      <c r="AN130" s="3215">
        <f>SUM(an11:an127)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511">
        <v>0</v>
      </c>
      <c r="B1" t="s" s="8512">
        <v>1</v>
      </c>
      <c r="Y1" t="s" s="8513">
        <v>6</v>
      </c>
      <c r="Z1" t="n" s="8514">
        <v>2020.0</v>
      </c>
    </row>
    <row r="2" ht="15.0" customHeight="true">
      <c r="A2" t="s" s="8515">
        <v>0</v>
      </c>
      <c r="B2" t="s" s="8516">
        <v>2</v>
      </c>
      <c r="Y2" t="s" s="8517">
        <v>7</v>
      </c>
      <c r="Z2" t="n" s="8518">
        <v>2019.0</v>
      </c>
    </row>
    <row r="3" ht="15.0" customHeight="true">
      <c r="A3" t="s" s="8519">
        <v>0</v>
      </c>
      <c r="B3" t="s" s="8520">
        <v>3</v>
      </c>
    </row>
    <row r="4" ht="15.0" customHeight="true">
      <c r="A4" t="s" s="8521">
        <v>0</v>
      </c>
      <c r="B4" t="s" s="8522">
        <v>4</v>
      </c>
    </row>
    <row r="5" ht="15.0" customHeight="true">
      <c r="A5" t="s" s="8523">
        <v>0</v>
      </c>
      <c r="B5" t="s" s="8524">
        <v>5</v>
      </c>
    </row>
    <row r="6" ht="15.0" customHeight="true"/>
    <row r="7" ht="15.0" customHeight="true"/>
    <row r="8" ht="28.0" customHeight="true">
      <c r="A8" t="s" s="8525">
        <v>0</v>
      </c>
      <c r="B8" t="s" s="8526">
        <v>0</v>
      </c>
      <c r="C8" t="s" s="8527">
        <v>0</v>
      </c>
      <c r="D8" t="s" s="8528">
        <v>0</v>
      </c>
      <c r="E8" t="s" s="8529">
        <v>0</v>
      </c>
      <c r="F8" t="s" s="8530">
        <v>0</v>
      </c>
      <c r="G8" t="s" s="8531">
        <v>0</v>
      </c>
      <c r="H8" t="s" s="8532">
        <v>0</v>
      </c>
      <c r="I8" t="s" s="8533">
        <v>0</v>
      </c>
      <c r="J8" t="s" s="8534">
        <v>0</v>
      </c>
      <c r="K8" t="s" s="8535">
        <v>0</v>
      </c>
      <c r="L8" t="s" s="8536">
        <v>0</v>
      </c>
      <c r="M8" t="s" s="8537">
        <v>0</v>
      </c>
      <c r="N8" t="s" s="8538">
        <v>0</v>
      </c>
      <c r="O8" t="s" s="8539">
        <v>0</v>
      </c>
      <c r="P8" t="s" s="8540">
        <v>0</v>
      </c>
      <c r="Q8" t="s" s="8541">
        <v>0</v>
      </c>
      <c r="R8" t="s" s="8542">
        <v>0</v>
      </c>
      <c r="S8" t="s" s="8543">
        <v>0</v>
      </c>
      <c r="T8" t="s" s="8544">
        <v>0</v>
      </c>
      <c r="U8" t="s" s="8545">
        <v>0</v>
      </c>
      <c r="V8" t="s" s="8546">
        <v>0</v>
      </c>
      <c r="W8" t="s" s="8547">
        <v>0</v>
      </c>
      <c r="X8" t="s" s="8548">
        <v>0</v>
      </c>
      <c r="Y8" t="s" s="8549">
        <v>0</v>
      </c>
      <c r="Z8" t="s" s="8550">
        <v>0</v>
      </c>
      <c r="AA8" t="s" s="8551">
        <v>0</v>
      </c>
      <c r="AB8" t="s" s="8552">
        <v>0</v>
      </c>
      <c r="AC8" t="s" s="8553">
        <v>8</v>
      </c>
      <c r="AD8" t="s" s="8554">
        <v>0</v>
      </c>
      <c r="AE8" t="s" s="8555">
        <v>0</v>
      </c>
      <c r="AF8" t="s" s="8556">
        <v>0</v>
      </c>
      <c r="AG8" t="s" s="8557">
        <v>0</v>
      </c>
      <c r="AH8" t="s" s="8558">
        <v>0</v>
      </c>
      <c r="AI8" t="s" s="8559">
        <v>0</v>
      </c>
      <c r="AJ8" t="s" s="8560">
        <v>0</v>
      </c>
      <c r="AK8" t="s" s="8561">
        <v>0</v>
      </c>
      <c r="AL8" t="s" s="8562">
        <v>0</v>
      </c>
      <c r="AM8" t="s" s="8563">
        <v>0</v>
      </c>
      <c r="AN8" t="s" s="8564">
        <v>0</v>
      </c>
      <c r="AO8" t="s" s="8565">
        <v>0</v>
      </c>
    </row>
    <row r="9" ht="41.0" customHeight="true">
      <c r="A9" t="s" s="8566">
        <v>9</v>
      </c>
      <c r="B9" t="s" s="8567">
        <v>10</v>
      </c>
      <c r="C9" t="s" s="8568">
        <v>11</v>
      </c>
      <c r="D9" t="s" s="8569">
        <v>12</v>
      </c>
      <c r="E9" t="s" s="8570">
        <v>13</v>
      </c>
      <c r="F9" t="s" s="8571">
        <v>14</v>
      </c>
      <c r="G9" t="s" s="8572">
        <v>15</v>
      </c>
      <c r="H9" t="s" s="8573">
        <v>16</v>
      </c>
      <c r="I9" t="s" s="8574">
        <v>17</v>
      </c>
      <c r="J9" t="s" s="8575">
        <v>18</v>
      </c>
      <c r="K9" t="s" s="8576">
        <v>19</v>
      </c>
      <c r="L9" t="s" s="8577">
        <v>20</v>
      </c>
      <c r="M9" t="s" s="8578">
        <v>21</v>
      </c>
      <c r="N9" t="s" s="8579">
        <v>22</v>
      </c>
      <c r="O9" t="s" s="8580">
        <v>23</v>
      </c>
      <c r="P9" t="s" s="8581">
        <v>24</v>
      </c>
      <c r="Q9" t="s" s="8582">
        <v>25</v>
      </c>
      <c r="R9" t="s" s="8583">
        <v>26</v>
      </c>
      <c r="S9" t="s" s="8584">
        <v>27</v>
      </c>
      <c r="T9" t="s" s="8585">
        <v>28</v>
      </c>
      <c r="U9" t="s" s="8586">
        <v>29</v>
      </c>
      <c r="V9" t="s" s="8587">
        <v>30</v>
      </c>
      <c r="W9" t="s" s="8588">
        <v>31</v>
      </c>
      <c r="X9" t="s" s="8589">
        <v>32</v>
      </c>
      <c r="Y9" t="s" s="8590">
        <v>33</v>
      </c>
      <c r="Z9" t="s" s="8591">
        <v>34</v>
      </c>
      <c r="AA9" t="s" s="8592">
        <v>35</v>
      </c>
      <c r="AB9" t="s" s="8593">
        <v>36</v>
      </c>
      <c r="AC9" t="s" s="8594">
        <v>37</v>
      </c>
      <c r="AD9" t="s" s="8595">
        <v>38</v>
      </c>
      <c r="AE9" t="s" s="8596">
        <v>39</v>
      </c>
      <c r="AF9" t="s" s="8597">
        <v>40</v>
      </c>
      <c r="AG9" t="s" s="8598">
        <v>41</v>
      </c>
      <c r="AH9" t="s" s="8599">
        <v>42</v>
      </c>
      <c r="AI9" t="s" s="8600">
        <v>43</v>
      </c>
      <c r="AJ9" t="s" s="8601">
        <v>44</v>
      </c>
      <c r="AK9" t="s" s="8602">
        <v>45</v>
      </c>
      <c r="AL9" t="s" s="8603">
        <v>46</v>
      </c>
      <c r="AM9" t="s" s="8604">
        <v>47</v>
      </c>
      <c r="AN9" t="s" s="8605">
        <v>48</v>
      </c>
      <c r="AO9" t="s" s="8606">
        <v>49</v>
      </c>
    </row>
    <row r="10" ht="15.0" customHeight="true">
      <c r="A10" t="s" s="8607">
        <v>0</v>
      </c>
      <c r="B10" t="s" s="8608">
        <v>0</v>
      </c>
      <c r="C10" t="s" s="8609">
        <v>0</v>
      </c>
      <c r="D10" t="s" s="8610">
        <v>0</v>
      </c>
      <c r="E10" t="s" s="8611">
        <v>0</v>
      </c>
      <c r="F10" t="s" s="8612">
        <v>0</v>
      </c>
      <c r="G10" t="s" s="8613">
        <v>0</v>
      </c>
      <c r="H10" t="s" s="8614">
        <v>0</v>
      </c>
      <c r="I10" t="s" s="8615">
        <v>0</v>
      </c>
      <c r="J10" t="s" s="8616">
        <v>0</v>
      </c>
      <c r="K10" t="s" s="8617">
        <v>0</v>
      </c>
      <c r="L10" t="s" s="8618">
        <v>0</v>
      </c>
      <c r="M10" t="s" s="8619">
        <v>0</v>
      </c>
      <c r="N10" t="s" s="8620">
        <v>0</v>
      </c>
      <c r="O10" t="s" s="8621">
        <v>0</v>
      </c>
      <c r="P10" t="s" s="8622">
        <v>0</v>
      </c>
      <c r="Q10" t="s" s="8623">
        <v>0</v>
      </c>
      <c r="R10" t="s" s="8624">
        <v>0</v>
      </c>
      <c r="S10" t="s" s="8625">
        <v>0</v>
      </c>
      <c r="T10" t="s" s="8626">
        <v>0</v>
      </c>
      <c r="U10" t="s" s="8627">
        <v>0</v>
      </c>
      <c r="V10" t="s" s="8628">
        <v>0</v>
      </c>
      <c r="W10" t="s" s="8629">
        <v>0</v>
      </c>
      <c r="X10" t="s" s="8630">
        <v>0</v>
      </c>
      <c r="Y10" t="n" s="8631">
        <v>1.5</v>
      </c>
      <c r="Z10" t="n" s="8632">
        <v>1.5</v>
      </c>
      <c r="AA10" t="n" s="8633">
        <v>2.0</v>
      </c>
      <c r="AB10" t="n" s="8634">
        <v>2.0</v>
      </c>
      <c r="AC10" t="n" s="8635">
        <v>3.0</v>
      </c>
      <c r="AD10" t="n" s="8636">
        <v>3.0</v>
      </c>
      <c r="AE10" t="s" s="8637">
        <v>50</v>
      </c>
      <c r="AF10" t="s" s="8638">
        <v>50</v>
      </c>
      <c r="AG10" t="s" s="8639">
        <v>0</v>
      </c>
      <c r="AH10" t="s" s="8640">
        <v>0</v>
      </c>
      <c r="AI10" t="s" s="8641">
        <v>0</v>
      </c>
      <c r="AJ10" t="s" s="8642">
        <v>0</v>
      </c>
      <c r="AK10" t="s" s="8643">
        <v>0</v>
      </c>
      <c r="AL10" t="s" s="8644">
        <v>0</v>
      </c>
      <c r="AM10" t="s" s="8645">
        <v>0</v>
      </c>
      <c r="AN10" t="s" s="8646">
        <v>0</v>
      </c>
      <c r="AO10" t="s" s="8647">
        <v>0</v>
      </c>
    </row>
    <row r="11" ht="15.0" customHeight="true">
      <c r="A11" t="s" s="8648">
        <v>51</v>
      </c>
      <c r="B11" t="s" s="8649">
        <v>52</v>
      </c>
      <c r="C11" t="s" s="8650">
        <v>53</v>
      </c>
      <c r="D11" t="s" s="8651">
        <v>54</v>
      </c>
      <c r="E11" t="s" s="8652">
        <v>55</v>
      </c>
      <c r="F11" t="s" s="8653">
        <v>56</v>
      </c>
      <c r="G11" t="s" s="8654">
        <v>57</v>
      </c>
      <c r="H11" t="s" s="8655">
        <v>58</v>
      </c>
      <c r="I11" t="n" s="8656">
        <v>43831.0</v>
      </c>
      <c r="J11" t="n" s="8657">
        <v>44196.0</v>
      </c>
      <c r="K11" t="s" s="8658">
        <v>0</v>
      </c>
      <c r="L11" t="n" s="8659">
        <v>1610.0</v>
      </c>
      <c r="M11" t="n" s="8660">
        <v>0.0</v>
      </c>
      <c r="N11" t="n" s="8661">
        <v>0.0</v>
      </c>
      <c r="O11" s="8662">
        <f>M11*N11</f>
      </c>
      <c r="P11" t="n" s="8663">
        <v>0.0</v>
      </c>
      <c r="Q11" t="n" s="8664">
        <v>0.0</v>
      </c>
      <c r="R11" s="8665">
        <f>P11*Q11</f>
      </c>
      <c r="S11" t="n" s="8666">
        <v>1610.0</v>
      </c>
      <c r="T11" t="n" s="8667">
        <v>0.0</v>
      </c>
      <c r="U11" t="n" s="8668">
        <v>0.0</v>
      </c>
      <c r="V11" s="8669">
        <f>L11+O11+R11</f>
      </c>
      <c r="W11" t="n" s="8670">
        <v>2400.0</v>
      </c>
      <c r="X11" s="8671">
        <f>s11+t11+u11+w11</f>
      </c>
      <c r="Y11" t="n" s="8672">
        <v>6.0</v>
      </c>
      <c r="Z11" t="n" s="8673">
        <v>69.66</v>
      </c>
      <c r="AA11" t="n" s="8674">
        <v>0.0</v>
      </c>
      <c r="AB11" t="n" s="8675">
        <v>0.0</v>
      </c>
      <c r="AC11" t="n" s="8676">
        <v>1.0</v>
      </c>
      <c r="AD11" t="n" s="8677">
        <v>23.22</v>
      </c>
      <c r="AE11" s="8678">
        <f>y11+aa11+ac11</f>
      </c>
      <c r="AF11" s="8679">
        <f>z11+ab11+ad11</f>
      </c>
      <c r="AG11" t="n" s="8680">
        <v>536.0</v>
      </c>
      <c r="AH11" t="n" s="8681">
        <v>69.05</v>
      </c>
      <c r="AI11" t="n" s="8682">
        <v>7.9</v>
      </c>
      <c r="AJ11" s="8683">
        <f>x11+af11+ag11+ah11+ai11</f>
      </c>
      <c r="AK11" s="8684">
        <f>ROUND((l11+t11+af11+ag11+ah11+ai11+w11)*0.05,2)</f>
      </c>
      <c r="AL11" s="8685">
        <f>aj11+ak11</f>
      </c>
      <c r="AM11" s="8686">
        <f>80*0.06</f>
      </c>
      <c r="AN11" s="8687">
        <f>al11+am11</f>
      </c>
      <c r="AO11" t="s" s="8688">
        <v>0</v>
      </c>
    </row>
    <row r="12" ht="15.0" customHeight="true">
      <c r="A12" t="s" s="8689">
        <v>59</v>
      </c>
      <c r="B12" t="s" s="8690">
        <v>60</v>
      </c>
      <c r="C12" t="s" s="8691">
        <v>61</v>
      </c>
      <c r="D12" t="s" s="8692">
        <v>62</v>
      </c>
      <c r="E12" t="s" s="8693">
        <v>55</v>
      </c>
      <c r="F12" t="s" s="8694">
        <v>63</v>
      </c>
      <c r="G12" t="s" s="8695">
        <v>57</v>
      </c>
      <c r="H12" t="s" s="8696">
        <v>58</v>
      </c>
      <c r="I12" t="n" s="8697">
        <v>43831.0</v>
      </c>
      <c r="J12" t="n" s="8698">
        <v>44196.0</v>
      </c>
      <c r="K12" t="s" s="8699">
        <v>0</v>
      </c>
      <c r="L12" t="n" s="8700">
        <v>1480.0</v>
      </c>
      <c r="M12" t="n" s="8701">
        <v>0.0</v>
      </c>
      <c r="N12" t="n" s="8702">
        <v>0.0</v>
      </c>
      <c r="O12" s="8703">
        <f>M12*N12</f>
      </c>
      <c r="P12" t="n" s="8704">
        <v>0.0</v>
      </c>
      <c r="Q12" t="n" s="8705">
        <v>0.0</v>
      </c>
      <c r="R12" s="8706">
        <f>P12*Q12</f>
      </c>
      <c r="S12" t="n" s="8707">
        <v>1480.0</v>
      </c>
      <c r="T12" t="n" s="8708">
        <v>0.0</v>
      </c>
      <c r="U12" t="n" s="8709">
        <v>0.0</v>
      </c>
      <c r="V12" s="8710">
        <f>L12+O12+R12</f>
      </c>
      <c r="W12" t="n" s="8711">
        <v>0.0</v>
      </c>
      <c r="X12" s="8712">
        <f>s12+t12+u12+w12</f>
      </c>
      <c r="Y12" t="n" s="8713">
        <v>7.0</v>
      </c>
      <c r="Z12" t="n" s="8714">
        <v>74.69</v>
      </c>
      <c r="AA12" t="n" s="8715">
        <v>8.0</v>
      </c>
      <c r="AB12" t="n" s="8716">
        <v>113.84</v>
      </c>
      <c r="AC12" t="n" s="8717">
        <v>0.0</v>
      </c>
      <c r="AD12" t="n" s="8718">
        <v>0.0</v>
      </c>
      <c r="AE12" s="8719">
        <f>y12+aa12+ac12</f>
      </c>
      <c r="AF12" s="8720">
        <f>z12+ab12+ad12</f>
      </c>
      <c r="AG12" t="n" s="8721">
        <v>206.0</v>
      </c>
      <c r="AH12" t="n" s="8722">
        <v>30.65</v>
      </c>
      <c r="AI12" t="n" s="8723">
        <v>3.5</v>
      </c>
      <c r="AJ12" s="8724">
        <f>x12+af12+ag12+ah12+ai12</f>
      </c>
      <c r="AK12" s="8725">
        <f>ROUND((l12+t12+af12+ag12+ah12+ai12+w12)*0.05,2)</f>
      </c>
      <c r="AL12" s="8726">
        <f>aj12+ak12</f>
      </c>
      <c r="AM12" s="8727">
        <f>80*0.06</f>
      </c>
      <c r="AN12" s="8728">
        <f>al12+am12</f>
      </c>
      <c r="AO12" t="s" s="8729">
        <v>0</v>
      </c>
    </row>
    <row r="13" ht="15.0" customHeight="true">
      <c r="A13" t="s" s="8730">
        <v>64</v>
      </c>
      <c r="B13" t="s" s="8731">
        <v>65</v>
      </c>
      <c r="C13" t="s" s="8732">
        <v>66</v>
      </c>
      <c r="D13" t="s" s="8733">
        <v>67</v>
      </c>
      <c r="E13" t="s" s="8734">
        <v>55</v>
      </c>
      <c r="F13" t="s" s="8735">
        <v>68</v>
      </c>
      <c r="G13" t="s" s="8736">
        <v>57</v>
      </c>
      <c r="H13" t="s" s="8737">
        <v>58</v>
      </c>
      <c r="I13" t="n" s="8738">
        <v>43831.0</v>
      </c>
      <c r="J13" t="n" s="8739">
        <v>44196.0</v>
      </c>
      <c r="K13" t="s" s="8740">
        <v>0</v>
      </c>
      <c r="L13" t="n" s="8741">
        <v>1420.0</v>
      </c>
      <c r="M13" t="n" s="8742">
        <v>0.0</v>
      </c>
      <c r="N13" t="n" s="8743">
        <v>0.0</v>
      </c>
      <c r="O13" s="8744">
        <f>M13*N13</f>
      </c>
      <c r="P13" t="n" s="8745">
        <v>0.0</v>
      </c>
      <c r="Q13" t="n" s="8746">
        <v>0.0</v>
      </c>
      <c r="R13" s="8747">
        <f>P13*Q13</f>
      </c>
      <c r="S13" t="n" s="8748">
        <v>1420.0</v>
      </c>
      <c r="T13" t="n" s="8749">
        <v>0.0</v>
      </c>
      <c r="U13" t="n" s="8750">
        <v>0.0</v>
      </c>
      <c r="V13" s="8751">
        <f>L13+O13+R13</f>
      </c>
      <c r="W13" t="n" s="8752">
        <v>1200.0</v>
      </c>
      <c r="X13" s="8753">
        <f>s13+t13+u13+w13</f>
      </c>
      <c r="Y13" t="n" s="8754">
        <v>6.5</v>
      </c>
      <c r="Z13" t="n" s="8755">
        <v>66.56</v>
      </c>
      <c r="AA13" t="n" s="8756">
        <v>8.0</v>
      </c>
      <c r="AB13" t="n" s="8757">
        <v>109.2</v>
      </c>
      <c r="AC13" t="n" s="8758">
        <v>0.0</v>
      </c>
      <c r="AD13" t="n" s="8759">
        <v>0.0</v>
      </c>
      <c r="AE13" s="8760">
        <f>y13+aa13+ac13</f>
      </c>
      <c r="AF13" s="8761">
        <f>z13+ab13+ad13</f>
      </c>
      <c r="AG13" t="n" s="8762">
        <v>354.0</v>
      </c>
      <c r="AH13" t="n" s="8763">
        <v>49.85</v>
      </c>
      <c r="AI13" t="n" s="8764">
        <v>5.7</v>
      </c>
      <c r="AJ13" s="8765">
        <f>x13+af13+ag13+ah13+ai13</f>
      </c>
      <c r="AK13" s="8766">
        <f>ROUND((l13+t13+af13+ag13+ah13+ai13+w13)*0.05,2)</f>
      </c>
      <c r="AL13" s="8767">
        <f>aj13+ak13</f>
      </c>
      <c r="AM13" s="8768">
        <f>80*0.06</f>
      </c>
      <c r="AN13" s="8769">
        <f>al13+am13</f>
      </c>
      <c r="AO13" t="s" s="8770">
        <v>0</v>
      </c>
    </row>
    <row r="14" ht="15.0" customHeight="true">
      <c r="A14" t="s" s="8771">
        <v>69</v>
      </c>
      <c r="B14" t="s" s="8772">
        <v>70</v>
      </c>
      <c r="C14" t="s" s="8773">
        <v>71</v>
      </c>
      <c r="D14" t="s" s="8774">
        <v>72</v>
      </c>
      <c r="E14" t="s" s="8775">
        <v>55</v>
      </c>
      <c r="F14" t="s" s="8776">
        <v>73</v>
      </c>
      <c r="G14" t="s" s="8777">
        <v>57</v>
      </c>
      <c r="H14" t="s" s="8778">
        <v>58</v>
      </c>
      <c r="I14" t="n" s="8779">
        <v>43831.0</v>
      </c>
      <c r="J14" t="n" s="8780">
        <v>44196.0</v>
      </c>
      <c r="K14" t="s" s="8781">
        <v>0</v>
      </c>
      <c r="L14" t="n" s="8782">
        <v>1390.0</v>
      </c>
      <c r="M14" t="n" s="8783">
        <v>0.0</v>
      </c>
      <c r="N14" t="n" s="8784">
        <v>0.0</v>
      </c>
      <c r="O14" s="8785">
        <f>M14*N14</f>
      </c>
      <c r="P14" t="n" s="8786">
        <v>0.0</v>
      </c>
      <c r="Q14" t="n" s="8787">
        <v>0.0</v>
      </c>
      <c r="R14" s="8788">
        <f>P14*Q14</f>
      </c>
      <c r="S14" t="n" s="8789">
        <v>1390.0</v>
      </c>
      <c r="T14" t="n" s="8790">
        <v>0.0</v>
      </c>
      <c r="U14" t="n" s="8791">
        <v>0.0</v>
      </c>
      <c r="V14" s="8792">
        <f>L14+O14+R14</f>
      </c>
      <c r="W14" t="n" s="8793">
        <v>1650.0</v>
      </c>
      <c r="X14" s="8794">
        <f>s14+t14+u14+w14</f>
      </c>
      <c r="Y14" t="n" s="8795">
        <v>3.0</v>
      </c>
      <c r="Z14" t="n" s="8796">
        <v>30.06</v>
      </c>
      <c r="AA14" t="n" s="8797">
        <v>0.0</v>
      </c>
      <c r="AB14" t="n" s="8798">
        <v>0.0</v>
      </c>
      <c r="AC14" t="n" s="8799">
        <v>0.0</v>
      </c>
      <c r="AD14" t="n" s="8800">
        <v>0.0</v>
      </c>
      <c r="AE14" s="8801">
        <f>y14+aa14+ac14</f>
      </c>
      <c r="AF14" s="8802">
        <f>z14+ab14+ad14</f>
      </c>
      <c r="AG14" t="n" s="8803">
        <v>416.0</v>
      </c>
      <c r="AH14" t="n" s="8804">
        <v>56.85</v>
      </c>
      <c r="AI14" t="n" s="8805">
        <v>6.5</v>
      </c>
      <c r="AJ14" s="8806">
        <f>x14+af14+ag14+ah14+ai14</f>
      </c>
      <c r="AK14" s="8807">
        <f>ROUND((l14+t14+af14+ag14+ah14+ai14+w14)*0.05,2)</f>
      </c>
      <c r="AL14" s="8808">
        <f>aj14+ak14</f>
      </c>
      <c r="AM14" s="8809">
        <f>80*0.06</f>
      </c>
      <c r="AN14" s="8810">
        <f>al14+am14</f>
      </c>
      <c r="AO14" t="s" s="8811">
        <v>0</v>
      </c>
    </row>
    <row r="15" ht="15.0" customHeight="true">
      <c r="A15" t="s" s="8812">
        <v>74</v>
      </c>
      <c r="B15" t="s" s="8813">
        <v>75</v>
      </c>
      <c r="C15" t="s" s="8814">
        <v>76</v>
      </c>
      <c r="D15" t="s" s="8815">
        <v>77</v>
      </c>
      <c r="E15" t="s" s="8816">
        <v>55</v>
      </c>
      <c r="F15" t="s" s="8817">
        <v>78</v>
      </c>
      <c r="G15" t="s" s="8818">
        <v>57</v>
      </c>
      <c r="H15" t="s" s="8819">
        <v>58</v>
      </c>
      <c r="I15" t="n" s="8820">
        <v>43831.0</v>
      </c>
      <c r="J15" t="n" s="8821">
        <v>44196.0</v>
      </c>
      <c r="K15" t="s" s="8822">
        <v>0</v>
      </c>
      <c r="L15" t="n" s="8823">
        <v>1780.0</v>
      </c>
      <c r="M15" t="n" s="8824">
        <v>0.0</v>
      </c>
      <c r="N15" t="n" s="8825">
        <v>0.0</v>
      </c>
      <c r="O15" s="8826">
        <f>M15*N15</f>
      </c>
      <c r="P15" t="n" s="8827">
        <v>0.0</v>
      </c>
      <c r="Q15" t="n" s="8828">
        <v>0.0</v>
      </c>
      <c r="R15" s="8829">
        <f>P15*Q15</f>
      </c>
      <c r="S15" t="n" s="8830">
        <v>1780.0</v>
      </c>
      <c r="T15" t="n" s="8831">
        <v>0.0</v>
      </c>
      <c r="U15" t="n" s="8832">
        <v>0.0</v>
      </c>
      <c r="V15" s="8833">
        <f>L15+O15+R15</f>
      </c>
      <c r="W15" t="n" s="8834">
        <v>2400.0</v>
      </c>
      <c r="X15" s="8835">
        <f>s15+t15+u15+w15</f>
      </c>
      <c r="Y15" t="n" s="8836">
        <v>10.5</v>
      </c>
      <c r="Z15" t="n" s="8837">
        <v>134.82</v>
      </c>
      <c r="AA15" t="n" s="8838">
        <v>0.0</v>
      </c>
      <c r="AB15" t="n" s="8839">
        <v>0.0</v>
      </c>
      <c r="AC15" t="n" s="8840">
        <v>1.0</v>
      </c>
      <c r="AD15" t="n" s="8841">
        <v>25.67</v>
      </c>
      <c r="AE15" s="8842">
        <f>y15+aa15+ac15</f>
      </c>
      <c r="AF15" s="8843">
        <f>z15+ab15+ad15</f>
      </c>
      <c r="AG15" t="n" s="8844">
        <v>557.0</v>
      </c>
      <c r="AH15" t="n" s="8845">
        <v>69.05</v>
      </c>
      <c r="AI15" t="n" s="8846">
        <v>7.9</v>
      </c>
      <c r="AJ15" s="8847">
        <f>x15+af15+ag15+ah15+ai15</f>
      </c>
      <c r="AK15" s="8848">
        <f>ROUND((l15+t15+af15+ag15+ah15+ai15+w15)*0.05,2)</f>
      </c>
      <c r="AL15" s="8849">
        <f>aj15+ak15</f>
      </c>
      <c r="AM15" s="8850">
        <f>80*0.06</f>
      </c>
      <c r="AN15" s="8851">
        <f>al15+am15</f>
      </c>
      <c r="AO15" t="s" s="8852">
        <v>0</v>
      </c>
    </row>
    <row r="16" ht="15.0" customHeight="true">
      <c r="A16" t="s" s="8853">
        <v>79</v>
      </c>
      <c r="B16" t="s" s="8854">
        <v>80</v>
      </c>
      <c r="C16" t="s" s="8855">
        <v>81</v>
      </c>
      <c r="D16" t="s" s="8856">
        <v>82</v>
      </c>
      <c r="E16" t="s" s="8857">
        <v>55</v>
      </c>
      <c r="F16" t="s" s="8858">
        <v>83</v>
      </c>
      <c r="G16" t="s" s="8859">
        <v>57</v>
      </c>
      <c r="H16" t="s" s="8860">
        <v>58</v>
      </c>
      <c r="I16" t="n" s="8861">
        <v>43831.0</v>
      </c>
      <c r="J16" t="n" s="8862">
        <v>44196.0</v>
      </c>
      <c r="K16" t="s" s="8863">
        <v>0</v>
      </c>
      <c r="L16" t="n" s="8864">
        <v>1640.0</v>
      </c>
      <c r="M16" t="n" s="8865">
        <v>0.0</v>
      </c>
      <c r="N16" t="n" s="8866">
        <v>0.0</v>
      </c>
      <c r="O16" s="8867">
        <f>M16*N16</f>
      </c>
      <c r="P16" t="n" s="8868">
        <v>0.0</v>
      </c>
      <c r="Q16" t="n" s="8869">
        <v>0.0</v>
      </c>
      <c r="R16" s="8870">
        <f>P16*Q16</f>
      </c>
      <c r="S16" t="n" s="8871">
        <v>1640.0</v>
      </c>
      <c r="T16" t="n" s="8872">
        <v>0.0</v>
      </c>
      <c r="U16" t="n" s="8873">
        <v>0.0</v>
      </c>
      <c r="V16" s="8874">
        <f>L16+O16+R16</f>
      </c>
      <c r="W16" t="n" s="8875">
        <v>1400.0</v>
      </c>
      <c r="X16" s="8876">
        <f>s16+t16+u16+w16</f>
      </c>
      <c r="Y16" t="n" s="8877">
        <v>11.0</v>
      </c>
      <c r="Z16" t="n" s="8878">
        <v>130.13</v>
      </c>
      <c r="AA16" t="n" s="8879">
        <v>0.0</v>
      </c>
      <c r="AB16" t="n" s="8880">
        <v>0.0</v>
      </c>
      <c r="AC16" t="n" s="8881">
        <v>1.0</v>
      </c>
      <c r="AD16" t="n" s="8882">
        <v>23.65</v>
      </c>
      <c r="AE16" s="8883">
        <f>y16+aa16+ac16</f>
      </c>
      <c r="AF16" s="8884">
        <f>z16+ab16+ad16</f>
      </c>
      <c r="AG16" t="n" s="8885">
        <v>409.0</v>
      </c>
      <c r="AH16" t="n" s="8886">
        <v>56.85</v>
      </c>
      <c r="AI16" t="n" s="8887">
        <v>6.5</v>
      </c>
      <c r="AJ16" s="8888">
        <f>x16+af16+ag16+ah16+ai16</f>
      </c>
      <c r="AK16" s="8889">
        <f>ROUND((l16+t16+af16+ag16+ah16+ai16+w16)*0.05,2)</f>
      </c>
      <c r="AL16" s="8890">
        <f>aj16+ak16</f>
      </c>
      <c r="AM16" s="8891">
        <f>80*0.06</f>
      </c>
      <c r="AN16" s="8892">
        <f>al16+am16</f>
      </c>
      <c r="AO16" t="s" s="8893">
        <v>0</v>
      </c>
    </row>
    <row r="17" ht="15.0" customHeight="true">
      <c r="A17" t="s" s="8894">
        <v>84</v>
      </c>
      <c r="B17" t="s" s="8895">
        <v>85</v>
      </c>
      <c r="C17" t="s" s="8896">
        <v>86</v>
      </c>
      <c r="D17" t="s" s="8897">
        <v>87</v>
      </c>
      <c r="E17" t="s" s="8898">
        <v>55</v>
      </c>
      <c r="F17" t="s" s="8899">
        <v>88</v>
      </c>
      <c r="G17" t="s" s="8900">
        <v>57</v>
      </c>
      <c r="H17" t="s" s="8901">
        <v>58</v>
      </c>
      <c r="I17" t="n" s="8902">
        <v>43831.0</v>
      </c>
      <c r="J17" t="n" s="8903">
        <v>44196.0</v>
      </c>
      <c r="K17" t="s" s="8904">
        <v>0</v>
      </c>
      <c r="L17" t="n" s="8905">
        <v>1510.0</v>
      </c>
      <c r="M17" t="n" s="8906">
        <v>0.0</v>
      </c>
      <c r="N17" t="n" s="8907">
        <v>0.0</v>
      </c>
      <c r="O17" s="8908">
        <f>M17*N17</f>
      </c>
      <c r="P17" t="n" s="8909">
        <v>0.0</v>
      </c>
      <c r="Q17" t="n" s="8910">
        <v>0.0</v>
      </c>
      <c r="R17" s="8911">
        <f>P17*Q17</f>
      </c>
      <c r="S17" t="n" s="8912">
        <v>1510.0</v>
      </c>
      <c r="T17" t="n" s="8913">
        <v>0.0</v>
      </c>
      <c r="U17" t="n" s="8914">
        <v>0.0</v>
      </c>
      <c r="V17" s="8915">
        <f>L17+O17+R17</f>
      </c>
      <c r="W17" t="n" s="8916">
        <v>420.0</v>
      </c>
      <c r="X17" s="8917">
        <f>s17+t17+u17+w17</f>
      </c>
      <c r="Y17" t="n" s="8918">
        <v>5.0</v>
      </c>
      <c r="Z17" t="n" s="8919">
        <v>54.45</v>
      </c>
      <c r="AA17" t="n" s="8920">
        <v>8.0</v>
      </c>
      <c r="AB17" t="n" s="8921">
        <v>116.16</v>
      </c>
      <c r="AC17" t="n" s="8922">
        <v>0.0</v>
      </c>
      <c r="AD17" t="n" s="8923">
        <v>0.0</v>
      </c>
      <c r="AE17" s="8924">
        <f>y17+aa17+ac17</f>
      </c>
      <c r="AF17" s="8925">
        <f>z17+ab17+ad17</f>
      </c>
      <c r="AG17" t="n" s="8926">
        <v>266.0</v>
      </c>
      <c r="AH17" t="n" s="8927">
        <v>39.35</v>
      </c>
      <c r="AI17" t="n" s="8928">
        <v>4.5</v>
      </c>
      <c r="AJ17" s="8929">
        <f>x17+af17+ag17+ah17+ai17</f>
      </c>
      <c r="AK17" s="8930">
        <f>ROUND((l17+t17+af17+ag17+ah17+ai17+w17)*0.05,2)</f>
      </c>
      <c r="AL17" s="8931">
        <f>aj17+ak17</f>
      </c>
      <c r="AM17" s="8932">
        <f>80*0.06</f>
      </c>
      <c r="AN17" s="8933">
        <f>al17+am17</f>
      </c>
      <c r="AO17" t="s" s="8934">
        <v>0</v>
      </c>
    </row>
    <row r="18" ht="15.0" customHeight="true">
      <c r="A18" t="s" s="8935">
        <v>89</v>
      </c>
      <c r="B18" t="s" s="8936">
        <v>90</v>
      </c>
      <c r="C18" t="s" s="8937">
        <v>91</v>
      </c>
      <c r="D18" t="s" s="8938">
        <v>92</v>
      </c>
      <c r="E18" t="s" s="8939">
        <v>93</v>
      </c>
      <c r="F18" t="s" s="8940">
        <v>94</v>
      </c>
      <c r="G18" t="s" s="8941">
        <v>57</v>
      </c>
      <c r="H18" t="s" s="8942">
        <v>58</v>
      </c>
      <c r="I18" t="n" s="8943">
        <v>43831.0</v>
      </c>
      <c r="J18" t="n" s="8944">
        <v>44196.0</v>
      </c>
      <c r="K18" t="s" s="8945">
        <v>0</v>
      </c>
      <c r="L18" t="n" s="8946">
        <v>1500.0</v>
      </c>
      <c r="M18" t="n" s="8947">
        <v>0.0</v>
      </c>
      <c r="N18" t="n" s="8948">
        <v>0.0</v>
      </c>
      <c r="O18" s="8949">
        <f>M18*N18</f>
      </c>
      <c r="P18" t="n" s="8950">
        <v>0.0</v>
      </c>
      <c r="Q18" t="n" s="8951">
        <v>0.0</v>
      </c>
      <c r="R18" s="8952">
        <f>P18*Q18</f>
      </c>
      <c r="S18" t="n" s="8953">
        <v>1500.0</v>
      </c>
      <c r="T18" t="n" s="8954">
        <v>0.0</v>
      </c>
      <c r="U18" t="n" s="8955">
        <v>0.0</v>
      </c>
      <c r="V18" s="8956">
        <f>L18+O18+R18</f>
      </c>
      <c r="W18" t="n" s="8957">
        <v>80.0</v>
      </c>
      <c r="X18" s="8958">
        <f>s18+t18+u18+w18</f>
      </c>
      <c r="Y18" t="n" s="8959">
        <v>6.0</v>
      </c>
      <c r="Z18" t="n" s="8960">
        <v>64.92</v>
      </c>
      <c r="AA18" t="n" s="8961">
        <v>8.0</v>
      </c>
      <c r="AB18" t="n" s="8962">
        <v>115.36</v>
      </c>
      <c r="AC18" t="n" s="8963">
        <v>0.0</v>
      </c>
      <c r="AD18" t="n" s="8964">
        <v>0.0</v>
      </c>
      <c r="AE18" s="8965">
        <f>y18+aa18+ac18</f>
      </c>
      <c r="AF18" s="8966">
        <f>z18+ab18+ad18</f>
      </c>
      <c r="AG18" t="n" s="8967">
        <v>219.0</v>
      </c>
      <c r="AH18" t="n" s="8968">
        <v>32.35</v>
      </c>
      <c r="AI18" t="n" s="8969">
        <v>3.7</v>
      </c>
      <c r="AJ18" s="8970">
        <f>x18+af18+ag18+ah18+ai18</f>
      </c>
      <c r="AK18" s="8971">
        <f>ROUND((l18+t18+af18+ag18+ah18+ai18+w18)*0.05,2)</f>
      </c>
      <c r="AL18" s="8972">
        <f>aj18+ak18</f>
      </c>
      <c r="AM18" s="8973">
        <f>80*0.06</f>
      </c>
      <c r="AN18" s="8974">
        <f>al18+am18</f>
      </c>
      <c r="AO18" t="s" s="8975">
        <v>0</v>
      </c>
    </row>
    <row r="19" ht="15.0" customHeight="true">
      <c r="A19" t="s" s="8976">
        <v>95</v>
      </c>
      <c r="B19" t="s" s="8977">
        <v>96</v>
      </c>
      <c r="C19" t="s" s="8978">
        <v>97</v>
      </c>
      <c r="D19" t="s" s="8979">
        <v>98</v>
      </c>
      <c r="E19" t="s" s="8980">
        <v>55</v>
      </c>
      <c r="F19" t="s" s="8981">
        <v>99</v>
      </c>
      <c r="G19" t="s" s="8982">
        <v>57</v>
      </c>
      <c r="H19" t="s" s="8983">
        <v>58</v>
      </c>
      <c r="I19" t="n" s="8984">
        <v>43831.0</v>
      </c>
      <c r="J19" t="n" s="8985">
        <v>44196.0</v>
      </c>
      <c r="K19" t="s" s="8986">
        <v>0</v>
      </c>
      <c r="L19" t="n" s="8987">
        <v>1530.0</v>
      </c>
      <c r="M19" t="n" s="8988">
        <v>0.0</v>
      </c>
      <c r="N19" t="n" s="8989">
        <v>0.0</v>
      </c>
      <c r="O19" s="8990">
        <f>M19*N19</f>
      </c>
      <c r="P19" t="n" s="8991">
        <v>0.0</v>
      </c>
      <c r="Q19" t="n" s="8992">
        <v>0.0</v>
      </c>
      <c r="R19" s="8993">
        <f>P19*Q19</f>
      </c>
      <c r="S19" t="n" s="8994">
        <v>1530.0</v>
      </c>
      <c r="T19" t="n" s="8995">
        <v>0.0</v>
      </c>
      <c r="U19" t="n" s="8996">
        <v>0.0</v>
      </c>
      <c r="V19" s="8997">
        <f>L19+O19+R19</f>
      </c>
      <c r="W19" t="n" s="8998">
        <v>1000.0</v>
      </c>
      <c r="X19" s="8999">
        <f>s19+t19+u19+w19</f>
      </c>
      <c r="Y19" t="n" s="9000">
        <v>32.0</v>
      </c>
      <c r="Z19" t="n" s="9001">
        <v>352.96</v>
      </c>
      <c r="AA19" t="n" s="9002">
        <v>0.0</v>
      </c>
      <c r="AB19" t="n" s="9003">
        <v>0.0</v>
      </c>
      <c r="AC19" t="n" s="9004">
        <v>0.0</v>
      </c>
      <c r="AD19" t="n" s="9005">
        <v>0.0</v>
      </c>
      <c r="AE19" s="9006">
        <f>y19+aa19+ac19</f>
      </c>
      <c r="AF19" s="9007">
        <f>z19+ab19+ad19</f>
      </c>
      <c r="AG19" t="n" s="9008">
        <v>351.0</v>
      </c>
      <c r="AH19" t="n" s="9009">
        <v>53.35</v>
      </c>
      <c r="AI19" t="n" s="9010">
        <v>6.1</v>
      </c>
      <c r="AJ19" s="9011">
        <f>x19+af19+ag19+ah19+ai19</f>
      </c>
      <c r="AK19" s="9012">
        <f>ROUND((l19+t19+af19+ag19+ah19+ai19+w19)*0.05,2)</f>
      </c>
      <c r="AL19" s="9013">
        <f>aj19+ak19</f>
      </c>
      <c r="AM19" s="9014">
        <f>80*0.06</f>
      </c>
      <c r="AN19" s="9015">
        <f>al19+am19</f>
      </c>
      <c r="AO19" t="s" s="9016">
        <v>0</v>
      </c>
    </row>
    <row r="20" ht="15.0" customHeight="true">
      <c r="A20" t="s" s="9017">
        <v>100</v>
      </c>
      <c r="B20" t="s" s="9018">
        <v>101</v>
      </c>
      <c r="C20" t="s" s="9019">
        <v>102</v>
      </c>
      <c r="D20" t="s" s="9020">
        <v>103</v>
      </c>
      <c r="E20" t="s" s="9021">
        <v>0</v>
      </c>
      <c r="F20" t="s" s="9022">
        <v>104</v>
      </c>
      <c r="G20" t="s" s="9023">
        <v>105</v>
      </c>
      <c r="H20" t="s" s="9024">
        <v>58</v>
      </c>
      <c r="I20" t="n" s="9025">
        <v>43836.0</v>
      </c>
      <c r="J20" t="n" s="9026">
        <v>44196.0</v>
      </c>
      <c r="K20" t="s" s="9027">
        <v>0</v>
      </c>
      <c r="L20" t="n" s="9028">
        <v>1174.19</v>
      </c>
      <c r="M20" t="n" s="9029">
        <v>0.0</v>
      </c>
      <c r="N20" t="n" s="9030">
        <v>0.0</v>
      </c>
      <c r="O20" s="9031">
        <f>M20*N20</f>
      </c>
      <c r="P20" t="n" s="9032">
        <v>0.0</v>
      </c>
      <c r="Q20" t="n" s="9033">
        <v>0.0</v>
      </c>
      <c r="R20" s="9034">
        <f>P20*Q20</f>
      </c>
      <c r="S20" t="n" s="9035">
        <v>1174.19</v>
      </c>
      <c r="T20" t="n" s="9036">
        <v>0.0</v>
      </c>
      <c r="U20" t="n" s="9037">
        <v>0.0</v>
      </c>
      <c r="V20" s="9038">
        <f>L20+O20+R20</f>
      </c>
      <c r="W20" t="n" s="9039">
        <v>0.0</v>
      </c>
      <c r="X20" s="9040">
        <f>s20+t20+u20+w20</f>
      </c>
      <c r="Y20" t="n" s="9041">
        <v>0.0</v>
      </c>
      <c r="Z20" t="n" s="9042">
        <v>0.0</v>
      </c>
      <c r="AA20" t="n" s="9043">
        <v>0.0</v>
      </c>
      <c r="AB20" t="n" s="9044">
        <v>0.0</v>
      </c>
      <c r="AC20" t="n" s="9045">
        <v>0.0</v>
      </c>
      <c r="AD20" t="n" s="9046">
        <v>0.0</v>
      </c>
      <c r="AE20" s="9047">
        <f>y20+aa20+ac20</f>
      </c>
      <c r="AF20" s="9048">
        <f>z20+ab20+ad20</f>
      </c>
      <c r="AG20" t="n" s="9049">
        <v>164.0</v>
      </c>
      <c r="AH20" t="n" s="9050">
        <v>21.85</v>
      </c>
      <c r="AI20" t="n" s="9051">
        <v>2.5</v>
      </c>
      <c r="AJ20" s="9052">
        <f>x20+af20+ag20+ah20+ai20</f>
      </c>
      <c r="AK20" s="9053">
        <f>ROUND((l20+t20+af20+ag20+ah20+ai20+w20)*0.05,2)</f>
      </c>
      <c r="AL20" s="9054">
        <f>aj20+ak20</f>
      </c>
      <c r="AM20" s="9055">
        <f>80*0.06</f>
      </c>
      <c r="AN20" s="9056">
        <f>al20+am20</f>
      </c>
      <c r="AO20" t="s" s="9057">
        <v>0</v>
      </c>
    </row>
    <row r="21" ht="15.0" customHeight="true">
      <c r="A21" t="s" s="9058">
        <v>106</v>
      </c>
      <c r="B21" t="s" s="9059">
        <v>107</v>
      </c>
      <c r="C21" t="s" s="9060">
        <v>108</v>
      </c>
      <c r="D21" t="s" s="9061">
        <v>109</v>
      </c>
      <c r="E21" t="s" s="9062">
        <v>55</v>
      </c>
      <c r="F21" t="s" s="9063">
        <v>110</v>
      </c>
      <c r="G21" t="s" s="9064">
        <v>57</v>
      </c>
      <c r="H21" t="s" s="9065">
        <v>58</v>
      </c>
      <c r="I21" t="n" s="9066">
        <v>43831.0</v>
      </c>
      <c r="J21" t="n" s="9067">
        <v>44196.0</v>
      </c>
      <c r="K21" t="s" s="9068">
        <v>0</v>
      </c>
      <c r="L21" t="n" s="9069">
        <v>1710.0</v>
      </c>
      <c r="M21" t="n" s="9070">
        <v>0.0</v>
      </c>
      <c r="N21" t="n" s="9071">
        <v>0.0</v>
      </c>
      <c r="O21" s="9072">
        <f>M21*N21</f>
      </c>
      <c r="P21" t="n" s="9073">
        <v>0.0</v>
      </c>
      <c r="Q21" t="n" s="9074">
        <v>0.0</v>
      </c>
      <c r="R21" s="9075">
        <f>P21*Q21</f>
      </c>
      <c r="S21" t="n" s="9076">
        <v>1710.0</v>
      </c>
      <c r="T21" t="n" s="9077">
        <v>0.0</v>
      </c>
      <c r="U21" t="n" s="9078">
        <v>0.0</v>
      </c>
      <c r="V21" s="9079">
        <f>L21+O21+R21</f>
      </c>
      <c r="W21" t="n" s="9080">
        <v>1600.0</v>
      </c>
      <c r="X21" s="9081">
        <f>s21+t21+u21+w21</f>
      </c>
      <c r="Y21" t="n" s="9082">
        <v>9.5</v>
      </c>
      <c r="Z21" t="n" s="9083">
        <v>117.14</v>
      </c>
      <c r="AA21" t="n" s="9084">
        <v>8.0</v>
      </c>
      <c r="AB21" t="n" s="9085">
        <v>131.52</v>
      </c>
      <c r="AC21" t="n" s="9086">
        <v>1.0</v>
      </c>
      <c r="AD21" t="n" s="9087">
        <v>24.66</v>
      </c>
      <c r="AE21" s="9088">
        <f>y21+aa21+ac21</f>
      </c>
      <c r="AF21" s="9089">
        <f>z21+ab21+ad21</f>
      </c>
      <c r="AG21" t="n" s="9090">
        <v>445.0</v>
      </c>
      <c r="AH21" t="n" s="9091">
        <v>63.85</v>
      </c>
      <c r="AI21" t="n" s="9092">
        <v>7.3</v>
      </c>
      <c r="AJ21" s="9093">
        <f>x21+af21+ag21+ah21+ai21</f>
      </c>
      <c r="AK21" s="9094">
        <f>ROUND((l21+t21+af21+ag21+ah21+ai21+w21)*0.05,2)</f>
      </c>
      <c r="AL21" s="9095">
        <f>aj21+ak21</f>
      </c>
      <c r="AM21" s="9096">
        <f>80*0.06</f>
      </c>
      <c r="AN21" s="9097">
        <f>al21+am21</f>
      </c>
      <c r="AO21" t="s" s="9098">
        <v>0</v>
      </c>
    </row>
    <row r="22" ht="15.0" customHeight="true">
      <c r="A22" t="s" s="9099">
        <v>111</v>
      </c>
      <c r="B22" t="s" s="9100">
        <v>112</v>
      </c>
      <c r="C22" t="s" s="9101">
        <v>113</v>
      </c>
      <c r="D22" t="s" s="9102">
        <v>114</v>
      </c>
      <c r="E22" t="s" s="9103">
        <v>55</v>
      </c>
      <c r="F22" t="s" s="9104">
        <v>115</v>
      </c>
      <c r="G22" t="s" s="9105">
        <v>57</v>
      </c>
      <c r="H22" t="s" s="9106">
        <v>58</v>
      </c>
      <c r="I22" t="n" s="9107">
        <v>43831.0</v>
      </c>
      <c r="J22" t="n" s="9108">
        <v>44196.0</v>
      </c>
      <c r="K22" t="s" s="9109">
        <v>0</v>
      </c>
      <c r="L22" t="n" s="9110">
        <v>1770.0</v>
      </c>
      <c r="M22" t="n" s="9111">
        <v>0.0</v>
      </c>
      <c r="N22" t="n" s="9112">
        <v>0.0</v>
      </c>
      <c r="O22" s="9113">
        <f>M22*N22</f>
      </c>
      <c r="P22" t="n" s="9114">
        <v>0.0</v>
      </c>
      <c r="Q22" t="n" s="9115">
        <v>0.0</v>
      </c>
      <c r="R22" s="9116">
        <f>P22*Q22</f>
      </c>
      <c r="S22" t="n" s="9117">
        <v>1770.0</v>
      </c>
      <c r="T22" t="n" s="9118">
        <v>0.0</v>
      </c>
      <c r="U22" t="n" s="9119">
        <v>14.2</v>
      </c>
      <c r="V22" s="9120">
        <f>L22+O22+R22</f>
      </c>
      <c r="W22" t="n" s="9121">
        <v>2000.0</v>
      </c>
      <c r="X22" s="9122">
        <f>s22+t22+u22+w22</f>
      </c>
      <c r="Y22" t="n" s="9123">
        <v>9.0</v>
      </c>
      <c r="Z22" t="n" s="9124">
        <v>114.84</v>
      </c>
      <c r="AA22" t="n" s="9125">
        <v>0.0</v>
      </c>
      <c r="AB22" t="n" s="9126">
        <v>0.0</v>
      </c>
      <c r="AC22" t="n" s="9127">
        <v>1.0</v>
      </c>
      <c r="AD22" t="n" s="9128">
        <v>25.53</v>
      </c>
      <c r="AE22" s="9129">
        <f>y22+aa22+ac22</f>
      </c>
      <c r="AF22" s="9130">
        <f>z22+ab22+ad22</f>
      </c>
      <c r="AG22" t="n" s="9131">
        <v>505.0</v>
      </c>
      <c r="AH22" t="n" s="9132">
        <v>69.05</v>
      </c>
      <c r="AI22" t="n" s="9133">
        <v>7.9</v>
      </c>
      <c r="AJ22" s="9134">
        <f>x22+af22+ag22+ah22+ai22</f>
      </c>
      <c r="AK22" s="9135">
        <f>ROUND((l22+t22+af22+ag22+ah22+ai22+w22)*0.05,2)</f>
      </c>
      <c r="AL22" s="9136">
        <f>aj22+ak22</f>
      </c>
      <c r="AM22" s="9137">
        <f>94.2*0.06</f>
      </c>
      <c r="AN22" s="9138">
        <f>al22+am22</f>
      </c>
      <c r="AO22" t="s" s="9139">
        <v>0</v>
      </c>
    </row>
    <row r="23" ht="15.0" customHeight="true">
      <c r="A23" t="s" s="9140">
        <v>116</v>
      </c>
      <c r="B23" t="s" s="9141">
        <v>117</v>
      </c>
      <c r="C23" t="s" s="9142">
        <v>118</v>
      </c>
      <c r="D23" t="s" s="9143">
        <v>119</v>
      </c>
      <c r="E23" t="s" s="9144">
        <v>55</v>
      </c>
      <c r="F23" t="s" s="9145">
        <v>120</v>
      </c>
      <c r="G23" t="s" s="9146">
        <v>57</v>
      </c>
      <c r="H23" t="s" s="9147">
        <v>58</v>
      </c>
      <c r="I23" t="n" s="9148">
        <v>43831.0</v>
      </c>
      <c r="J23" t="n" s="9149">
        <v>44196.0</v>
      </c>
      <c r="K23" t="s" s="9150">
        <v>0</v>
      </c>
      <c r="L23" t="n" s="9151">
        <v>1430.0</v>
      </c>
      <c r="M23" t="n" s="9152">
        <v>0.0</v>
      </c>
      <c r="N23" t="n" s="9153">
        <v>0.0</v>
      </c>
      <c r="O23" s="9154">
        <f>M23*N23</f>
      </c>
      <c r="P23" t="n" s="9155">
        <v>0.0</v>
      </c>
      <c r="Q23" t="n" s="9156">
        <v>0.0</v>
      </c>
      <c r="R23" s="9157">
        <f>P23*Q23</f>
      </c>
      <c r="S23" t="n" s="9158">
        <v>1430.0</v>
      </c>
      <c r="T23" t="n" s="9159">
        <v>0.0</v>
      </c>
      <c r="U23" t="n" s="9160">
        <v>0.0</v>
      </c>
      <c r="V23" s="9161">
        <f>L23+O23+R23</f>
      </c>
      <c r="W23" t="n" s="9162">
        <v>0.0</v>
      </c>
      <c r="X23" s="9163">
        <f>s23+t23+u23+w23</f>
      </c>
      <c r="Y23" t="n" s="9164">
        <v>2.0</v>
      </c>
      <c r="Z23" t="n" s="9165">
        <v>20.62</v>
      </c>
      <c r="AA23" t="n" s="9166">
        <v>0.0</v>
      </c>
      <c r="AB23" t="n" s="9167">
        <v>0.0</v>
      </c>
      <c r="AC23" t="n" s="9168">
        <v>0.0</v>
      </c>
      <c r="AD23" t="n" s="9169">
        <v>0.0</v>
      </c>
      <c r="AE23" s="9170">
        <f>y23+aa23+ac23</f>
      </c>
      <c r="AF23" s="9171">
        <f>z23+ab23+ad23</f>
      </c>
      <c r="AG23" t="n" s="9172">
        <v>201.0</v>
      </c>
      <c r="AH23" t="n" s="9173">
        <v>27.15</v>
      </c>
      <c r="AI23" t="n" s="9174">
        <v>3.1</v>
      </c>
      <c r="AJ23" s="9175">
        <f>x23+af23+ag23+ah23+ai23</f>
      </c>
      <c r="AK23" s="9176">
        <f>ROUND((l23+t23+af23+ag23+ah23+ai23+w23)*0.05,2)</f>
      </c>
      <c r="AL23" s="9177">
        <f>aj23+ak23</f>
      </c>
      <c r="AM23" s="9178">
        <f>80*0.06</f>
      </c>
      <c r="AN23" s="9179">
        <f>al23+am23</f>
      </c>
      <c r="AO23" t="s" s="9180">
        <v>0</v>
      </c>
    </row>
    <row r="24" ht="15.0" customHeight="true">
      <c r="A24" t="s" s="9181">
        <v>121</v>
      </c>
      <c r="B24" t="s" s="9182">
        <v>122</v>
      </c>
      <c r="C24" t="s" s="9183">
        <v>123</v>
      </c>
      <c r="D24" t="s" s="9184">
        <v>124</v>
      </c>
      <c r="E24" t="s" s="9185">
        <v>55</v>
      </c>
      <c r="F24" t="s" s="9186">
        <v>125</v>
      </c>
      <c r="G24" t="s" s="9187">
        <v>57</v>
      </c>
      <c r="H24" t="s" s="9188">
        <v>58</v>
      </c>
      <c r="I24" t="n" s="9189">
        <v>43831.0</v>
      </c>
      <c r="J24" t="n" s="9190">
        <v>44196.0</v>
      </c>
      <c r="K24" t="s" s="9191">
        <v>0</v>
      </c>
      <c r="L24" t="n" s="9192">
        <v>1590.0</v>
      </c>
      <c r="M24" t="n" s="9193">
        <v>0.0</v>
      </c>
      <c r="N24" t="n" s="9194">
        <v>0.0</v>
      </c>
      <c r="O24" s="9195">
        <f>M24*N24</f>
      </c>
      <c r="P24" t="n" s="9196">
        <v>0.0</v>
      </c>
      <c r="Q24" t="n" s="9197">
        <v>0.0</v>
      </c>
      <c r="R24" s="9198">
        <f>P24*Q24</f>
      </c>
      <c r="S24" t="n" s="9199">
        <v>1590.0</v>
      </c>
      <c r="T24" t="n" s="9200">
        <v>0.0</v>
      </c>
      <c r="U24" t="n" s="9201">
        <v>0.0</v>
      </c>
      <c r="V24" s="9202">
        <f>L24+O24+R24</f>
      </c>
      <c r="W24" t="n" s="9203">
        <v>1650.0</v>
      </c>
      <c r="X24" s="9204">
        <f>s24+t24+u24+w24</f>
      </c>
      <c r="Y24" t="n" s="9205">
        <v>0.0</v>
      </c>
      <c r="Z24" t="n" s="9206">
        <v>0.0</v>
      </c>
      <c r="AA24" t="n" s="9207">
        <v>0.0</v>
      </c>
      <c r="AB24" t="n" s="9208">
        <v>0.0</v>
      </c>
      <c r="AC24" t="n" s="9209">
        <v>0.0</v>
      </c>
      <c r="AD24" t="n" s="9210">
        <v>0.0</v>
      </c>
      <c r="AE24" s="9211">
        <f>y24+aa24+ac24</f>
      </c>
      <c r="AF24" s="9212">
        <f>z24+ab24+ad24</f>
      </c>
      <c r="AG24" t="n" s="9213">
        <v>442.0</v>
      </c>
      <c r="AH24" t="n" s="9214">
        <v>58.65</v>
      </c>
      <c r="AI24" t="n" s="9215">
        <v>6.7</v>
      </c>
      <c r="AJ24" s="9216">
        <f>x24+af24+ag24+ah24+ai24</f>
      </c>
      <c r="AK24" s="9217">
        <f>ROUND((l24+t24+af24+ag24+ah24+ai24+w24)*0.05,2)</f>
      </c>
      <c r="AL24" s="9218">
        <f>aj24+ak24</f>
      </c>
      <c r="AM24" s="9219">
        <f>80*0.06</f>
      </c>
      <c r="AN24" s="9220">
        <f>al24+am24</f>
      </c>
      <c r="AO24" t="s" s="9221">
        <v>0</v>
      </c>
    </row>
    <row r="25" ht="15.0" customHeight="true">
      <c r="A25" t="s" s="9222">
        <v>126</v>
      </c>
      <c r="B25" t="s" s="9223">
        <v>127</v>
      </c>
      <c r="C25" t="s" s="9224">
        <v>128</v>
      </c>
      <c r="D25" t="s" s="9225">
        <v>129</v>
      </c>
      <c r="E25" t="s" s="9226">
        <v>55</v>
      </c>
      <c r="F25" t="s" s="9227">
        <v>130</v>
      </c>
      <c r="G25" t="s" s="9228">
        <v>57</v>
      </c>
      <c r="H25" t="s" s="9229">
        <v>58</v>
      </c>
      <c r="I25" t="n" s="9230">
        <v>43831.0</v>
      </c>
      <c r="J25" t="n" s="9231">
        <v>44196.0</v>
      </c>
      <c r="K25" t="s" s="9232">
        <v>0</v>
      </c>
      <c r="L25" t="n" s="9233">
        <v>1440.0</v>
      </c>
      <c r="M25" t="n" s="9234">
        <v>0.0</v>
      </c>
      <c r="N25" t="n" s="9235">
        <v>0.0</v>
      </c>
      <c r="O25" s="9236">
        <f>M25*N25</f>
      </c>
      <c r="P25" t="n" s="9237">
        <v>0.0</v>
      </c>
      <c r="Q25" t="n" s="9238">
        <v>0.0</v>
      </c>
      <c r="R25" s="9239">
        <f>P25*Q25</f>
      </c>
      <c r="S25" t="n" s="9240">
        <v>1440.0</v>
      </c>
      <c r="T25" t="n" s="9241">
        <v>0.0</v>
      </c>
      <c r="U25" t="n" s="9242">
        <v>0.0</v>
      </c>
      <c r="V25" s="9243">
        <f>L25+O25+R25</f>
      </c>
      <c r="W25" t="n" s="9244">
        <v>2200.0</v>
      </c>
      <c r="X25" s="9245">
        <f>s25+t25+u25+w25</f>
      </c>
      <c r="Y25" t="n" s="9246">
        <v>7.0</v>
      </c>
      <c r="Z25" t="n" s="9247">
        <v>72.66</v>
      </c>
      <c r="AA25" t="n" s="9248">
        <v>8.0</v>
      </c>
      <c r="AB25" t="n" s="9249">
        <v>110.8</v>
      </c>
      <c r="AC25" t="n" s="9250">
        <v>0.0</v>
      </c>
      <c r="AD25" t="n" s="9251">
        <v>0.0</v>
      </c>
      <c r="AE25" s="9252">
        <f>y25+aa25+ac25</f>
      </c>
      <c r="AF25" s="9253">
        <f>z25+ab25+ad25</f>
      </c>
      <c r="AG25" t="n" s="9254">
        <v>487.0</v>
      </c>
      <c r="AH25" t="n" s="9255">
        <v>69.05</v>
      </c>
      <c r="AI25" t="n" s="9256">
        <v>7.9</v>
      </c>
      <c r="AJ25" s="9257">
        <f>x25+af25+ag25+ah25+ai25</f>
      </c>
      <c r="AK25" s="9258">
        <f>ROUND((l25+t25+af25+ag25+ah25+ai25+w25)*0.05,2)</f>
      </c>
      <c r="AL25" s="9259">
        <f>aj25+ak25</f>
      </c>
      <c r="AM25" s="9260">
        <f>80*0.06</f>
      </c>
      <c r="AN25" s="9261">
        <f>al25+am25</f>
      </c>
      <c r="AO25" t="s" s="9262">
        <v>0</v>
      </c>
    </row>
    <row r="26" ht="15.0" customHeight="true">
      <c r="A26" t="s" s="9263">
        <v>131</v>
      </c>
      <c r="B26" t="s" s="9264">
        <v>132</v>
      </c>
      <c r="C26" t="s" s="9265">
        <v>133</v>
      </c>
      <c r="D26" t="s" s="9266">
        <v>134</v>
      </c>
      <c r="E26" t="s" s="9267">
        <v>55</v>
      </c>
      <c r="F26" t="s" s="9268">
        <v>135</v>
      </c>
      <c r="G26" t="s" s="9269">
        <v>57</v>
      </c>
      <c r="H26" t="s" s="9270">
        <v>58</v>
      </c>
      <c r="I26" t="n" s="9271">
        <v>43831.0</v>
      </c>
      <c r="J26" t="n" s="9272">
        <v>44196.0</v>
      </c>
      <c r="K26" t="s" s="9273">
        <v>0</v>
      </c>
      <c r="L26" t="n" s="9274">
        <v>1620.0</v>
      </c>
      <c r="M26" t="n" s="9275">
        <v>0.0</v>
      </c>
      <c r="N26" t="n" s="9276">
        <v>0.0</v>
      </c>
      <c r="O26" s="9277">
        <f>M26*N26</f>
      </c>
      <c r="P26" t="n" s="9278">
        <v>0.0</v>
      </c>
      <c r="Q26" t="n" s="9279">
        <v>0.0</v>
      </c>
      <c r="R26" s="9280">
        <f>P26*Q26</f>
      </c>
      <c r="S26" t="n" s="9281">
        <v>1620.0</v>
      </c>
      <c r="T26" t="n" s="9282">
        <v>0.0</v>
      </c>
      <c r="U26" t="n" s="9283">
        <v>0.0</v>
      </c>
      <c r="V26" s="9284">
        <f>L26+O26+R26</f>
      </c>
      <c r="W26" t="n" s="9285">
        <v>2000.0</v>
      </c>
      <c r="X26" s="9286">
        <f>s26+t26+u26+w26</f>
      </c>
      <c r="Y26" t="n" s="9287">
        <v>11.5</v>
      </c>
      <c r="Z26" t="n" s="9288">
        <v>134.32</v>
      </c>
      <c r="AA26" t="n" s="9289">
        <v>0.0</v>
      </c>
      <c r="AB26" t="n" s="9290">
        <v>0.0</v>
      </c>
      <c r="AC26" t="n" s="9291">
        <v>1.0</v>
      </c>
      <c r="AD26" t="n" s="9292">
        <v>23.37</v>
      </c>
      <c r="AE26" s="9293">
        <f>y26+aa26+ac26</f>
      </c>
      <c r="AF26" s="9294">
        <f>z26+ab26+ad26</f>
      </c>
      <c r="AG26" t="n" s="9295">
        <v>492.0</v>
      </c>
      <c r="AH26" t="n" s="9296">
        <v>69.05</v>
      </c>
      <c r="AI26" t="n" s="9297">
        <v>7.9</v>
      </c>
      <c r="AJ26" s="9298">
        <f>x26+af26+ag26+ah26+ai26</f>
      </c>
      <c r="AK26" s="9299">
        <f>ROUND((l26+t26+af26+ag26+ah26+ai26+w26)*0.05,2)</f>
      </c>
      <c r="AL26" s="9300">
        <f>aj26+ak26</f>
      </c>
      <c r="AM26" s="9301">
        <f>80*0.06</f>
      </c>
      <c r="AN26" s="9302">
        <f>al26+am26</f>
      </c>
      <c r="AO26" t="s" s="9303">
        <v>0</v>
      </c>
    </row>
    <row r="27" ht="15.0" customHeight="true">
      <c r="A27" t="s" s="9304">
        <v>136</v>
      </c>
      <c r="B27" t="s" s="9305">
        <v>137</v>
      </c>
      <c r="C27" t="s" s="9306">
        <v>138</v>
      </c>
      <c r="D27" t="s" s="9307">
        <v>139</v>
      </c>
      <c r="E27" t="s" s="9308">
        <v>55</v>
      </c>
      <c r="F27" t="s" s="9309">
        <v>140</v>
      </c>
      <c r="G27" t="s" s="9310">
        <v>57</v>
      </c>
      <c r="H27" t="s" s="9311">
        <v>58</v>
      </c>
      <c r="I27" t="n" s="9312">
        <v>43831.0</v>
      </c>
      <c r="J27" t="n" s="9313">
        <v>44196.0</v>
      </c>
      <c r="K27" t="s" s="9314">
        <v>0</v>
      </c>
      <c r="L27" t="n" s="9315">
        <v>1540.0</v>
      </c>
      <c r="M27" t="n" s="9316">
        <v>0.0</v>
      </c>
      <c r="N27" t="n" s="9317">
        <v>0.0</v>
      </c>
      <c r="O27" s="9318">
        <f>M27*N27</f>
      </c>
      <c r="P27" t="n" s="9319">
        <v>0.0</v>
      </c>
      <c r="Q27" t="n" s="9320">
        <v>0.0</v>
      </c>
      <c r="R27" s="9321">
        <f>P27*Q27</f>
      </c>
      <c r="S27" t="n" s="9322">
        <v>1540.0</v>
      </c>
      <c r="T27" t="n" s="9323">
        <v>0.0</v>
      </c>
      <c r="U27" t="n" s="9324">
        <v>0.0</v>
      </c>
      <c r="V27" s="9325">
        <f>L27+O27+R27</f>
      </c>
      <c r="W27" t="n" s="9326">
        <v>2000.0</v>
      </c>
      <c r="X27" s="9327">
        <f>s27+t27+u27+w27</f>
      </c>
      <c r="Y27" t="n" s="9328">
        <v>0.0</v>
      </c>
      <c r="Z27" t="n" s="9329">
        <v>0.0</v>
      </c>
      <c r="AA27" t="n" s="9330">
        <v>0.0</v>
      </c>
      <c r="AB27" t="n" s="9331">
        <v>0.0</v>
      </c>
      <c r="AC27" t="n" s="9332">
        <v>0.0</v>
      </c>
      <c r="AD27" t="n" s="9333">
        <v>0.0</v>
      </c>
      <c r="AE27" s="9334">
        <f>y27+aa27+ac27</f>
      </c>
      <c r="AF27" s="9335">
        <f>z27+ab27+ad27</f>
      </c>
      <c r="AG27" t="n" s="9336">
        <v>481.0</v>
      </c>
      <c r="AH27" t="n" s="9337">
        <v>63.85</v>
      </c>
      <c r="AI27" t="n" s="9338">
        <v>7.3</v>
      </c>
      <c r="AJ27" s="9339">
        <f>x27+af27+ag27+ah27+ai27</f>
      </c>
      <c r="AK27" s="9340">
        <f>ROUND((l27+t27+af27+ag27+ah27+ai27+w27)*0.05,2)</f>
      </c>
      <c r="AL27" s="9341">
        <f>aj27+ak27</f>
      </c>
      <c r="AM27" s="9342">
        <f>80*0.06</f>
      </c>
      <c r="AN27" s="9343">
        <f>al27+am27</f>
      </c>
      <c r="AO27" t="s" s="9344">
        <v>0</v>
      </c>
    </row>
    <row r="28" ht="15.0" customHeight="true">
      <c r="A28" t="s" s="9345">
        <v>141</v>
      </c>
      <c r="B28" t="s" s="9346">
        <v>142</v>
      </c>
      <c r="C28" t="s" s="9347">
        <v>143</v>
      </c>
      <c r="D28" t="s" s="9348">
        <v>144</v>
      </c>
      <c r="E28" t="s" s="9349">
        <v>55</v>
      </c>
      <c r="F28" t="s" s="9350">
        <v>145</v>
      </c>
      <c r="G28" t="s" s="9351">
        <v>57</v>
      </c>
      <c r="H28" t="s" s="9352">
        <v>58</v>
      </c>
      <c r="I28" t="n" s="9353">
        <v>43831.0</v>
      </c>
      <c r="J28" t="n" s="9354">
        <v>44196.0</v>
      </c>
      <c r="K28" t="s" s="9355">
        <v>0</v>
      </c>
      <c r="L28" t="n" s="9356">
        <v>1470.0</v>
      </c>
      <c r="M28" t="n" s="9357">
        <v>0.0</v>
      </c>
      <c r="N28" t="n" s="9358">
        <v>0.0</v>
      </c>
      <c r="O28" s="9359">
        <f>M28*N28</f>
      </c>
      <c r="P28" t="n" s="9360">
        <v>0.0</v>
      </c>
      <c r="Q28" t="n" s="9361">
        <v>0.0</v>
      </c>
      <c r="R28" s="9362">
        <f>P28*Q28</f>
      </c>
      <c r="S28" t="n" s="9363">
        <v>1470.0</v>
      </c>
      <c r="T28" t="n" s="9364">
        <v>0.0</v>
      </c>
      <c r="U28" t="n" s="9365">
        <v>0.0</v>
      </c>
      <c r="V28" s="9366">
        <f>L28+O28+R28</f>
      </c>
      <c r="W28" t="n" s="9367">
        <v>1850.0</v>
      </c>
      <c r="X28" s="9368">
        <f>s28+t28+u28+w28</f>
      </c>
      <c r="Y28" t="n" s="9369">
        <v>8.0</v>
      </c>
      <c r="Z28" t="n" s="9370">
        <v>84.8</v>
      </c>
      <c r="AA28" t="n" s="9371">
        <v>8.0</v>
      </c>
      <c r="AB28" t="n" s="9372">
        <v>113.04</v>
      </c>
      <c r="AC28" t="n" s="9373">
        <v>1.0</v>
      </c>
      <c r="AD28" t="n" s="9374">
        <v>21.2</v>
      </c>
      <c r="AE28" s="9375">
        <f>y28+aa28+ac28</f>
      </c>
      <c r="AF28" s="9376">
        <f>z28+ab28+ad28</f>
      </c>
      <c r="AG28" t="n" s="9377">
        <v>445.0</v>
      </c>
      <c r="AH28" t="n" s="9378">
        <v>63.85</v>
      </c>
      <c r="AI28" t="n" s="9379">
        <v>7.3</v>
      </c>
      <c r="AJ28" s="9380">
        <f>x28+af28+ag28+ah28+ai28</f>
      </c>
      <c r="AK28" s="9381">
        <f>ROUND((l28+t28+af28+ag28+ah28+ai28+w28)*0.05,2)</f>
      </c>
      <c r="AL28" s="9382">
        <f>aj28+ak28</f>
      </c>
      <c r="AM28" s="9383">
        <f>80*0.06</f>
      </c>
      <c r="AN28" s="9384">
        <f>al28+am28</f>
      </c>
      <c r="AO28" t="s" s="9385">
        <v>0</v>
      </c>
    </row>
    <row r="29" ht="15.0" customHeight="true">
      <c r="A29" t="s" s="9386">
        <v>146</v>
      </c>
      <c r="B29" t="s" s="9387">
        <v>147</v>
      </c>
      <c r="C29" t="s" s="9388">
        <v>148</v>
      </c>
      <c r="D29" t="s" s="9389">
        <v>149</v>
      </c>
      <c r="E29" t="s" s="9390">
        <v>93</v>
      </c>
      <c r="F29" t="s" s="9391">
        <v>150</v>
      </c>
      <c r="G29" t="s" s="9392">
        <v>57</v>
      </c>
      <c r="H29" t="s" s="9393">
        <v>58</v>
      </c>
      <c r="I29" t="n" s="9394">
        <v>43831.0</v>
      </c>
      <c r="J29" t="n" s="9395">
        <v>44196.0</v>
      </c>
      <c r="K29" t="s" s="9396">
        <v>0</v>
      </c>
      <c r="L29" t="n" s="9397">
        <v>2050.0</v>
      </c>
      <c r="M29" t="n" s="9398">
        <v>0.0</v>
      </c>
      <c r="N29" t="n" s="9399">
        <v>0.0</v>
      </c>
      <c r="O29" s="9400">
        <f>M29*N29</f>
      </c>
      <c r="P29" t="n" s="9401">
        <v>0.0</v>
      </c>
      <c r="Q29" t="n" s="9402">
        <v>0.0</v>
      </c>
      <c r="R29" s="9403">
        <f>P29*Q29</f>
      </c>
      <c r="S29" t="n" s="9404">
        <v>2050.0</v>
      </c>
      <c r="T29" t="n" s="9405">
        <v>0.0</v>
      </c>
      <c r="U29" t="n" s="9406">
        <v>0.0</v>
      </c>
      <c r="V29" s="9407">
        <f>L29+O29+R29</f>
      </c>
      <c r="W29" t="n" s="9408">
        <v>2200.0</v>
      </c>
      <c r="X29" s="9409">
        <f>s29+t29+u29+w29</f>
      </c>
      <c r="Y29" t="n" s="9410">
        <v>0.0</v>
      </c>
      <c r="Z29" t="n" s="9411">
        <v>0.0</v>
      </c>
      <c r="AA29" t="n" s="9412">
        <v>0.0</v>
      </c>
      <c r="AB29" t="n" s="9413">
        <v>0.0</v>
      </c>
      <c r="AC29" t="n" s="9414">
        <v>0.0</v>
      </c>
      <c r="AD29" t="n" s="9415">
        <v>0.0</v>
      </c>
      <c r="AE29" s="9416">
        <f>y29+aa29+ac29</f>
      </c>
      <c r="AF29" s="9417">
        <f>z29+ab29+ad29</f>
      </c>
      <c r="AG29" t="n" s="9418">
        <v>567.0</v>
      </c>
      <c r="AH29" t="n" s="9419">
        <v>69.05</v>
      </c>
      <c r="AI29" t="n" s="9420">
        <v>7.9</v>
      </c>
      <c r="AJ29" s="9421">
        <f>x29+af29+ag29+ah29+ai29</f>
      </c>
      <c r="AK29" s="9422">
        <f>ROUND((l29+t29+af29+ag29+ah29+ai29+w29)*0.05,2)</f>
      </c>
      <c r="AL29" s="9423">
        <f>aj29+ak29</f>
      </c>
      <c r="AM29" s="9424">
        <f>80*0.06</f>
      </c>
      <c r="AN29" s="9425">
        <f>al29+am29</f>
      </c>
      <c r="AO29" t="s" s="9426">
        <v>0</v>
      </c>
    </row>
    <row r="30" ht="15.0" customHeight="true">
      <c r="A30" t="s" s="9427">
        <v>151</v>
      </c>
      <c r="B30" t="s" s="9428">
        <v>152</v>
      </c>
      <c r="C30" t="s" s="9429">
        <v>153</v>
      </c>
      <c r="D30" t="s" s="9430">
        <v>154</v>
      </c>
      <c r="E30" t="s" s="9431">
        <v>93</v>
      </c>
      <c r="F30" t="s" s="9432">
        <v>155</v>
      </c>
      <c r="G30" t="s" s="9433">
        <v>57</v>
      </c>
      <c r="H30" t="s" s="9434">
        <v>58</v>
      </c>
      <c r="I30" t="n" s="9435">
        <v>43831.0</v>
      </c>
      <c r="J30" t="n" s="9436">
        <v>44196.0</v>
      </c>
      <c r="K30" t="s" s="9437">
        <v>0</v>
      </c>
      <c r="L30" t="n" s="9438">
        <v>1540.0</v>
      </c>
      <c r="M30" t="n" s="9439">
        <v>0.0</v>
      </c>
      <c r="N30" t="n" s="9440">
        <v>0.0</v>
      </c>
      <c r="O30" s="9441">
        <f>M30*N30</f>
      </c>
      <c r="P30" t="n" s="9442">
        <v>0.0</v>
      </c>
      <c r="Q30" t="n" s="9443">
        <v>0.0</v>
      </c>
      <c r="R30" s="9444">
        <f>P30*Q30</f>
      </c>
      <c r="S30" t="n" s="9445">
        <v>1540.0</v>
      </c>
      <c r="T30" t="n" s="9446">
        <v>0.0</v>
      </c>
      <c r="U30" t="n" s="9447">
        <v>0.0</v>
      </c>
      <c r="V30" s="9448">
        <f>L30+O30+R30</f>
      </c>
      <c r="W30" t="n" s="9449">
        <v>2000.0</v>
      </c>
      <c r="X30" s="9450">
        <f>s30+t30+u30+w30</f>
      </c>
      <c r="Y30" t="n" s="9451">
        <v>0.0</v>
      </c>
      <c r="Z30" t="n" s="9452">
        <v>0.0</v>
      </c>
      <c r="AA30" t="n" s="9453">
        <v>0.0</v>
      </c>
      <c r="AB30" t="n" s="9454">
        <v>0.0</v>
      </c>
      <c r="AC30" t="n" s="9455">
        <v>0.0</v>
      </c>
      <c r="AD30" t="n" s="9456">
        <v>0.0</v>
      </c>
      <c r="AE30" s="9457">
        <f>y30+aa30+ac30</f>
      </c>
      <c r="AF30" s="9458">
        <f>z30+ab30+ad30</f>
      </c>
      <c r="AG30" t="n" s="9459">
        <v>481.0</v>
      </c>
      <c r="AH30" t="n" s="9460">
        <v>63.85</v>
      </c>
      <c r="AI30" t="n" s="9461">
        <v>7.3</v>
      </c>
      <c r="AJ30" s="9462">
        <f>x30+af30+ag30+ah30+ai30</f>
      </c>
      <c r="AK30" s="9463">
        <f>ROUND((l30+t30+af30+ag30+ah30+ai30+w30)*0.05,2)</f>
      </c>
      <c r="AL30" s="9464">
        <f>aj30+ak30</f>
      </c>
      <c r="AM30" s="9465">
        <f>80*0.06</f>
      </c>
      <c r="AN30" s="9466">
        <f>al30+am30</f>
      </c>
      <c r="AO30" t="s" s="9467">
        <v>0</v>
      </c>
    </row>
    <row r="31" ht="15.0" customHeight="true">
      <c r="A31" t="s" s="9468">
        <v>156</v>
      </c>
      <c r="B31" t="s" s="9469">
        <v>157</v>
      </c>
      <c r="C31" t="s" s="9470">
        <v>158</v>
      </c>
      <c r="D31" t="s" s="9471">
        <v>159</v>
      </c>
      <c r="E31" t="s" s="9472">
        <v>55</v>
      </c>
      <c r="F31" t="s" s="9473">
        <v>160</v>
      </c>
      <c r="G31" t="s" s="9474">
        <v>57</v>
      </c>
      <c r="H31" t="s" s="9475">
        <v>58</v>
      </c>
      <c r="I31" t="n" s="9476">
        <v>43831.0</v>
      </c>
      <c r="J31" t="n" s="9477">
        <v>44196.0</v>
      </c>
      <c r="K31" t="s" s="9478">
        <v>0</v>
      </c>
      <c r="L31" t="n" s="9479">
        <v>1380.0</v>
      </c>
      <c r="M31" t="n" s="9480">
        <v>0.0</v>
      </c>
      <c r="N31" t="n" s="9481">
        <v>0.0</v>
      </c>
      <c r="O31" s="9482">
        <f>M31*N31</f>
      </c>
      <c r="P31" t="n" s="9483">
        <v>0.0</v>
      </c>
      <c r="Q31" t="n" s="9484">
        <v>0.0</v>
      </c>
      <c r="R31" s="9485">
        <f>P31*Q31</f>
      </c>
      <c r="S31" t="n" s="9486">
        <v>1380.0</v>
      </c>
      <c r="T31" t="n" s="9487">
        <v>0.0</v>
      </c>
      <c r="U31" t="n" s="9488">
        <v>0.0</v>
      </c>
      <c r="V31" s="9489">
        <f>L31+O31+R31</f>
      </c>
      <c r="W31" t="n" s="9490">
        <v>1700.0</v>
      </c>
      <c r="X31" s="9491">
        <f>s31+t31+u31+w31</f>
      </c>
      <c r="Y31" t="n" s="9492">
        <v>1.5</v>
      </c>
      <c r="Z31" t="n" s="9493">
        <v>14.93</v>
      </c>
      <c r="AA31" t="n" s="9494">
        <v>0.0</v>
      </c>
      <c r="AB31" t="n" s="9495">
        <v>0.0</v>
      </c>
      <c r="AC31" t="n" s="9496">
        <v>0.0</v>
      </c>
      <c r="AD31" t="n" s="9497">
        <v>0.0</v>
      </c>
      <c r="AE31" s="9498">
        <f>y31+aa31+ac31</f>
      </c>
      <c r="AF31" s="9499">
        <f>z31+ab31+ad31</f>
      </c>
      <c r="AG31" t="n" s="9500">
        <v>422.0</v>
      </c>
      <c r="AH31" t="n" s="9501">
        <v>56.85</v>
      </c>
      <c r="AI31" t="n" s="9502">
        <v>6.5</v>
      </c>
      <c r="AJ31" s="9503">
        <f>x31+af31+ag31+ah31+ai31</f>
      </c>
      <c r="AK31" s="9504">
        <f>ROUND((l31+t31+af31+ag31+ah31+ai31+w31)*0.05,2)</f>
      </c>
      <c r="AL31" s="9505">
        <f>aj31+ak31</f>
      </c>
      <c r="AM31" s="9506">
        <f>80*0.06</f>
      </c>
      <c r="AN31" s="9507">
        <f>al31+am31</f>
      </c>
      <c r="AO31" t="s" s="9508">
        <v>0</v>
      </c>
    </row>
    <row r="32" ht="15.0" customHeight="true">
      <c r="A32" t="s" s="9509">
        <v>161</v>
      </c>
      <c r="B32" t="s" s="9510">
        <v>162</v>
      </c>
      <c r="C32" t="s" s="9511">
        <v>163</v>
      </c>
      <c r="D32" t="s" s="9512">
        <v>164</v>
      </c>
      <c r="E32" t="s" s="9513">
        <v>55</v>
      </c>
      <c r="F32" t="s" s="9514">
        <v>165</v>
      </c>
      <c r="G32" t="s" s="9515">
        <v>57</v>
      </c>
      <c r="H32" t="s" s="9516">
        <v>58</v>
      </c>
      <c r="I32" t="n" s="9517">
        <v>43831.0</v>
      </c>
      <c r="J32" t="n" s="9518">
        <v>44196.0</v>
      </c>
      <c r="K32" t="s" s="9519">
        <v>0</v>
      </c>
      <c r="L32" t="n" s="9520">
        <v>1450.0</v>
      </c>
      <c r="M32" t="n" s="9521">
        <v>0.0</v>
      </c>
      <c r="N32" t="n" s="9522">
        <v>0.0</v>
      </c>
      <c r="O32" s="9523">
        <f>M32*N32</f>
      </c>
      <c r="P32" t="n" s="9524">
        <v>0.0</v>
      </c>
      <c r="Q32" t="n" s="9525">
        <v>0.0</v>
      </c>
      <c r="R32" s="9526">
        <f>P32*Q32</f>
      </c>
      <c r="S32" t="n" s="9527">
        <v>1450.0</v>
      </c>
      <c r="T32" t="n" s="9528">
        <v>0.0</v>
      </c>
      <c r="U32" t="n" s="9529">
        <v>32.4</v>
      </c>
      <c r="V32" s="9530">
        <f>L32+O32+R32</f>
      </c>
      <c r="W32" t="n" s="9531">
        <v>2000.0</v>
      </c>
      <c r="X32" s="9532">
        <f>s32+t32+u32+w32</f>
      </c>
      <c r="Y32" t="n" s="9533">
        <v>8.5</v>
      </c>
      <c r="Z32" t="n" s="9534">
        <v>88.91</v>
      </c>
      <c r="AA32" t="n" s="9535">
        <v>0.0</v>
      </c>
      <c r="AB32" t="n" s="9536">
        <v>0.0</v>
      </c>
      <c r="AC32" t="n" s="9537">
        <v>1.0</v>
      </c>
      <c r="AD32" t="n" s="9538">
        <v>20.91</v>
      </c>
      <c r="AE32" s="9539">
        <f>y32+aa32+ac32</f>
      </c>
      <c r="AF32" s="9540">
        <f>z32+ab32+ad32</f>
      </c>
      <c r="AG32" t="n" s="9541">
        <v>463.0</v>
      </c>
      <c r="AH32" t="n" s="9542">
        <v>63.85</v>
      </c>
      <c r="AI32" t="n" s="9543">
        <v>7.3</v>
      </c>
      <c r="AJ32" s="9544">
        <f>x32+af32+ag32+ah32+ai32</f>
      </c>
      <c r="AK32" s="9545">
        <f>ROUND((l32+t32+af32+ag32+ah32+ai32+w32)*0.05,2)</f>
      </c>
      <c r="AL32" s="9546">
        <f>aj32+ak32</f>
      </c>
      <c r="AM32" s="9547">
        <f>112.4*0.06</f>
      </c>
      <c r="AN32" s="9548">
        <f>al32+am32</f>
      </c>
      <c r="AO32" t="s" s="9549">
        <v>0</v>
      </c>
    </row>
    <row r="33" ht="15.0" customHeight="true">
      <c r="A33" t="s" s="9550">
        <v>166</v>
      </c>
      <c r="B33" t="s" s="9551">
        <v>167</v>
      </c>
      <c r="C33" t="s" s="9552">
        <v>168</v>
      </c>
      <c r="D33" t="s" s="9553">
        <v>169</v>
      </c>
      <c r="E33" t="s" s="9554">
        <v>55</v>
      </c>
      <c r="F33" t="s" s="9555">
        <v>170</v>
      </c>
      <c r="G33" t="s" s="9556">
        <v>57</v>
      </c>
      <c r="H33" t="s" s="9557">
        <v>58</v>
      </c>
      <c r="I33" t="n" s="9558">
        <v>43831.0</v>
      </c>
      <c r="J33" t="n" s="9559">
        <v>44196.0</v>
      </c>
      <c r="K33" t="s" s="9560">
        <v>0</v>
      </c>
      <c r="L33" t="n" s="9561">
        <v>1300.0</v>
      </c>
      <c r="M33" t="n" s="9562">
        <v>0.0</v>
      </c>
      <c r="N33" t="n" s="9563">
        <v>0.0</v>
      </c>
      <c r="O33" s="9564">
        <f>M33*N33</f>
      </c>
      <c r="P33" t="n" s="9565">
        <v>0.0</v>
      </c>
      <c r="Q33" t="n" s="9566">
        <v>0.0</v>
      </c>
      <c r="R33" s="9567">
        <f>P33*Q33</f>
      </c>
      <c r="S33" t="n" s="9568">
        <v>1300.0</v>
      </c>
      <c r="T33" t="n" s="9569">
        <v>0.0</v>
      </c>
      <c r="U33" t="n" s="9570">
        <v>0.0</v>
      </c>
      <c r="V33" s="9571">
        <f>L33+O33+R33</f>
      </c>
      <c r="W33" t="n" s="9572">
        <v>100.0</v>
      </c>
      <c r="X33" s="9573">
        <f>s33+t33+u33+w33</f>
      </c>
      <c r="Y33" t="n" s="9574">
        <v>0.0</v>
      </c>
      <c r="Z33" t="n" s="9575">
        <v>0.0</v>
      </c>
      <c r="AA33" t="n" s="9576">
        <v>0.0</v>
      </c>
      <c r="AB33" t="n" s="9577">
        <v>0.0</v>
      </c>
      <c r="AC33" t="n" s="9578">
        <v>0.0</v>
      </c>
      <c r="AD33" t="n" s="9579">
        <v>0.0</v>
      </c>
      <c r="AE33" s="9580">
        <f>y33+aa33+ac33</f>
      </c>
      <c r="AF33" s="9581">
        <f>z33+ab33+ad33</f>
      </c>
      <c r="AG33" t="n" s="9582">
        <v>203.0</v>
      </c>
      <c r="AH33" t="n" s="9583">
        <v>27.15</v>
      </c>
      <c r="AI33" t="n" s="9584">
        <v>3.1</v>
      </c>
      <c r="AJ33" s="9585">
        <f>x33+af33+ag33+ah33+ai33</f>
      </c>
      <c r="AK33" s="9586">
        <f>ROUND((l33+t33+af33+ag33+ah33+ai33+w33)*0.05,2)</f>
      </c>
      <c r="AL33" s="9587">
        <f>aj33+ak33</f>
      </c>
      <c r="AM33" s="9588">
        <f>80*0.06</f>
      </c>
      <c r="AN33" s="9589">
        <f>al33+am33</f>
      </c>
      <c r="AO33" t="s" s="9590">
        <v>0</v>
      </c>
    </row>
    <row r="34" ht="15.0" customHeight="true">
      <c r="A34" t="s" s="9591">
        <v>171</v>
      </c>
      <c r="B34" t="s" s="9592">
        <v>172</v>
      </c>
      <c r="C34" t="s" s="9593">
        <v>173</v>
      </c>
      <c r="D34" t="s" s="9594">
        <v>174</v>
      </c>
      <c r="E34" t="s" s="9595">
        <v>55</v>
      </c>
      <c r="F34" t="s" s="9596">
        <v>175</v>
      </c>
      <c r="G34" t="s" s="9597">
        <v>57</v>
      </c>
      <c r="H34" t="s" s="9598">
        <v>58</v>
      </c>
      <c r="I34" t="n" s="9599">
        <v>43831.0</v>
      </c>
      <c r="J34" t="n" s="9600">
        <v>44196.0</v>
      </c>
      <c r="K34" t="s" s="9601">
        <v>0</v>
      </c>
      <c r="L34" t="n" s="9602">
        <v>1260.0</v>
      </c>
      <c r="M34" t="n" s="9603">
        <v>0.0</v>
      </c>
      <c r="N34" t="n" s="9604">
        <v>0.0</v>
      </c>
      <c r="O34" s="9605">
        <f>M34*N34</f>
      </c>
      <c r="P34" t="n" s="9606">
        <v>0.0</v>
      </c>
      <c r="Q34" t="n" s="9607">
        <v>0.0</v>
      </c>
      <c r="R34" s="9608">
        <f>P34*Q34</f>
      </c>
      <c r="S34" t="n" s="9609">
        <v>1260.0</v>
      </c>
      <c r="T34" t="n" s="9610">
        <v>0.0</v>
      </c>
      <c r="U34" t="n" s="9611">
        <v>0.0</v>
      </c>
      <c r="V34" s="9612">
        <f>L34+O34+R34</f>
      </c>
      <c r="W34" t="n" s="9613">
        <v>100.0</v>
      </c>
      <c r="X34" s="9614">
        <f>s34+t34+u34+w34</f>
      </c>
      <c r="Y34" t="n" s="9615">
        <v>0.0</v>
      </c>
      <c r="Z34" t="n" s="9616">
        <v>0.0</v>
      </c>
      <c r="AA34" t="n" s="9617">
        <v>0.0</v>
      </c>
      <c r="AB34" t="n" s="9618">
        <v>0.0</v>
      </c>
      <c r="AC34" t="n" s="9619">
        <v>0.0</v>
      </c>
      <c r="AD34" t="n" s="9620">
        <v>0.0</v>
      </c>
      <c r="AE34" s="9621">
        <f>y34+aa34+ac34</f>
      </c>
      <c r="AF34" s="9622">
        <f>z34+ab34+ad34</f>
      </c>
      <c r="AG34" t="n" s="9623">
        <v>190.0</v>
      </c>
      <c r="AH34" t="n" s="9624">
        <v>25.35</v>
      </c>
      <c r="AI34" t="n" s="9625">
        <v>2.9</v>
      </c>
      <c r="AJ34" s="9626">
        <f>x34+af34+ag34+ah34+ai34</f>
      </c>
      <c r="AK34" s="9627">
        <f>ROUND((l34+t34+af34+ag34+ah34+ai34+w34)*0.05,2)</f>
      </c>
      <c r="AL34" s="9628">
        <f>aj34+ak34</f>
      </c>
      <c r="AM34" s="9629">
        <f>80*0.06</f>
      </c>
      <c r="AN34" s="9630">
        <f>al34+am34</f>
      </c>
      <c r="AO34" t="s" s="9631">
        <v>0</v>
      </c>
    </row>
    <row r="35" ht="15.0" customHeight="true">
      <c r="A35" t="s" s="9632">
        <v>176</v>
      </c>
      <c r="B35" t="s" s="9633">
        <v>177</v>
      </c>
      <c r="C35" t="s" s="9634">
        <v>178</v>
      </c>
      <c r="D35" t="s" s="9635">
        <v>179</v>
      </c>
      <c r="E35" t="s" s="9636">
        <v>55</v>
      </c>
      <c r="F35" t="s" s="9637">
        <v>180</v>
      </c>
      <c r="G35" t="s" s="9638">
        <v>57</v>
      </c>
      <c r="H35" t="s" s="9639">
        <v>58</v>
      </c>
      <c r="I35" t="n" s="9640">
        <v>43831.0</v>
      </c>
      <c r="J35" t="n" s="9641">
        <v>44196.0</v>
      </c>
      <c r="K35" t="s" s="9642">
        <v>0</v>
      </c>
      <c r="L35" t="n" s="9643">
        <v>1260.0</v>
      </c>
      <c r="M35" t="n" s="9644">
        <v>0.0</v>
      </c>
      <c r="N35" t="n" s="9645">
        <v>0.0</v>
      </c>
      <c r="O35" s="9646">
        <f>M35*N35</f>
      </c>
      <c r="P35" t="n" s="9647">
        <v>0.0</v>
      </c>
      <c r="Q35" t="n" s="9648">
        <v>0.0</v>
      </c>
      <c r="R35" s="9649">
        <f>P35*Q35</f>
      </c>
      <c r="S35" t="n" s="9650">
        <v>1260.0</v>
      </c>
      <c r="T35" t="n" s="9651">
        <v>0.0</v>
      </c>
      <c r="U35" t="n" s="9652">
        <v>0.0</v>
      </c>
      <c r="V35" s="9653">
        <f>L35+O35+R35</f>
      </c>
      <c r="W35" t="n" s="9654">
        <v>1500.0</v>
      </c>
      <c r="X35" s="9655">
        <f>s35+t35+u35+w35</f>
      </c>
      <c r="Y35" t="n" s="9656">
        <v>5.0</v>
      </c>
      <c r="Z35" t="n" s="9657">
        <v>45.45</v>
      </c>
      <c r="AA35" t="n" s="9658">
        <v>0.0</v>
      </c>
      <c r="AB35" t="n" s="9659">
        <v>0.0</v>
      </c>
      <c r="AC35" t="n" s="9660">
        <v>1.0</v>
      </c>
      <c r="AD35" t="n" s="9661">
        <v>18.17</v>
      </c>
      <c r="AE35" s="9662">
        <f>y35+aa35+ac35</f>
      </c>
      <c r="AF35" s="9663">
        <f>z35+ab35+ad35</f>
      </c>
      <c r="AG35" t="n" s="9664">
        <v>380.0</v>
      </c>
      <c r="AH35" t="n" s="9665">
        <v>51.65</v>
      </c>
      <c r="AI35" t="n" s="9666">
        <v>5.9</v>
      </c>
      <c r="AJ35" s="9667">
        <f>x35+af35+ag35+ah35+ai35</f>
      </c>
      <c r="AK35" s="9668">
        <f>ROUND((l35+t35+af35+ag35+ah35+ai35+w35)*0.05,2)</f>
      </c>
      <c r="AL35" s="9669">
        <f>aj35+ak35</f>
      </c>
      <c r="AM35" s="9670">
        <f>80*0.06</f>
      </c>
      <c r="AN35" s="9671">
        <f>al35+am35</f>
      </c>
      <c r="AO35" t="s" s="9672">
        <v>0</v>
      </c>
    </row>
    <row r="36" ht="15.0" customHeight="true">
      <c r="A36" t="s" s="9673">
        <v>181</v>
      </c>
      <c r="B36" t="s" s="9674">
        <v>182</v>
      </c>
      <c r="C36" t="s" s="9675">
        <v>183</v>
      </c>
      <c r="D36" t="s" s="9676">
        <v>184</v>
      </c>
      <c r="E36" t="s" s="9677">
        <v>55</v>
      </c>
      <c r="F36" t="s" s="9678">
        <v>185</v>
      </c>
      <c r="G36" t="s" s="9679">
        <v>57</v>
      </c>
      <c r="H36" t="s" s="9680">
        <v>58</v>
      </c>
      <c r="I36" t="n" s="9681">
        <v>43831.0</v>
      </c>
      <c r="J36" t="n" s="9682">
        <v>44196.0</v>
      </c>
      <c r="K36" t="s" s="9683">
        <v>0</v>
      </c>
      <c r="L36" t="n" s="9684">
        <v>1340.0</v>
      </c>
      <c r="M36" t="n" s="9685">
        <v>0.0</v>
      </c>
      <c r="N36" t="n" s="9686">
        <v>0.0</v>
      </c>
      <c r="O36" s="9687">
        <f>M36*N36</f>
      </c>
      <c r="P36" t="n" s="9688">
        <v>0.0</v>
      </c>
      <c r="Q36" t="n" s="9689">
        <v>0.0</v>
      </c>
      <c r="R36" s="9690">
        <f>P36*Q36</f>
      </c>
      <c r="S36" t="n" s="9691">
        <v>1340.0</v>
      </c>
      <c r="T36" t="n" s="9692">
        <v>0.0</v>
      </c>
      <c r="U36" t="n" s="9693">
        <v>0.0</v>
      </c>
      <c r="V36" s="9694">
        <f>L36+O36+R36</f>
      </c>
      <c r="W36" t="n" s="9695">
        <v>1400.0</v>
      </c>
      <c r="X36" s="9696">
        <f>s36+t36+u36+w36</f>
      </c>
      <c r="Y36" t="n" s="9697">
        <v>8.5</v>
      </c>
      <c r="Z36" t="n" s="9698">
        <v>82.11</v>
      </c>
      <c r="AA36" t="n" s="9699">
        <v>0.0</v>
      </c>
      <c r="AB36" t="n" s="9700">
        <v>0.0</v>
      </c>
      <c r="AC36" t="n" s="9701">
        <v>1.0</v>
      </c>
      <c r="AD36" t="n" s="9702">
        <v>19.33</v>
      </c>
      <c r="AE36" s="9703">
        <f>y36+aa36+ac36</f>
      </c>
      <c r="AF36" s="9704">
        <f>z36+ab36+ad36</f>
      </c>
      <c r="AG36" t="n" s="9705">
        <v>370.0</v>
      </c>
      <c r="AH36" t="n" s="9706">
        <v>51.65</v>
      </c>
      <c r="AI36" t="n" s="9707">
        <v>5.9</v>
      </c>
      <c r="AJ36" s="9708">
        <f>x36+af36+ag36+ah36+ai36</f>
      </c>
      <c r="AK36" s="9709">
        <f>ROUND((l36+t36+af36+ag36+ah36+ai36+w36)*0.05,2)</f>
      </c>
      <c r="AL36" s="9710">
        <f>aj36+ak36</f>
      </c>
      <c r="AM36" s="9711">
        <f>80*0.06</f>
      </c>
      <c r="AN36" s="9712">
        <f>al36+am36</f>
      </c>
      <c r="AO36" t="s" s="9713">
        <v>0</v>
      </c>
    </row>
    <row r="37" ht="15.0" customHeight="true">
      <c r="A37" t="s" s="9714">
        <v>186</v>
      </c>
      <c r="B37" t="s" s="9715">
        <v>187</v>
      </c>
      <c r="C37" t="s" s="9716">
        <v>188</v>
      </c>
      <c r="D37" t="s" s="9717">
        <v>189</v>
      </c>
      <c r="E37" t="s" s="9718">
        <v>55</v>
      </c>
      <c r="F37" t="s" s="9719">
        <v>190</v>
      </c>
      <c r="G37" t="s" s="9720">
        <v>57</v>
      </c>
      <c r="H37" t="s" s="9721">
        <v>58</v>
      </c>
      <c r="I37" t="n" s="9722">
        <v>43831.0</v>
      </c>
      <c r="J37" t="n" s="9723">
        <v>44196.0</v>
      </c>
      <c r="K37" t="s" s="9724">
        <v>0</v>
      </c>
      <c r="L37" t="n" s="9725">
        <v>1470.0</v>
      </c>
      <c r="M37" t="n" s="9726">
        <v>0.0</v>
      </c>
      <c r="N37" t="n" s="9727">
        <v>0.0</v>
      </c>
      <c r="O37" s="9728">
        <f>M37*N37</f>
      </c>
      <c r="P37" t="n" s="9729">
        <v>0.0</v>
      </c>
      <c r="Q37" t="n" s="9730">
        <v>0.0</v>
      </c>
      <c r="R37" s="9731">
        <f>P37*Q37</f>
      </c>
      <c r="S37" t="n" s="9732">
        <v>1470.0</v>
      </c>
      <c r="T37" t="n" s="9733">
        <v>0.0</v>
      </c>
      <c r="U37" t="n" s="9734">
        <v>0.0</v>
      </c>
      <c r="V37" s="9735">
        <f>L37+O37+R37</f>
      </c>
      <c r="W37" t="n" s="9736">
        <v>1700.0</v>
      </c>
      <c r="X37" s="9737">
        <f>s37+t37+u37+w37</f>
      </c>
      <c r="Y37" t="n" s="9738">
        <v>6.0</v>
      </c>
      <c r="Z37" t="n" s="9739">
        <v>63.6</v>
      </c>
      <c r="AA37" t="n" s="9740">
        <v>0.0</v>
      </c>
      <c r="AB37" t="n" s="9741">
        <v>0.0</v>
      </c>
      <c r="AC37" t="n" s="9742">
        <v>1.0</v>
      </c>
      <c r="AD37" t="n" s="9743">
        <v>21.2</v>
      </c>
      <c r="AE37" s="9744">
        <f>y37+aa37+ac37</f>
      </c>
      <c r="AF37" s="9745">
        <f>z37+ab37+ad37</f>
      </c>
      <c r="AG37" t="n" s="9746">
        <v>435.0</v>
      </c>
      <c r="AH37" t="n" s="9747">
        <v>60.35</v>
      </c>
      <c r="AI37" t="n" s="9748">
        <v>6.9</v>
      </c>
      <c r="AJ37" s="9749">
        <f>x37+af37+ag37+ah37+ai37</f>
      </c>
      <c r="AK37" s="9750">
        <f>ROUND((l37+t37+af37+ag37+ah37+ai37+w37)*0.05,2)</f>
      </c>
      <c r="AL37" s="9751">
        <f>aj37+ak37</f>
      </c>
      <c r="AM37" s="9752">
        <f>80*0.06</f>
      </c>
      <c r="AN37" s="9753">
        <f>al37+am37</f>
      </c>
      <c r="AO37" t="s" s="9754">
        <v>0</v>
      </c>
    </row>
    <row r="38" ht="15.0" customHeight="true">
      <c r="A38" t="s" s="9755">
        <v>191</v>
      </c>
      <c r="B38" t="s" s="9756">
        <v>192</v>
      </c>
      <c r="C38" t="s" s="9757">
        <v>193</v>
      </c>
      <c r="D38" t="s" s="9758">
        <v>194</v>
      </c>
      <c r="E38" t="s" s="9759">
        <v>55</v>
      </c>
      <c r="F38" t="s" s="9760">
        <v>195</v>
      </c>
      <c r="G38" t="s" s="9761">
        <v>57</v>
      </c>
      <c r="H38" t="s" s="9762">
        <v>58</v>
      </c>
      <c r="I38" t="n" s="9763">
        <v>43831.0</v>
      </c>
      <c r="J38" t="n" s="9764">
        <v>44196.0</v>
      </c>
      <c r="K38" t="s" s="9765">
        <v>0</v>
      </c>
      <c r="L38" t="n" s="9766">
        <v>1370.0</v>
      </c>
      <c r="M38" t="n" s="9767">
        <v>0.0</v>
      </c>
      <c r="N38" t="n" s="9768">
        <v>0.0</v>
      </c>
      <c r="O38" s="9769">
        <f>M38*N38</f>
      </c>
      <c r="P38" t="n" s="9770">
        <v>0.0</v>
      </c>
      <c r="Q38" t="n" s="9771">
        <v>0.0</v>
      </c>
      <c r="R38" s="9772">
        <f>P38*Q38</f>
      </c>
      <c r="S38" t="n" s="9773">
        <v>1370.0</v>
      </c>
      <c r="T38" t="n" s="9774">
        <v>0.0</v>
      </c>
      <c r="U38" t="n" s="9775">
        <v>0.0</v>
      </c>
      <c r="V38" s="9776">
        <f>L38+O38+R38</f>
      </c>
      <c r="W38" t="n" s="9777">
        <v>1000.0</v>
      </c>
      <c r="X38" s="9778">
        <f>s38+t38+u38+w38</f>
      </c>
      <c r="Y38" t="n" s="9779">
        <v>21.0</v>
      </c>
      <c r="Z38" t="n" s="9780">
        <v>207.48</v>
      </c>
      <c r="AA38" t="n" s="9781">
        <v>0.0</v>
      </c>
      <c r="AB38" t="n" s="9782">
        <v>0.0</v>
      </c>
      <c r="AC38" t="n" s="9783">
        <v>0.0</v>
      </c>
      <c r="AD38" t="n" s="9784">
        <v>0.0</v>
      </c>
      <c r="AE38" s="9785">
        <f>y38+aa38+ac38</f>
      </c>
      <c r="AF38" s="9786">
        <f>z38+ab38+ad38</f>
      </c>
      <c r="AG38" t="n" s="9787">
        <v>331.0</v>
      </c>
      <c r="AH38" t="n" s="9788">
        <v>48.15</v>
      </c>
      <c r="AI38" t="n" s="9789">
        <v>5.5</v>
      </c>
      <c r="AJ38" s="9790">
        <f>x38+af38+ag38+ah38+ai38</f>
      </c>
      <c r="AK38" s="9791">
        <f>ROUND((l38+t38+af38+ag38+ah38+ai38+w38)*0.05,2)</f>
      </c>
      <c r="AL38" s="9792">
        <f>aj38+ak38</f>
      </c>
      <c r="AM38" s="9793">
        <f>80*0.06</f>
      </c>
      <c r="AN38" s="9794">
        <f>al38+am38</f>
      </c>
      <c r="AO38" t="s" s="9795">
        <v>0</v>
      </c>
    </row>
    <row r="39" ht="15.0" customHeight="true">
      <c r="A39" t="s" s="9796">
        <v>196</v>
      </c>
      <c r="B39" t="s" s="9797">
        <v>197</v>
      </c>
      <c r="C39" t="s" s="9798">
        <v>198</v>
      </c>
      <c r="D39" t="s" s="9799">
        <v>199</v>
      </c>
      <c r="E39" t="s" s="9800">
        <v>55</v>
      </c>
      <c r="F39" t="s" s="9801">
        <v>200</v>
      </c>
      <c r="G39" t="s" s="9802">
        <v>57</v>
      </c>
      <c r="H39" t="s" s="9803">
        <v>58</v>
      </c>
      <c r="I39" t="n" s="9804">
        <v>43831.0</v>
      </c>
      <c r="J39" t="n" s="9805">
        <v>44196.0</v>
      </c>
      <c r="K39" t="s" s="9806">
        <v>0</v>
      </c>
      <c r="L39" t="n" s="9807">
        <v>1370.0</v>
      </c>
      <c r="M39" t="n" s="9808">
        <v>0.0</v>
      </c>
      <c r="N39" t="n" s="9809">
        <v>0.0</v>
      </c>
      <c r="O39" s="9810">
        <f>M39*N39</f>
      </c>
      <c r="P39" t="n" s="9811">
        <v>0.0</v>
      </c>
      <c r="Q39" t="n" s="9812">
        <v>0.0</v>
      </c>
      <c r="R39" s="9813">
        <f>P39*Q39</f>
      </c>
      <c r="S39" t="n" s="9814">
        <v>1370.0</v>
      </c>
      <c r="T39" t="n" s="9815">
        <v>0.0</v>
      </c>
      <c r="U39" t="n" s="9816">
        <v>0.0</v>
      </c>
      <c r="V39" s="9817">
        <f>L39+O39+R39</f>
      </c>
      <c r="W39" t="n" s="9818">
        <v>100.0</v>
      </c>
      <c r="X39" s="9819">
        <f>s39+t39+u39+w39</f>
      </c>
      <c r="Y39" t="n" s="9820">
        <v>9.0</v>
      </c>
      <c r="Z39" t="n" s="9821">
        <v>88.92</v>
      </c>
      <c r="AA39" t="n" s="9822">
        <v>8.0</v>
      </c>
      <c r="AB39" t="n" s="9823">
        <v>105.36</v>
      </c>
      <c r="AC39" t="n" s="9824">
        <v>1.0</v>
      </c>
      <c r="AD39" t="n" s="9825">
        <v>19.76</v>
      </c>
      <c r="AE39" s="9826">
        <f>y39+aa39+ac39</f>
      </c>
      <c r="AF39" s="9827">
        <f>z39+ab39+ad39</f>
      </c>
      <c r="AG39" t="n" s="9828">
        <v>206.0</v>
      </c>
      <c r="AH39" t="n" s="9829">
        <v>30.65</v>
      </c>
      <c r="AI39" t="n" s="9830">
        <v>3.5</v>
      </c>
      <c r="AJ39" s="9831">
        <f>x39+af39+ag39+ah39+ai39</f>
      </c>
      <c r="AK39" s="9832">
        <f>ROUND((l39+t39+af39+ag39+ah39+ai39+w39)*0.05,2)</f>
      </c>
      <c r="AL39" s="9833">
        <f>aj39+ak39</f>
      </c>
      <c r="AM39" s="9834">
        <f>80*0.06</f>
      </c>
      <c r="AN39" s="9835">
        <f>al39+am39</f>
      </c>
      <c r="AO39" t="s" s="9836">
        <v>0</v>
      </c>
    </row>
    <row r="40" ht="15.0" customHeight="true">
      <c r="A40" t="s" s="9837">
        <v>201</v>
      </c>
      <c r="B40" t="s" s="9838">
        <v>202</v>
      </c>
      <c r="C40" t="s" s="9839">
        <v>203</v>
      </c>
      <c r="D40" t="s" s="9840">
        <v>204</v>
      </c>
      <c r="E40" t="s" s="9841">
        <v>55</v>
      </c>
      <c r="F40" t="s" s="9842">
        <v>205</v>
      </c>
      <c r="G40" t="s" s="9843">
        <v>57</v>
      </c>
      <c r="H40" t="s" s="9844">
        <v>58</v>
      </c>
      <c r="I40" t="n" s="9845">
        <v>43831.0</v>
      </c>
      <c r="J40" t="n" s="9846">
        <v>44196.0</v>
      </c>
      <c r="K40" t="s" s="9847">
        <v>0</v>
      </c>
      <c r="L40" t="n" s="9848">
        <v>1470.0</v>
      </c>
      <c r="M40" t="n" s="9849">
        <v>0.0</v>
      </c>
      <c r="N40" t="n" s="9850">
        <v>0.0</v>
      </c>
      <c r="O40" s="9851">
        <f>M40*N40</f>
      </c>
      <c r="P40" t="n" s="9852">
        <v>0.0</v>
      </c>
      <c r="Q40" t="n" s="9853">
        <v>0.0</v>
      </c>
      <c r="R40" s="9854">
        <f>P40*Q40</f>
      </c>
      <c r="S40" t="n" s="9855">
        <v>1470.0</v>
      </c>
      <c r="T40" t="n" s="9856">
        <v>0.0</v>
      </c>
      <c r="U40" t="n" s="9857">
        <v>0.0</v>
      </c>
      <c r="V40" s="9858">
        <f>L40+O40+R40</f>
      </c>
      <c r="W40" t="n" s="9859">
        <v>1300.0</v>
      </c>
      <c r="X40" s="9860">
        <f>s40+t40+u40+w40</f>
      </c>
      <c r="Y40" t="n" s="9861">
        <v>10.0</v>
      </c>
      <c r="Z40" t="n" s="9862">
        <v>106.0</v>
      </c>
      <c r="AA40" t="n" s="9863">
        <v>8.0</v>
      </c>
      <c r="AB40" t="n" s="9864">
        <v>113.04</v>
      </c>
      <c r="AC40" t="n" s="9865">
        <v>1.5</v>
      </c>
      <c r="AD40" t="n" s="9866">
        <v>31.8</v>
      </c>
      <c r="AE40" s="9867">
        <f>y40+aa40+ac40</f>
      </c>
      <c r="AF40" s="9868">
        <f>z40+ab40+ad40</f>
      </c>
      <c r="AG40" t="n" s="9869">
        <v>375.0</v>
      </c>
      <c r="AH40" t="n" s="9870">
        <v>55.15</v>
      </c>
      <c r="AI40" t="n" s="9871">
        <v>6.3</v>
      </c>
      <c r="AJ40" s="9872">
        <f>x40+af40+ag40+ah40+ai40</f>
      </c>
      <c r="AK40" s="9873">
        <f>ROUND((l40+t40+af40+ag40+ah40+ai40+w40)*0.05,2)</f>
      </c>
      <c r="AL40" s="9874">
        <f>aj40+ak40</f>
      </c>
      <c r="AM40" s="9875">
        <f>80*0.06</f>
      </c>
      <c r="AN40" s="9876">
        <f>al40+am40</f>
      </c>
      <c r="AO40" t="s" s="9877">
        <v>0</v>
      </c>
    </row>
    <row r="41" ht="15.0" customHeight="true">
      <c r="A41" t="s" s="9878">
        <v>206</v>
      </c>
      <c r="B41" t="s" s="9879">
        <v>207</v>
      </c>
      <c r="C41" t="s" s="9880">
        <v>208</v>
      </c>
      <c r="D41" t="s" s="9881">
        <v>209</v>
      </c>
      <c r="E41" t="s" s="9882">
        <v>55</v>
      </c>
      <c r="F41" t="s" s="9883">
        <v>210</v>
      </c>
      <c r="G41" t="s" s="9884">
        <v>57</v>
      </c>
      <c r="H41" t="s" s="9885">
        <v>58</v>
      </c>
      <c r="I41" t="n" s="9886">
        <v>43831.0</v>
      </c>
      <c r="J41" t="n" s="9887">
        <v>44196.0</v>
      </c>
      <c r="K41" t="s" s="9888">
        <v>0</v>
      </c>
      <c r="L41" t="n" s="9889">
        <v>1360.0</v>
      </c>
      <c r="M41" t="n" s="9890">
        <v>0.0</v>
      </c>
      <c r="N41" t="n" s="9891">
        <v>0.0</v>
      </c>
      <c r="O41" s="9892">
        <f>M41*N41</f>
      </c>
      <c r="P41" t="n" s="9893">
        <v>0.0</v>
      </c>
      <c r="Q41" t="n" s="9894">
        <v>0.0</v>
      </c>
      <c r="R41" s="9895">
        <f>P41*Q41</f>
      </c>
      <c r="S41" t="n" s="9896">
        <v>1360.0</v>
      </c>
      <c r="T41" t="n" s="9897">
        <v>0.0</v>
      </c>
      <c r="U41" t="n" s="9898">
        <v>0.0</v>
      </c>
      <c r="V41" s="9899">
        <f>L41+O41+R41</f>
      </c>
      <c r="W41" t="n" s="9900">
        <v>1300.0</v>
      </c>
      <c r="X41" s="9901">
        <f>s41+t41+u41+w41</f>
      </c>
      <c r="Y41" t="n" s="9902">
        <v>16.0</v>
      </c>
      <c r="Z41" t="n" s="9903">
        <v>156.96</v>
      </c>
      <c r="AA41" t="n" s="9904">
        <v>0.0</v>
      </c>
      <c r="AB41" t="n" s="9905">
        <v>0.0</v>
      </c>
      <c r="AC41" t="n" s="9906">
        <v>0.0</v>
      </c>
      <c r="AD41" t="n" s="9907">
        <v>0.0</v>
      </c>
      <c r="AE41" s="9908">
        <f>y41+aa41+ac41</f>
      </c>
      <c r="AF41" s="9909">
        <f>z41+ab41+ad41</f>
      </c>
      <c r="AG41" t="n" s="9910">
        <v>367.0</v>
      </c>
      <c r="AH41" t="n" s="9911">
        <v>51.65</v>
      </c>
      <c r="AI41" t="n" s="9912">
        <v>5.9</v>
      </c>
      <c r="AJ41" s="9913">
        <f>x41+af41+ag41+ah41+ai41</f>
      </c>
      <c r="AK41" s="9914">
        <f>ROUND((l41+t41+af41+ag41+ah41+ai41+w41)*0.05,2)</f>
      </c>
      <c r="AL41" s="9915">
        <f>aj41+ak41</f>
      </c>
      <c r="AM41" s="9916">
        <f>80*0.06</f>
      </c>
      <c r="AN41" s="9917">
        <f>al41+am41</f>
      </c>
      <c r="AO41" t="s" s="9918">
        <v>0</v>
      </c>
    </row>
    <row r="42" ht="15.0" customHeight="true">
      <c r="A42" t="s" s="9919">
        <v>211</v>
      </c>
      <c r="B42" t="s" s="9920">
        <v>212</v>
      </c>
      <c r="C42" t="s" s="9921">
        <v>213</v>
      </c>
      <c r="D42" t="s" s="9922">
        <v>214</v>
      </c>
      <c r="E42" t="s" s="9923">
        <v>55</v>
      </c>
      <c r="F42" t="s" s="9924">
        <v>110</v>
      </c>
      <c r="G42" t="s" s="9925">
        <v>57</v>
      </c>
      <c r="H42" t="s" s="9926">
        <v>58</v>
      </c>
      <c r="I42" t="n" s="9927">
        <v>43831.0</v>
      </c>
      <c r="J42" t="n" s="9928">
        <v>44196.0</v>
      </c>
      <c r="K42" t="s" s="9929">
        <v>0</v>
      </c>
      <c r="L42" t="n" s="9930">
        <v>1450.0</v>
      </c>
      <c r="M42" t="n" s="9931">
        <v>0.0</v>
      </c>
      <c r="N42" t="n" s="9932">
        <v>0.0</v>
      </c>
      <c r="O42" s="9933">
        <f>M42*N42</f>
      </c>
      <c r="P42" t="n" s="9934">
        <v>0.0</v>
      </c>
      <c r="Q42" t="n" s="9935">
        <v>0.0</v>
      </c>
      <c r="R42" s="9936">
        <f>P42*Q42</f>
      </c>
      <c r="S42" t="n" s="9937">
        <v>1450.0</v>
      </c>
      <c r="T42" t="n" s="9938">
        <v>0.0</v>
      </c>
      <c r="U42" t="n" s="9939">
        <v>0.0</v>
      </c>
      <c r="V42" s="9940">
        <f>L42+O42+R42</f>
      </c>
      <c r="W42" t="n" s="9941">
        <v>1600.0</v>
      </c>
      <c r="X42" s="9942">
        <f>s42+t42+u42+w42</f>
      </c>
      <c r="Y42" t="n" s="9943">
        <v>6.0</v>
      </c>
      <c r="Z42" t="n" s="9944">
        <v>62.76</v>
      </c>
      <c r="AA42" t="n" s="9945">
        <v>8.0</v>
      </c>
      <c r="AB42" t="n" s="9946">
        <v>111.52</v>
      </c>
      <c r="AC42" t="n" s="9947">
        <v>1.0</v>
      </c>
      <c r="AD42" t="n" s="9948">
        <v>20.91</v>
      </c>
      <c r="AE42" s="9949">
        <f>y42+aa42+ac42</f>
      </c>
      <c r="AF42" s="9950">
        <f>z42+ab42+ad42</f>
      </c>
      <c r="AG42" t="n" s="9951">
        <v>411.0</v>
      </c>
      <c r="AH42" t="n" s="9952">
        <v>58.65</v>
      </c>
      <c r="AI42" t="n" s="9953">
        <v>6.7</v>
      </c>
      <c r="AJ42" s="9954">
        <f>x42+af42+ag42+ah42+ai42</f>
      </c>
      <c r="AK42" s="9955">
        <f>ROUND((l42+t42+af42+ag42+ah42+ai42+w42)*0.05,2)</f>
      </c>
      <c r="AL42" s="9956">
        <f>aj42+ak42</f>
      </c>
      <c r="AM42" s="9957">
        <f>80*0.06</f>
      </c>
      <c r="AN42" s="9958">
        <f>al42+am42</f>
      </c>
      <c r="AO42" t="s" s="9959">
        <v>0</v>
      </c>
    </row>
    <row r="43" ht="15.0" customHeight="true">
      <c r="A43" t="s" s="9960">
        <v>215</v>
      </c>
      <c r="B43" t="s" s="9961">
        <v>216</v>
      </c>
      <c r="C43" t="s" s="9962">
        <v>217</v>
      </c>
      <c r="D43" t="s" s="9963">
        <v>218</v>
      </c>
      <c r="E43" t="s" s="9964">
        <v>55</v>
      </c>
      <c r="F43" t="s" s="9965">
        <v>219</v>
      </c>
      <c r="G43" t="s" s="9966">
        <v>57</v>
      </c>
      <c r="H43" t="s" s="9967">
        <v>58</v>
      </c>
      <c r="I43" t="n" s="9968">
        <v>43831.0</v>
      </c>
      <c r="J43" t="n" s="9969">
        <v>44196.0</v>
      </c>
      <c r="K43" t="s" s="9970">
        <v>0</v>
      </c>
      <c r="L43" t="n" s="9971">
        <v>1530.0</v>
      </c>
      <c r="M43" t="n" s="9972">
        <v>0.0</v>
      </c>
      <c r="N43" t="n" s="9973">
        <v>0.0</v>
      </c>
      <c r="O43" s="9974">
        <f>M43*N43</f>
      </c>
      <c r="P43" t="n" s="9975">
        <v>0.0</v>
      </c>
      <c r="Q43" t="n" s="9976">
        <v>0.0</v>
      </c>
      <c r="R43" s="9977">
        <f>P43*Q43</f>
      </c>
      <c r="S43" t="n" s="9978">
        <v>1530.0</v>
      </c>
      <c r="T43" t="n" s="9979">
        <v>0.0</v>
      </c>
      <c r="U43" t="n" s="9980">
        <v>0.0</v>
      </c>
      <c r="V43" s="9981">
        <f>L43+O43+R43</f>
      </c>
      <c r="W43" t="n" s="9982">
        <v>1000.0</v>
      </c>
      <c r="X43" s="9983">
        <f>s43+t43+u43+w43</f>
      </c>
      <c r="Y43" t="n" s="9984">
        <v>6.0</v>
      </c>
      <c r="Z43" t="n" s="9985">
        <v>66.18</v>
      </c>
      <c r="AA43" t="n" s="9986">
        <v>8.0</v>
      </c>
      <c r="AB43" t="n" s="9987">
        <v>117.68</v>
      </c>
      <c r="AC43" t="n" s="9988">
        <v>1.0</v>
      </c>
      <c r="AD43" t="n" s="9989">
        <v>22.07</v>
      </c>
      <c r="AE43" s="9990">
        <f>y43+aa43+ac43</f>
      </c>
      <c r="AF43" s="9991">
        <f>z43+ab43+ad43</f>
      </c>
      <c r="AG43" t="n" s="9992">
        <v>344.0</v>
      </c>
      <c r="AH43" t="n" s="9993">
        <v>49.85</v>
      </c>
      <c r="AI43" t="n" s="9994">
        <v>5.7</v>
      </c>
      <c r="AJ43" s="9995">
        <f>x43+af43+ag43+ah43+ai43</f>
      </c>
      <c r="AK43" s="9996">
        <f>ROUND((l43+t43+af43+ag43+ah43+ai43+w43)*0.05,2)</f>
      </c>
      <c r="AL43" s="9997">
        <f>aj43+ak43</f>
      </c>
      <c r="AM43" s="9998">
        <f>80*0.06</f>
      </c>
      <c r="AN43" s="9999">
        <f>al43+am43</f>
      </c>
      <c r="AO43" t="s" s="10000">
        <v>0</v>
      </c>
    </row>
    <row r="44" ht="15.0" customHeight="true">
      <c r="A44" t="s" s="10001">
        <v>220</v>
      </c>
      <c r="B44" t="s" s="10002">
        <v>221</v>
      </c>
      <c r="C44" t="s" s="10003">
        <v>222</v>
      </c>
      <c r="D44" t="s" s="10004">
        <v>223</v>
      </c>
      <c r="E44" t="s" s="10005">
        <v>55</v>
      </c>
      <c r="F44" t="s" s="10006">
        <v>224</v>
      </c>
      <c r="G44" t="s" s="10007">
        <v>105</v>
      </c>
      <c r="H44" t="s" s="10008">
        <v>58</v>
      </c>
      <c r="I44" t="n" s="10009">
        <v>43831.0</v>
      </c>
      <c r="J44" t="n" s="10010">
        <v>44196.0</v>
      </c>
      <c r="K44" t="s" s="10011">
        <v>0</v>
      </c>
      <c r="L44" t="n" s="10012">
        <v>1400.0</v>
      </c>
      <c r="M44" t="n" s="10013">
        <v>0.0</v>
      </c>
      <c r="N44" t="n" s="10014">
        <v>0.0</v>
      </c>
      <c r="O44" s="10015">
        <f>M44*N44</f>
      </c>
      <c r="P44" t="n" s="10016">
        <v>0.0</v>
      </c>
      <c r="Q44" t="n" s="10017">
        <v>0.0</v>
      </c>
      <c r="R44" s="10018">
        <f>P44*Q44</f>
      </c>
      <c r="S44" t="n" s="10019">
        <v>1400.0</v>
      </c>
      <c r="T44" t="n" s="10020">
        <v>0.0</v>
      </c>
      <c r="U44" t="n" s="10021">
        <v>0.0</v>
      </c>
      <c r="V44" s="10022">
        <f>L44+O44+R44</f>
      </c>
      <c r="W44" t="n" s="10023">
        <v>1700.0</v>
      </c>
      <c r="X44" s="10024">
        <f>s44+t44+u44+w44</f>
      </c>
      <c r="Y44" t="n" s="10025">
        <v>10.0</v>
      </c>
      <c r="Z44" t="n" s="10026">
        <v>101.0</v>
      </c>
      <c r="AA44" t="n" s="10027">
        <v>0.0</v>
      </c>
      <c r="AB44" t="n" s="10028">
        <v>0.0</v>
      </c>
      <c r="AC44" t="n" s="10029">
        <v>1.0</v>
      </c>
      <c r="AD44" t="n" s="10030">
        <v>20.19</v>
      </c>
      <c r="AE44" s="10031">
        <f>y44+aa44+ac44</f>
      </c>
      <c r="AF44" s="10032">
        <f>z44+ab44+ad44</f>
      </c>
      <c r="AG44" t="n" s="10033">
        <v>424.0</v>
      </c>
      <c r="AH44" t="n" s="10034">
        <v>58.65</v>
      </c>
      <c r="AI44" t="n" s="10035">
        <v>6.7</v>
      </c>
      <c r="AJ44" s="10036">
        <f>x44+af44+ag44+ah44+ai44</f>
      </c>
      <c r="AK44" s="10037">
        <f>ROUND((l44+t44+af44+ag44+ah44+ai44+w44)*0.05,2)</f>
      </c>
      <c r="AL44" s="10038">
        <f>aj44+ak44</f>
      </c>
      <c r="AM44" s="10039">
        <f>80*0.06</f>
      </c>
      <c r="AN44" s="10040">
        <f>al44+am44</f>
      </c>
      <c r="AO44" t="s" s="10041">
        <v>0</v>
      </c>
    </row>
    <row r="45" ht="15.0" customHeight="true">
      <c r="L45" t="s" s="10042">
        <v>0</v>
      </c>
      <c r="M45" t="s" s="10043">
        <v>0</v>
      </c>
      <c r="N45" t="s" s="10044">
        <v>0</v>
      </c>
      <c r="O45" t="s" s="10045">
        <v>0</v>
      </c>
      <c r="P45" t="s" s="10046">
        <v>0</v>
      </c>
      <c r="Q45" t="s" s="10047">
        <v>0</v>
      </c>
      <c r="R45" t="s" s="10048">
        <v>0</v>
      </c>
      <c r="S45" t="s" s="10049">
        <v>0</v>
      </c>
      <c r="T45" t="s" s="10050">
        <v>0</v>
      </c>
      <c r="U45" t="s" s="10051">
        <v>0</v>
      </c>
      <c r="V45" t="s" s="10052">
        <v>0</v>
      </c>
      <c r="W45" t="s" s="10053">
        <v>0</v>
      </c>
      <c r="X45" t="s" s="10054">
        <v>0</v>
      </c>
      <c r="Y45" t="s" s="10055">
        <v>0</v>
      </c>
      <c r="Z45" t="s" s="10056">
        <v>0</v>
      </c>
      <c r="AA45" t="s" s="10057">
        <v>0</v>
      </c>
      <c r="AB45" t="s" s="10058">
        <v>0</v>
      </c>
      <c r="AC45" t="s" s="10059">
        <v>0</v>
      </c>
      <c r="AD45" t="s" s="10060">
        <v>0</v>
      </c>
      <c r="AE45" t="s" s="10061">
        <v>0</v>
      </c>
      <c r="AF45" t="s" s="10062">
        <v>0</v>
      </c>
      <c r="AG45" t="s" s="10063">
        <v>0</v>
      </c>
      <c r="AH45" t="s" s="10064">
        <v>0</v>
      </c>
      <c r="AI45" t="s" s="10065">
        <v>0</v>
      </c>
      <c r="AJ45" t="s" s="10066">
        <v>0</v>
      </c>
      <c r="AK45" t="s" s="10067">
        <v>0</v>
      </c>
      <c r="AL45" t="s" s="10068">
        <v>0</v>
      </c>
    </row>
    <row r="46" ht="15.0" customHeight="true"/>
    <row r="47" ht="15.0" customHeight="true">
      <c r="A47" t="s" s="10069">
        <v>0</v>
      </c>
      <c r="B47" t="s" s="10070">
        <v>649</v>
      </c>
      <c r="C47" s="10071">
        <f>COUNTA(A11:A44)</f>
      </c>
      <c r="L47" s="10072">
        <f>SUM(l11:l44)</f>
      </c>
      <c r="M47" s="10073">
        <f>SUM(m11:m44)</f>
      </c>
      <c r="N47" t="s" s="10074">
        <v>0</v>
      </c>
      <c r="O47" s="10075">
        <f>SUM(o11:o44)</f>
      </c>
      <c r="P47" s="10076">
        <f>SUM(p11:p44)</f>
      </c>
      <c r="Q47" t="s" s="10077">
        <v>0</v>
      </c>
      <c r="R47" s="10078">
        <f>SUM(r11:r44)</f>
      </c>
      <c r="S47" s="10079">
        <f>SUM(s11:s44)</f>
      </c>
      <c r="T47" s="10080">
        <f>SUM(t11:t44)</f>
      </c>
      <c r="U47" s="10081">
        <f>SUM(u11:u44)</f>
      </c>
      <c r="V47" s="10082">
        <f>SUM(v11:v44)</f>
      </c>
      <c r="W47" s="10083">
        <f>SUM(w11:w44)</f>
      </c>
      <c r="X47" s="10084">
        <f>SUM(x11:x44)</f>
      </c>
      <c r="Y47" s="10085">
        <f>SUM(y11:y44)</f>
      </c>
      <c r="Z47" s="10086">
        <f>SUM(z11:z44)</f>
      </c>
      <c r="AA47" s="10087">
        <f>SUM(aa11:aa44)</f>
      </c>
      <c r="AB47" s="10088">
        <f>SUM(ab11:ab44)</f>
      </c>
      <c r="AC47" s="10089">
        <f>SUM(ac11:ac44)</f>
      </c>
      <c r="AD47" s="10090">
        <f>SUM(ad11:ad44)</f>
      </c>
      <c r="AE47" s="10091">
        <f>SUM(ae11:ae44)</f>
      </c>
      <c r="AF47" s="10092">
        <f>SUM(af11:af44)</f>
      </c>
      <c r="AG47" s="10093">
        <f>SUM(ag11:ag44)</f>
      </c>
      <c r="AH47" s="10094">
        <f>SUM(ah11:ah44)</f>
      </c>
      <c r="AI47" s="10095">
        <f>SUM(ai11:ai44)</f>
      </c>
      <c r="AJ47" s="10096">
        <f>SUM(aj11:aj44)</f>
      </c>
      <c r="AK47" s="10097">
        <f>SUM(ak11:ak44)</f>
      </c>
      <c r="AL47" s="10098">
        <f>SUM(al11:al44)</f>
      </c>
      <c r="AM47" s="10099">
        <f>SUM(am11:am44)</f>
      </c>
      <c r="AN47" s="10100">
        <f>SUM(an11:an44)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101">
        <v>0</v>
      </c>
      <c r="B1" t="s" s="10102">
        <v>1</v>
      </c>
      <c r="Y1" t="s" s="10103">
        <v>6</v>
      </c>
      <c r="Z1" t="n" s="10104">
        <v>2020.0</v>
      </c>
    </row>
    <row r="2" ht="15.0" customHeight="true">
      <c r="A2" t="s" s="10105">
        <v>0</v>
      </c>
      <c r="B2" t="s" s="10106">
        <v>2</v>
      </c>
      <c r="Y2" t="s" s="10107">
        <v>7</v>
      </c>
      <c r="Z2" t="n" s="10108">
        <v>2019.0</v>
      </c>
    </row>
    <row r="3" ht="15.0" customHeight="true">
      <c r="A3" t="s" s="10109">
        <v>0</v>
      </c>
      <c r="B3" t="s" s="10110">
        <v>3</v>
      </c>
    </row>
    <row r="4" ht="15.0" customHeight="true">
      <c r="A4" t="s" s="10111">
        <v>0</v>
      </c>
      <c r="B4" t="s" s="10112">
        <v>4</v>
      </c>
    </row>
    <row r="5" ht="15.0" customHeight="true">
      <c r="A5" t="s" s="10113">
        <v>0</v>
      </c>
      <c r="B5" t="s" s="10114">
        <v>5</v>
      </c>
    </row>
    <row r="6" ht="15.0" customHeight="true"/>
    <row r="7" ht="15.0" customHeight="true"/>
    <row r="8" ht="28.0" customHeight="true">
      <c r="A8" t="s" s="10115">
        <v>0</v>
      </c>
      <c r="B8" t="s" s="10116">
        <v>0</v>
      </c>
      <c r="C8" t="s" s="10117">
        <v>0</v>
      </c>
      <c r="D8" t="s" s="10118">
        <v>0</v>
      </c>
      <c r="E8" t="s" s="10119">
        <v>0</v>
      </c>
      <c r="F8" t="s" s="10120">
        <v>0</v>
      </c>
      <c r="G8" t="s" s="10121">
        <v>0</v>
      </c>
      <c r="H8" t="s" s="10122">
        <v>0</v>
      </c>
      <c r="I8" t="s" s="10123">
        <v>0</v>
      </c>
      <c r="J8" t="s" s="10124">
        <v>0</v>
      </c>
      <c r="K8" t="s" s="10125">
        <v>0</v>
      </c>
      <c r="L8" t="s" s="10126">
        <v>0</v>
      </c>
      <c r="M8" t="s" s="10127">
        <v>0</v>
      </c>
      <c r="N8" t="s" s="10128">
        <v>0</v>
      </c>
      <c r="O8" t="s" s="10129">
        <v>0</v>
      </c>
      <c r="P8" t="s" s="10130">
        <v>0</v>
      </c>
      <c r="Q8" t="s" s="10131">
        <v>0</v>
      </c>
      <c r="R8" t="s" s="10132">
        <v>0</v>
      </c>
      <c r="S8" t="s" s="10133">
        <v>0</v>
      </c>
      <c r="T8" t="s" s="10134">
        <v>0</v>
      </c>
      <c r="U8" t="s" s="10135">
        <v>0</v>
      </c>
      <c r="V8" t="s" s="10136">
        <v>0</v>
      </c>
      <c r="W8" t="s" s="10137">
        <v>0</v>
      </c>
      <c r="X8" t="s" s="10138">
        <v>0</v>
      </c>
      <c r="Y8" t="s" s="10139">
        <v>0</v>
      </c>
      <c r="Z8" t="s" s="10140">
        <v>0</v>
      </c>
      <c r="AA8" t="s" s="10141">
        <v>0</v>
      </c>
      <c r="AB8" t="s" s="10142">
        <v>0</v>
      </c>
      <c r="AC8" t="s" s="10143">
        <v>8</v>
      </c>
      <c r="AD8" t="s" s="10144">
        <v>0</v>
      </c>
      <c r="AE8" t="s" s="10145">
        <v>0</v>
      </c>
      <c r="AF8" t="s" s="10146">
        <v>0</v>
      </c>
      <c r="AG8" t="s" s="10147">
        <v>0</v>
      </c>
      <c r="AH8" t="s" s="10148">
        <v>0</v>
      </c>
      <c r="AI8" t="s" s="10149">
        <v>0</v>
      </c>
      <c r="AJ8" t="s" s="10150">
        <v>0</v>
      </c>
      <c r="AK8" t="s" s="10151">
        <v>0</v>
      </c>
      <c r="AL8" t="s" s="10152">
        <v>0</v>
      </c>
      <c r="AM8" t="s" s="10153">
        <v>0</v>
      </c>
      <c r="AN8" t="s" s="10154">
        <v>0</v>
      </c>
      <c r="AO8" t="s" s="10155">
        <v>0</v>
      </c>
    </row>
    <row r="9" ht="41.0" customHeight="true">
      <c r="A9" t="s" s="10156">
        <v>9</v>
      </c>
      <c r="B9" t="s" s="10157">
        <v>10</v>
      </c>
      <c r="C9" t="s" s="10158">
        <v>11</v>
      </c>
      <c r="D9" t="s" s="10159">
        <v>12</v>
      </c>
      <c r="E9" t="s" s="10160">
        <v>13</v>
      </c>
      <c r="F9" t="s" s="10161">
        <v>14</v>
      </c>
      <c r="G9" t="s" s="10162">
        <v>15</v>
      </c>
      <c r="H9" t="s" s="10163">
        <v>16</v>
      </c>
      <c r="I9" t="s" s="10164">
        <v>17</v>
      </c>
      <c r="J9" t="s" s="10165">
        <v>18</v>
      </c>
      <c r="K9" t="s" s="10166">
        <v>19</v>
      </c>
      <c r="L9" t="s" s="10167">
        <v>20</v>
      </c>
      <c r="M9" t="s" s="10168">
        <v>21</v>
      </c>
      <c r="N9" t="s" s="10169">
        <v>22</v>
      </c>
      <c r="O9" t="s" s="10170">
        <v>23</v>
      </c>
      <c r="P9" t="s" s="10171">
        <v>24</v>
      </c>
      <c r="Q9" t="s" s="10172">
        <v>25</v>
      </c>
      <c r="R9" t="s" s="10173">
        <v>26</v>
      </c>
      <c r="S9" t="s" s="10174">
        <v>27</v>
      </c>
      <c r="T9" t="s" s="10175">
        <v>28</v>
      </c>
      <c r="U9" t="s" s="10176">
        <v>29</v>
      </c>
      <c r="V9" t="s" s="10177">
        <v>30</v>
      </c>
      <c r="W9" t="s" s="10178">
        <v>31</v>
      </c>
      <c r="X9" t="s" s="10179">
        <v>32</v>
      </c>
      <c r="Y9" t="s" s="10180">
        <v>33</v>
      </c>
      <c r="Z9" t="s" s="10181">
        <v>34</v>
      </c>
      <c r="AA9" t="s" s="10182">
        <v>35</v>
      </c>
      <c r="AB9" t="s" s="10183">
        <v>36</v>
      </c>
      <c r="AC9" t="s" s="10184">
        <v>37</v>
      </c>
      <c r="AD9" t="s" s="10185">
        <v>38</v>
      </c>
      <c r="AE9" t="s" s="10186">
        <v>39</v>
      </c>
      <c r="AF9" t="s" s="10187">
        <v>40</v>
      </c>
      <c r="AG9" t="s" s="10188">
        <v>41</v>
      </c>
      <c r="AH9" t="s" s="10189">
        <v>42</v>
      </c>
      <c r="AI9" t="s" s="10190">
        <v>43</v>
      </c>
      <c r="AJ9" t="s" s="10191">
        <v>44</v>
      </c>
      <c r="AK9" t="s" s="10192">
        <v>45</v>
      </c>
      <c r="AL9" t="s" s="10193">
        <v>46</v>
      </c>
      <c r="AM9" t="s" s="10194">
        <v>47</v>
      </c>
      <c r="AN9" t="s" s="10195">
        <v>48</v>
      </c>
      <c r="AO9" t="s" s="10196">
        <v>49</v>
      </c>
    </row>
    <row r="10" ht="15.0" customHeight="true">
      <c r="A10" t="s" s="10197">
        <v>0</v>
      </c>
      <c r="B10" t="s" s="10198">
        <v>0</v>
      </c>
      <c r="C10" t="s" s="10199">
        <v>0</v>
      </c>
      <c r="D10" t="s" s="10200">
        <v>0</v>
      </c>
      <c r="E10" t="s" s="10201">
        <v>0</v>
      </c>
      <c r="F10" t="s" s="10202">
        <v>0</v>
      </c>
      <c r="G10" t="s" s="10203">
        <v>0</v>
      </c>
      <c r="H10" t="s" s="10204">
        <v>0</v>
      </c>
      <c r="I10" t="s" s="10205">
        <v>0</v>
      </c>
      <c r="J10" t="s" s="10206">
        <v>0</v>
      </c>
      <c r="K10" t="s" s="10207">
        <v>0</v>
      </c>
      <c r="L10" t="s" s="10208">
        <v>0</v>
      </c>
      <c r="M10" t="s" s="10209">
        <v>0</v>
      </c>
      <c r="N10" t="s" s="10210">
        <v>0</v>
      </c>
      <c r="O10" t="s" s="10211">
        <v>0</v>
      </c>
      <c r="P10" t="s" s="10212">
        <v>0</v>
      </c>
      <c r="Q10" t="s" s="10213">
        <v>0</v>
      </c>
      <c r="R10" t="s" s="10214">
        <v>0</v>
      </c>
      <c r="S10" t="s" s="10215">
        <v>0</v>
      </c>
      <c r="T10" t="s" s="10216">
        <v>0</v>
      </c>
      <c r="U10" t="s" s="10217">
        <v>0</v>
      </c>
      <c r="V10" t="s" s="10218">
        <v>0</v>
      </c>
      <c r="W10" t="s" s="10219">
        <v>0</v>
      </c>
      <c r="X10" t="s" s="10220">
        <v>0</v>
      </c>
      <c r="Y10" t="n" s="10221">
        <v>1.5</v>
      </c>
      <c r="Z10" t="n" s="10222">
        <v>1.5</v>
      </c>
      <c r="AA10" t="n" s="10223">
        <v>2.0</v>
      </c>
      <c r="AB10" t="n" s="10224">
        <v>2.0</v>
      </c>
      <c r="AC10" t="n" s="10225">
        <v>3.0</v>
      </c>
      <c r="AD10" t="n" s="10226">
        <v>3.0</v>
      </c>
      <c r="AE10" t="s" s="10227">
        <v>50</v>
      </c>
      <c r="AF10" t="s" s="10228">
        <v>50</v>
      </c>
      <c r="AG10" t="s" s="10229">
        <v>0</v>
      </c>
      <c r="AH10" t="s" s="10230">
        <v>0</v>
      </c>
      <c r="AI10" t="s" s="10231">
        <v>0</v>
      </c>
      <c r="AJ10" t="s" s="10232">
        <v>0</v>
      </c>
      <c r="AK10" t="s" s="10233">
        <v>0</v>
      </c>
      <c r="AL10" t="s" s="10234">
        <v>0</v>
      </c>
      <c r="AM10" t="s" s="10235">
        <v>0</v>
      </c>
      <c r="AN10" t="s" s="10236">
        <v>0</v>
      </c>
      <c r="AO10" t="s" s="10237">
        <v>0</v>
      </c>
    </row>
    <row r="11" ht="15.0" customHeight="true">
      <c r="A11" t="s" s="10238">
        <v>225</v>
      </c>
      <c r="B11" t="s" s="10239">
        <v>226</v>
      </c>
      <c r="C11" t="s" s="10240">
        <v>227</v>
      </c>
      <c r="D11" t="s" s="10241">
        <v>228</v>
      </c>
      <c r="E11" t="s" s="10242">
        <v>55</v>
      </c>
      <c r="F11" t="s" s="10243">
        <v>229</v>
      </c>
      <c r="G11" t="s" s="10244">
        <v>230</v>
      </c>
      <c r="H11" t="s" s="10245">
        <v>231</v>
      </c>
      <c r="I11" t="n" s="10246">
        <v>43831.0</v>
      </c>
      <c r="J11" t="n" s="10247">
        <v>44196.0</v>
      </c>
      <c r="K11" t="s" s="10248">
        <v>0</v>
      </c>
      <c r="L11" t="n" s="10249">
        <v>1440.0</v>
      </c>
      <c r="M11" t="n" s="10250">
        <v>0.0</v>
      </c>
      <c r="N11" t="n" s="10251">
        <v>0.0</v>
      </c>
      <c r="O11" s="10252">
        <f>M11*N11</f>
      </c>
      <c r="P11" t="n" s="10253">
        <v>0.0</v>
      </c>
      <c r="Q11" t="n" s="10254">
        <v>0.0</v>
      </c>
      <c r="R11" s="10255">
        <f>P11*Q11</f>
      </c>
      <c r="S11" t="n" s="10256">
        <v>1440.0</v>
      </c>
      <c r="T11" t="n" s="10257">
        <v>0.0</v>
      </c>
      <c r="U11" t="n" s="10258">
        <v>0.0</v>
      </c>
      <c r="V11" s="10259">
        <f>L11+O11+R11</f>
      </c>
      <c r="W11" t="n" s="10260">
        <v>500.0</v>
      </c>
      <c r="X11" s="10261">
        <f>s11+t11+u11+w11</f>
      </c>
      <c r="Y11" t="n" s="10262">
        <v>0.0</v>
      </c>
      <c r="Z11" t="n" s="10263">
        <v>0.0</v>
      </c>
      <c r="AA11" t="n" s="10264">
        <v>0.0</v>
      </c>
      <c r="AB11" t="n" s="10265">
        <v>0.0</v>
      </c>
      <c r="AC11" t="n" s="10266">
        <v>0.0</v>
      </c>
      <c r="AD11" t="n" s="10267">
        <v>0.0</v>
      </c>
      <c r="AE11" s="10268">
        <f>y11+aa11+ac11</f>
      </c>
      <c r="AF11" s="10269">
        <f>z11+ab11+ad11</f>
      </c>
      <c r="AG11" t="n" s="10270">
        <v>273.0</v>
      </c>
      <c r="AH11" t="n" s="10271">
        <v>35.85</v>
      </c>
      <c r="AI11" t="n" s="10272">
        <v>4.1</v>
      </c>
      <c r="AJ11" s="10273">
        <f>x11+af11+ag11+ah11+ai11</f>
      </c>
      <c r="AK11" s="10274">
        <f>ROUND((l11+t11+af11+ag11+ah11+ai11+w11)*0.05,2)</f>
      </c>
      <c r="AL11" s="10275">
        <f>aj11+ak11</f>
      </c>
      <c r="AM11" s="10276">
        <f>80*0.06</f>
      </c>
      <c r="AN11" s="10277">
        <f>al11+am11</f>
      </c>
      <c r="AO11" t="s" s="10278">
        <v>0</v>
      </c>
    </row>
    <row r="12" ht="15.0" customHeight="true">
      <c r="A12" t="s" s="10279">
        <v>232</v>
      </c>
      <c r="B12" t="s" s="10280">
        <v>233</v>
      </c>
      <c r="C12" t="s" s="10281">
        <v>234</v>
      </c>
      <c r="D12" t="s" s="10282">
        <v>235</v>
      </c>
      <c r="E12" t="s" s="10283">
        <v>55</v>
      </c>
      <c r="F12" t="s" s="10284">
        <v>236</v>
      </c>
      <c r="G12" t="s" s="10285">
        <v>230</v>
      </c>
      <c r="H12" t="s" s="10286">
        <v>231</v>
      </c>
      <c r="I12" t="n" s="10287">
        <v>43831.0</v>
      </c>
      <c r="J12" t="n" s="10288">
        <v>44196.0</v>
      </c>
      <c r="K12" t="s" s="10289">
        <v>0</v>
      </c>
      <c r="L12" t="n" s="10290">
        <v>2220.0</v>
      </c>
      <c r="M12" t="n" s="10291">
        <v>0.0</v>
      </c>
      <c r="N12" t="n" s="10292">
        <v>0.0</v>
      </c>
      <c r="O12" s="10293">
        <f>M12*N12</f>
      </c>
      <c r="P12" t="n" s="10294">
        <v>0.0</v>
      </c>
      <c r="Q12" t="n" s="10295">
        <v>0.0</v>
      </c>
      <c r="R12" s="10296">
        <f>P12*Q12</f>
      </c>
      <c r="S12" t="n" s="10297">
        <v>2220.0</v>
      </c>
      <c r="T12" t="n" s="10298">
        <v>0.0</v>
      </c>
      <c r="U12" t="n" s="10299">
        <v>0.0</v>
      </c>
      <c r="V12" s="10300">
        <f>L12+O12+R12</f>
      </c>
      <c r="W12" t="n" s="10301">
        <v>0.0</v>
      </c>
      <c r="X12" s="10302">
        <f>s12+t12+u12+w12</f>
      </c>
      <c r="Y12" t="n" s="10303">
        <v>8.0</v>
      </c>
      <c r="Z12" t="n" s="10304">
        <v>128.08</v>
      </c>
      <c r="AA12" t="n" s="10305">
        <v>0.0</v>
      </c>
      <c r="AB12" t="n" s="10306">
        <v>0.0</v>
      </c>
      <c r="AC12" t="n" s="10307">
        <v>0.0</v>
      </c>
      <c r="AD12" t="n" s="10308">
        <v>0.0</v>
      </c>
      <c r="AE12" s="10309">
        <f>y12+aa12+ac12</f>
      </c>
      <c r="AF12" s="10310">
        <f>z12+ab12+ad12</f>
      </c>
      <c r="AG12" t="n" s="10311">
        <v>96.0</v>
      </c>
      <c r="AH12" t="n" s="10312">
        <v>31.9</v>
      </c>
      <c r="AI12" t="n" s="10313">
        <v>0.0</v>
      </c>
      <c r="AJ12" s="10314">
        <f>x12+af12+ag12+ah12+ai12</f>
      </c>
      <c r="AK12" s="10315">
        <f>ROUND((l12+t12+af12+ag12+ah12+ai12+w12)*0.05,2)</f>
      </c>
      <c r="AL12" s="10316">
        <f>aj12+ak12</f>
      </c>
      <c r="AM12" s="10317">
        <f>80*0.06</f>
      </c>
      <c r="AN12" s="10318">
        <f>al12+am12</f>
      </c>
      <c r="AO12" t="s" s="10319">
        <v>0</v>
      </c>
    </row>
    <row r="13" ht="15.0" customHeight="true">
      <c r="A13" t="s" s="10320">
        <v>237</v>
      </c>
      <c r="B13" t="s" s="10321">
        <v>238</v>
      </c>
      <c r="C13" t="s" s="10322">
        <v>239</v>
      </c>
      <c r="D13" t="s" s="10323">
        <v>240</v>
      </c>
      <c r="E13" t="s" s="10324">
        <v>55</v>
      </c>
      <c r="F13" t="s" s="10325">
        <v>241</v>
      </c>
      <c r="G13" t="s" s="10326">
        <v>230</v>
      </c>
      <c r="H13" t="s" s="10327">
        <v>231</v>
      </c>
      <c r="I13" t="n" s="10328">
        <v>43831.0</v>
      </c>
      <c r="J13" t="n" s="10329">
        <v>44196.0</v>
      </c>
      <c r="K13" t="s" s="10330">
        <v>0</v>
      </c>
      <c r="L13" t="n" s="10331">
        <v>1420.0</v>
      </c>
      <c r="M13" t="n" s="10332">
        <v>0.0</v>
      </c>
      <c r="N13" t="n" s="10333">
        <v>0.0</v>
      </c>
      <c r="O13" s="10334">
        <f>M13*N13</f>
      </c>
      <c r="P13" t="n" s="10335">
        <v>0.0</v>
      </c>
      <c r="Q13" t="n" s="10336">
        <v>0.0</v>
      </c>
      <c r="R13" s="10337">
        <f>P13*Q13</f>
      </c>
      <c r="S13" t="n" s="10338">
        <v>1420.0</v>
      </c>
      <c r="T13" t="n" s="10339">
        <v>0.0</v>
      </c>
      <c r="U13" t="n" s="10340">
        <v>8.0</v>
      </c>
      <c r="V13" s="10341">
        <f>L13+O13+R13</f>
      </c>
      <c r="W13" t="n" s="10342">
        <v>200.0</v>
      </c>
      <c r="X13" s="10343">
        <f>s13+t13+u13+w13</f>
      </c>
      <c r="Y13" t="n" s="10344">
        <v>8.0</v>
      </c>
      <c r="Z13" t="n" s="10345">
        <v>81.92</v>
      </c>
      <c r="AA13" t="n" s="10346">
        <v>0.0</v>
      </c>
      <c r="AB13" t="n" s="10347">
        <v>0.0</v>
      </c>
      <c r="AC13" t="n" s="10348">
        <v>0.0</v>
      </c>
      <c r="AD13" t="n" s="10349">
        <v>0.0</v>
      </c>
      <c r="AE13" s="10350">
        <f>y13+aa13+ac13</f>
      </c>
      <c r="AF13" s="10351">
        <f>z13+ab13+ad13</f>
      </c>
      <c r="AG13" t="n" s="10352">
        <v>232.0</v>
      </c>
      <c r="AH13" t="n" s="10353">
        <v>32.35</v>
      </c>
      <c r="AI13" t="n" s="10354">
        <v>3.7</v>
      </c>
      <c r="AJ13" s="10355">
        <f>x13+af13+ag13+ah13+ai13</f>
      </c>
      <c r="AK13" s="10356">
        <f>ROUND((l13+t13+af13+ag13+ah13+ai13+w13)*0.05,2)</f>
      </c>
      <c r="AL13" s="10357">
        <f>aj13+ak13</f>
      </c>
      <c r="AM13" s="10358">
        <f>88*0.06</f>
      </c>
      <c r="AN13" s="10359">
        <f>al13+am13</f>
      </c>
      <c r="AO13" t="s" s="10360">
        <v>0</v>
      </c>
    </row>
    <row r="14" ht="15.0" customHeight="true">
      <c r="A14" t="s" s="10361">
        <v>242</v>
      </c>
      <c r="B14" t="s" s="10362">
        <v>243</v>
      </c>
      <c r="C14" t="s" s="10363">
        <v>244</v>
      </c>
      <c r="D14" t="s" s="10364">
        <v>245</v>
      </c>
      <c r="E14" t="s" s="10365">
        <v>55</v>
      </c>
      <c r="F14" t="s" s="10366">
        <v>246</v>
      </c>
      <c r="G14" t="s" s="10367">
        <v>230</v>
      </c>
      <c r="H14" t="s" s="10368">
        <v>231</v>
      </c>
      <c r="I14" t="n" s="10369">
        <v>43831.0</v>
      </c>
      <c r="J14" t="n" s="10370">
        <v>44196.0</v>
      </c>
      <c r="K14" t="s" s="10371">
        <v>0</v>
      </c>
      <c r="L14" t="n" s="10372">
        <v>1510.0</v>
      </c>
      <c r="M14" t="n" s="10373">
        <v>0.0</v>
      </c>
      <c r="N14" t="n" s="10374">
        <v>0.0</v>
      </c>
      <c r="O14" s="10375">
        <f>M14*N14</f>
      </c>
      <c r="P14" t="n" s="10376">
        <v>0.0</v>
      </c>
      <c r="Q14" t="n" s="10377">
        <v>0.0</v>
      </c>
      <c r="R14" s="10378">
        <f>P14*Q14</f>
      </c>
      <c r="S14" t="n" s="10379">
        <v>1510.0</v>
      </c>
      <c r="T14" t="n" s="10380">
        <v>0.0</v>
      </c>
      <c r="U14" t="n" s="10381">
        <v>0.0</v>
      </c>
      <c r="V14" s="10382">
        <f>L14+O14+R14</f>
      </c>
      <c r="W14" t="n" s="10383">
        <v>170.0</v>
      </c>
      <c r="X14" s="10384">
        <f>s14+t14+u14+w14</f>
      </c>
      <c r="Y14" t="n" s="10385">
        <v>0.0</v>
      </c>
      <c r="Z14" t="n" s="10386">
        <v>0.0</v>
      </c>
      <c r="AA14" t="n" s="10387">
        <v>0.0</v>
      </c>
      <c r="AB14" t="n" s="10388">
        <v>0.0</v>
      </c>
      <c r="AC14" t="n" s="10389">
        <v>0.0</v>
      </c>
      <c r="AD14" t="n" s="10390">
        <v>0.0</v>
      </c>
      <c r="AE14" s="10391">
        <f>y14+aa14+ac14</f>
      </c>
      <c r="AF14" s="10392">
        <f>z14+ab14+ad14</f>
      </c>
      <c r="AG14" t="n" s="10393">
        <v>240.0</v>
      </c>
      <c r="AH14" t="n" s="10394">
        <v>32.35</v>
      </c>
      <c r="AI14" t="n" s="10395">
        <v>3.7</v>
      </c>
      <c r="AJ14" s="10396">
        <f>x14+af14+ag14+ah14+ai14</f>
      </c>
      <c r="AK14" s="10397">
        <f>ROUND((l14+t14+af14+ag14+ah14+ai14+w14)*0.05,2)</f>
      </c>
      <c r="AL14" s="10398">
        <f>aj14+ak14</f>
      </c>
      <c r="AM14" s="10399">
        <f>80*0.06</f>
      </c>
      <c r="AN14" s="10400">
        <f>al14+am14</f>
      </c>
      <c r="AO14" t="s" s="10401">
        <v>0</v>
      </c>
    </row>
    <row r="15" ht="15.0" customHeight="true">
      <c r="A15" t="s" s="10402">
        <v>247</v>
      </c>
      <c r="B15" t="s" s="10403">
        <v>248</v>
      </c>
      <c r="C15" t="s" s="10404">
        <v>249</v>
      </c>
      <c r="D15" t="s" s="10405">
        <v>250</v>
      </c>
      <c r="E15" t="s" s="10406">
        <v>55</v>
      </c>
      <c r="F15" t="s" s="10407">
        <v>251</v>
      </c>
      <c r="G15" t="s" s="10408">
        <v>230</v>
      </c>
      <c r="H15" t="s" s="10409">
        <v>231</v>
      </c>
      <c r="I15" t="n" s="10410">
        <v>43831.0</v>
      </c>
      <c r="J15" t="n" s="10411">
        <v>44196.0</v>
      </c>
      <c r="K15" t="s" s="10412">
        <v>0</v>
      </c>
      <c r="L15" t="n" s="10413">
        <v>1620.0</v>
      </c>
      <c r="M15" t="n" s="10414">
        <v>0.0</v>
      </c>
      <c r="N15" t="n" s="10415">
        <v>0.0</v>
      </c>
      <c r="O15" s="10416">
        <f>M15*N15</f>
      </c>
      <c r="P15" t="n" s="10417">
        <v>0.0</v>
      </c>
      <c r="Q15" t="n" s="10418">
        <v>0.0</v>
      </c>
      <c r="R15" s="10419">
        <f>P15*Q15</f>
      </c>
      <c r="S15" t="n" s="10420">
        <v>1620.0</v>
      </c>
      <c r="T15" t="n" s="10421">
        <v>0.0</v>
      </c>
      <c r="U15" t="n" s="10422">
        <v>0.0</v>
      </c>
      <c r="V15" s="10423">
        <f>L15+O15+R15</f>
      </c>
      <c r="W15" t="n" s="10424">
        <v>800.0</v>
      </c>
      <c r="X15" s="10425">
        <f>s15+t15+u15+w15</f>
      </c>
      <c r="Y15" t="n" s="10426">
        <v>1.0</v>
      </c>
      <c r="Z15" t="n" s="10427">
        <v>11.68</v>
      </c>
      <c r="AA15" t="n" s="10428">
        <v>0.0</v>
      </c>
      <c r="AB15" t="n" s="10429">
        <v>0.0</v>
      </c>
      <c r="AC15" t="n" s="10430">
        <v>0.0</v>
      </c>
      <c r="AD15" t="n" s="10431">
        <v>0.0</v>
      </c>
      <c r="AE15" s="10432">
        <f>y15+aa15+ac15</f>
      </c>
      <c r="AF15" s="10433">
        <f>z15+ab15+ad15</f>
      </c>
      <c r="AG15" t="n" s="10434">
        <v>336.0</v>
      </c>
      <c r="AH15" t="n" s="10435">
        <v>44.65</v>
      </c>
      <c r="AI15" t="n" s="10436">
        <v>5.1</v>
      </c>
      <c r="AJ15" s="10437">
        <f>x15+af15+ag15+ah15+ai15</f>
      </c>
      <c r="AK15" s="10438">
        <f>ROUND((l15+t15+af15+ag15+ah15+ai15+w15)*0.05,2)</f>
      </c>
      <c r="AL15" s="10439">
        <f>aj15+ak15</f>
      </c>
      <c r="AM15" s="10440">
        <f>80*0.06</f>
      </c>
      <c r="AN15" s="10441">
        <f>al15+am15</f>
      </c>
      <c r="AO15" t="s" s="10442">
        <v>0</v>
      </c>
    </row>
    <row r="16" ht="15.0" customHeight="true">
      <c r="A16" t="s" s="10443">
        <v>252</v>
      </c>
      <c r="B16" t="s" s="10444">
        <v>253</v>
      </c>
      <c r="C16" t="s" s="10445">
        <v>254</v>
      </c>
      <c r="D16" t="s" s="10446">
        <v>255</v>
      </c>
      <c r="E16" t="s" s="10447">
        <v>55</v>
      </c>
      <c r="F16" t="s" s="10448">
        <v>256</v>
      </c>
      <c r="G16" t="s" s="10449">
        <v>230</v>
      </c>
      <c r="H16" t="s" s="10450">
        <v>231</v>
      </c>
      <c r="I16" t="n" s="10451">
        <v>43831.0</v>
      </c>
      <c r="J16" t="n" s="10452">
        <v>44196.0</v>
      </c>
      <c r="K16" t="s" s="10453">
        <v>0</v>
      </c>
      <c r="L16" t="n" s="10454">
        <v>1540.0</v>
      </c>
      <c r="M16" t="n" s="10455">
        <v>0.0</v>
      </c>
      <c r="N16" t="n" s="10456">
        <v>0.0</v>
      </c>
      <c r="O16" s="10457">
        <f>M16*N16</f>
      </c>
      <c r="P16" t="n" s="10458">
        <v>0.0</v>
      </c>
      <c r="Q16" t="n" s="10459">
        <v>0.0</v>
      </c>
      <c r="R16" s="10460">
        <f>P16*Q16</f>
      </c>
      <c r="S16" t="n" s="10461">
        <v>1540.0</v>
      </c>
      <c r="T16" t="n" s="10462">
        <v>0.0</v>
      </c>
      <c r="U16" t="n" s="10463">
        <v>9.0</v>
      </c>
      <c r="V16" s="10464">
        <f>L16+O16+R16</f>
      </c>
      <c r="W16" t="n" s="10465">
        <v>530.0</v>
      </c>
      <c r="X16" s="10466">
        <f>s16+t16+u16+w16</f>
      </c>
      <c r="Y16" t="n" s="10467">
        <v>7.0</v>
      </c>
      <c r="Z16" t="n" s="10468">
        <v>77.77</v>
      </c>
      <c r="AA16" t="n" s="10469">
        <v>0.0</v>
      </c>
      <c r="AB16" t="n" s="10470">
        <v>0.0</v>
      </c>
      <c r="AC16" t="n" s="10471">
        <v>0.0</v>
      </c>
      <c r="AD16" t="n" s="10472">
        <v>0.0</v>
      </c>
      <c r="AE16" s="10473">
        <f>y16+aa16+ac16</f>
      </c>
      <c r="AF16" s="10474">
        <f>z16+ab16+ad16</f>
      </c>
      <c r="AG16" t="n" s="10475">
        <v>292.0</v>
      </c>
      <c r="AH16" t="n" s="10476">
        <v>41.15</v>
      </c>
      <c r="AI16" t="n" s="10477">
        <v>4.7</v>
      </c>
      <c r="AJ16" s="10478">
        <f>x16+af16+ag16+ah16+ai16</f>
      </c>
      <c r="AK16" s="10479">
        <f>ROUND((l16+t16+af16+ag16+ah16+ai16+w16)*0.05,2)</f>
      </c>
      <c r="AL16" s="10480">
        <f>aj16+ak16</f>
      </c>
      <c r="AM16" s="10481">
        <f>89*0.06</f>
      </c>
      <c r="AN16" s="10482">
        <f>al16+am16</f>
      </c>
      <c r="AO16" t="s" s="10483">
        <v>0</v>
      </c>
    </row>
    <row r="17" ht="15.0" customHeight="true">
      <c r="A17" t="s" s="10484">
        <v>257</v>
      </c>
      <c r="B17" t="s" s="10485">
        <v>258</v>
      </c>
      <c r="C17" t="s" s="10486">
        <v>259</v>
      </c>
      <c r="D17" t="s" s="10487">
        <v>260</v>
      </c>
      <c r="E17" t="s" s="10488">
        <v>55</v>
      </c>
      <c r="F17" t="s" s="10489">
        <v>261</v>
      </c>
      <c r="G17" t="s" s="10490">
        <v>230</v>
      </c>
      <c r="H17" t="s" s="10491">
        <v>231</v>
      </c>
      <c r="I17" t="n" s="10492">
        <v>43831.0</v>
      </c>
      <c r="J17" t="n" s="10493">
        <v>44196.0</v>
      </c>
      <c r="K17" t="s" s="10494">
        <v>0</v>
      </c>
      <c r="L17" t="n" s="10495">
        <v>1420.0</v>
      </c>
      <c r="M17" t="n" s="10496">
        <v>0.0</v>
      </c>
      <c r="N17" t="n" s="10497">
        <v>0.0</v>
      </c>
      <c r="O17" s="10498">
        <f>M17*N17</f>
      </c>
      <c r="P17" t="n" s="10499">
        <v>0.0</v>
      </c>
      <c r="Q17" t="n" s="10500">
        <v>0.0</v>
      </c>
      <c r="R17" s="10501">
        <f>P17*Q17</f>
      </c>
      <c r="S17" t="n" s="10502">
        <v>1420.0</v>
      </c>
      <c r="T17" t="n" s="10503">
        <v>0.0</v>
      </c>
      <c r="U17" t="n" s="10504">
        <v>0.0</v>
      </c>
      <c r="V17" s="10505">
        <f>L17+O17+R17</f>
      </c>
      <c r="W17" t="n" s="10506">
        <v>0.0</v>
      </c>
      <c r="X17" s="10507">
        <f>s17+t17+u17+w17</f>
      </c>
      <c r="Y17" t="n" s="10508">
        <v>5.0</v>
      </c>
      <c r="Z17" t="n" s="10509">
        <v>51.2</v>
      </c>
      <c r="AA17" t="n" s="10510">
        <v>0.0</v>
      </c>
      <c r="AB17" t="n" s="10511">
        <v>0.0</v>
      </c>
      <c r="AC17" t="n" s="10512">
        <v>0.0</v>
      </c>
      <c r="AD17" t="n" s="10513">
        <v>0.0</v>
      </c>
      <c r="AE17" s="10514">
        <f>y17+aa17+ac17</f>
      </c>
      <c r="AF17" s="10515">
        <f>z17+ab17+ad17</f>
      </c>
      <c r="AG17" t="n" s="10516">
        <v>206.0</v>
      </c>
      <c r="AH17" t="n" s="10517">
        <v>28.85</v>
      </c>
      <c r="AI17" t="n" s="10518">
        <v>3.3</v>
      </c>
      <c r="AJ17" s="10519">
        <f>x17+af17+ag17+ah17+ai17</f>
      </c>
      <c r="AK17" s="10520">
        <f>ROUND((l17+t17+af17+ag17+ah17+ai17+w17)*0.05,2)</f>
      </c>
      <c r="AL17" s="10521">
        <f>aj17+ak17</f>
      </c>
      <c r="AM17" s="10522">
        <f>80*0.06</f>
      </c>
      <c r="AN17" s="10523">
        <f>al17+am17</f>
      </c>
      <c r="AO17" t="s" s="10524">
        <v>0</v>
      </c>
    </row>
    <row r="18" ht="15.0" customHeight="true">
      <c r="A18" t="s" s="10525">
        <v>262</v>
      </c>
      <c r="B18" t="s" s="10526">
        <v>263</v>
      </c>
      <c r="C18" t="s" s="10527">
        <v>264</v>
      </c>
      <c r="D18" t="s" s="10528">
        <v>265</v>
      </c>
      <c r="E18" t="s" s="10529">
        <v>55</v>
      </c>
      <c r="F18" t="s" s="10530">
        <v>266</v>
      </c>
      <c r="G18" t="s" s="10531">
        <v>230</v>
      </c>
      <c r="H18" t="s" s="10532">
        <v>231</v>
      </c>
      <c r="I18" t="n" s="10533">
        <v>43831.0</v>
      </c>
      <c r="J18" t="n" s="10534">
        <v>44196.0</v>
      </c>
      <c r="K18" t="s" s="10535">
        <v>0</v>
      </c>
      <c r="L18" t="n" s="10536">
        <v>1330.0</v>
      </c>
      <c r="M18" t="n" s="10537">
        <v>0.0</v>
      </c>
      <c r="N18" t="n" s="10538">
        <v>0.0</v>
      </c>
      <c r="O18" s="10539">
        <f>M18*N18</f>
      </c>
      <c r="P18" t="n" s="10540">
        <v>0.0</v>
      </c>
      <c r="Q18" t="n" s="10541">
        <v>0.0</v>
      </c>
      <c r="R18" s="10542">
        <f>P18*Q18</f>
      </c>
      <c r="S18" t="n" s="10543">
        <v>1330.0</v>
      </c>
      <c r="T18" t="n" s="10544">
        <v>0.0</v>
      </c>
      <c r="U18" t="n" s="10545">
        <v>8.0</v>
      </c>
      <c r="V18" s="10546">
        <f>L18+O18+R18</f>
      </c>
      <c r="W18" t="n" s="10547">
        <v>530.0</v>
      </c>
      <c r="X18" s="10548">
        <f>s18+t18+u18+w18</f>
      </c>
      <c r="Y18" t="n" s="10549">
        <v>8.0</v>
      </c>
      <c r="Z18" t="n" s="10550">
        <v>76.72</v>
      </c>
      <c r="AA18" t="n" s="10551">
        <v>0.0</v>
      </c>
      <c r="AB18" t="n" s="10552">
        <v>0.0</v>
      </c>
      <c r="AC18" t="n" s="10553">
        <v>0.0</v>
      </c>
      <c r="AD18" t="n" s="10554">
        <v>0.0</v>
      </c>
      <c r="AE18" s="10555">
        <f>y18+aa18+ac18</f>
      </c>
      <c r="AF18" s="10556">
        <f>z18+ab18+ad18</f>
      </c>
      <c r="AG18" t="n" s="10557">
        <v>263.0</v>
      </c>
      <c r="AH18" t="n" s="10558">
        <v>35.85</v>
      </c>
      <c r="AI18" t="n" s="10559">
        <v>4.1</v>
      </c>
      <c r="AJ18" s="10560">
        <f>x18+af18+ag18+ah18+ai18</f>
      </c>
      <c r="AK18" s="10561">
        <f>ROUND((l18+t18+af18+ag18+ah18+ai18+w18)*0.05,2)</f>
      </c>
      <c r="AL18" s="10562">
        <f>aj18+ak18</f>
      </c>
      <c r="AM18" s="10563">
        <f>88*0.06</f>
      </c>
      <c r="AN18" s="10564">
        <f>al18+am18</f>
      </c>
      <c r="AO18" t="s" s="10565">
        <v>0</v>
      </c>
    </row>
    <row r="19" ht="15.0" customHeight="true">
      <c r="A19" t="s" s="10566">
        <v>267</v>
      </c>
      <c r="B19" t="s" s="10567">
        <v>268</v>
      </c>
      <c r="C19" t="s" s="10568">
        <v>269</v>
      </c>
      <c r="D19" t="s" s="10569">
        <v>270</v>
      </c>
      <c r="E19" t="s" s="10570">
        <v>0</v>
      </c>
      <c r="F19" t="s" s="10571">
        <v>0</v>
      </c>
      <c r="G19" t="s" s="10572">
        <v>230</v>
      </c>
      <c r="H19" t="s" s="10573">
        <v>231</v>
      </c>
      <c r="I19" t="n" s="10574">
        <v>43831.0</v>
      </c>
      <c r="J19" t="n" s="10575">
        <v>44196.0</v>
      </c>
      <c r="K19" t="s" s="10576">
        <v>0</v>
      </c>
      <c r="L19" t="n" s="10577">
        <v>1200.0</v>
      </c>
      <c r="M19" t="n" s="10578">
        <v>0.0</v>
      </c>
      <c r="N19" t="n" s="10579">
        <v>0.0</v>
      </c>
      <c r="O19" s="10580">
        <f>M19*N19</f>
      </c>
      <c r="P19" t="n" s="10581">
        <v>0.0</v>
      </c>
      <c r="Q19" t="n" s="10582">
        <v>0.0</v>
      </c>
      <c r="R19" s="10583">
        <f>P19*Q19</f>
      </c>
      <c r="S19" t="n" s="10584">
        <v>1200.0</v>
      </c>
      <c r="T19" t="n" s="10585">
        <v>0.0</v>
      </c>
      <c r="U19" t="n" s="10586">
        <v>0.0</v>
      </c>
      <c r="V19" s="10587">
        <f>L19+O19+R19</f>
      </c>
      <c r="W19" t="n" s="10588">
        <v>0.0</v>
      </c>
      <c r="X19" s="10589">
        <f>s19+t19+u19+w19</f>
      </c>
      <c r="Y19" t="n" s="10590">
        <v>0.0</v>
      </c>
      <c r="Z19" t="n" s="10591">
        <v>0.0</v>
      </c>
      <c r="AA19" t="n" s="10592">
        <v>0.0</v>
      </c>
      <c r="AB19" t="n" s="10593">
        <v>0.0</v>
      </c>
      <c r="AC19" t="n" s="10594">
        <v>0.0</v>
      </c>
      <c r="AD19" t="n" s="10595">
        <v>0.0</v>
      </c>
      <c r="AE19" s="10596">
        <f>y19+aa19+ac19</f>
      </c>
      <c r="AF19" s="10597">
        <f>z19+ab19+ad19</f>
      </c>
      <c r="AG19" t="n" s="10598">
        <v>169.0</v>
      </c>
      <c r="AH19" t="n" s="10599">
        <v>21.85</v>
      </c>
      <c r="AI19" t="n" s="10600">
        <v>2.5</v>
      </c>
      <c r="AJ19" s="10601">
        <f>x19+af19+ag19+ah19+ai19</f>
      </c>
      <c r="AK19" s="10602">
        <f>ROUND((l19+t19+af19+ag19+ah19+ai19+w19)*0.05,2)</f>
      </c>
      <c r="AL19" s="10603">
        <f>aj19+ak19</f>
      </c>
      <c r="AM19" s="10604">
        <f>80*0.06</f>
      </c>
      <c r="AN19" s="10605">
        <f>al19+am19</f>
      </c>
      <c r="AO19" t="s" s="10606">
        <v>0</v>
      </c>
    </row>
    <row r="20" ht="15.0" customHeight="true">
      <c r="L20" t="s" s="10607">
        <v>0</v>
      </c>
      <c r="M20" t="s" s="10608">
        <v>0</v>
      </c>
      <c r="N20" t="s" s="10609">
        <v>0</v>
      </c>
      <c r="O20" t="s" s="10610">
        <v>0</v>
      </c>
      <c r="P20" t="s" s="10611">
        <v>0</v>
      </c>
      <c r="Q20" t="s" s="10612">
        <v>0</v>
      </c>
      <c r="R20" t="s" s="10613">
        <v>0</v>
      </c>
      <c r="S20" t="s" s="10614">
        <v>0</v>
      </c>
      <c r="T20" t="s" s="10615">
        <v>0</v>
      </c>
      <c r="U20" t="s" s="10616">
        <v>0</v>
      </c>
      <c r="V20" t="s" s="10617">
        <v>0</v>
      </c>
      <c r="W20" t="s" s="10618">
        <v>0</v>
      </c>
      <c r="X20" t="s" s="10619">
        <v>0</v>
      </c>
      <c r="Y20" t="s" s="10620">
        <v>0</v>
      </c>
      <c r="Z20" t="s" s="10621">
        <v>0</v>
      </c>
      <c r="AA20" t="s" s="10622">
        <v>0</v>
      </c>
      <c r="AB20" t="s" s="10623">
        <v>0</v>
      </c>
      <c r="AC20" t="s" s="10624">
        <v>0</v>
      </c>
      <c r="AD20" t="s" s="10625">
        <v>0</v>
      </c>
      <c r="AE20" t="s" s="10626">
        <v>0</v>
      </c>
      <c r="AF20" t="s" s="10627">
        <v>0</v>
      </c>
      <c r="AG20" t="s" s="10628">
        <v>0</v>
      </c>
      <c r="AH20" t="s" s="10629">
        <v>0</v>
      </c>
      <c r="AI20" t="s" s="10630">
        <v>0</v>
      </c>
      <c r="AJ20" t="s" s="10631">
        <v>0</v>
      </c>
      <c r="AK20" t="s" s="10632">
        <v>0</v>
      </c>
      <c r="AL20" t="s" s="10633">
        <v>0</v>
      </c>
    </row>
    <row r="21" ht="15.0" customHeight="true"/>
    <row r="22" ht="15.0" customHeight="true">
      <c r="A22" t="s" s="10634">
        <v>0</v>
      </c>
      <c r="B22" t="s" s="10635">
        <v>649</v>
      </c>
      <c r="C22" s="10636">
        <f>COUNTA(A11:A19)</f>
      </c>
      <c r="L22" s="10637">
        <f>SUM(l11:l19)</f>
      </c>
      <c r="M22" s="10638">
        <f>SUM(m11:m19)</f>
      </c>
      <c r="N22" t="s" s="10639">
        <v>0</v>
      </c>
      <c r="O22" s="10640">
        <f>SUM(o11:o19)</f>
      </c>
      <c r="P22" s="10641">
        <f>SUM(p11:p19)</f>
      </c>
      <c r="Q22" t="s" s="10642">
        <v>0</v>
      </c>
      <c r="R22" s="10643">
        <f>SUM(r11:r19)</f>
      </c>
      <c r="S22" s="10644">
        <f>SUM(s11:s19)</f>
      </c>
      <c r="T22" s="10645">
        <f>SUM(t11:t19)</f>
      </c>
      <c r="U22" s="10646">
        <f>SUM(u11:u19)</f>
      </c>
      <c r="V22" s="10647">
        <f>SUM(v11:v19)</f>
      </c>
      <c r="W22" s="10648">
        <f>SUM(w11:w19)</f>
      </c>
      <c r="X22" s="10649">
        <f>SUM(x11:x19)</f>
      </c>
      <c r="Y22" s="10650">
        <f>SUM(y11:y19)</f>
      </c>
      <c r="Z22" s="10651">
        <f>SUM(z11:z19)</f>
      </c>
      <c r="AA22" s="10652">
        <f>SUM(aa11:aa19)</f>
      </c>
      <c r="AB22" s="10653">
        <f>SUM(ab11:ab19)</f>
      </c>
      <c r="AC22" s="10654">
        <f>SUM(ac11:ac19)</f>
      </c>
      <c r="AD22" s="10655">
        <f>SUM(ad11:ad19)</f>
      </c>
      <c r="AE22" s="10656">
        <f>SUM(ae11:ae19)</f>
      </c>
      <c r="AF22" s="10657">
        <f>SUM(af11:af19)</f>
      </c>
      <c r="AG22" s="10658">
        <f>SUM(ag11:ag19)</f>
      </c>
      <c r="AH22" s="10659">
        <f>SUM(ah11:ah19)</f>
      </c>
      <c r="AI22" s="10660">
        <f>SUM(ai11:ai19)</f>
      </c>
      <c r="AJ22" s="10661">
        <f>SUM(aj11:aj19)</f>
      </c>
      <c r="AK22" s="10662">
        <f>SUM(ak11:ak19)</f>
      </c>
      <c r="AL22" s="10663">
        <f>SUM(al11:al19)</f>
      </c>
      <c r="AM22" s="10664">
        <f>SUM(am11:am19)</f>
      </c>
      <c r="AN22" s="10665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666">
        <v>0</v>
      </c>
      <c r="B1" t="s" s="10667">
        <v>1</v>
      </c>
      <c r="Y1" t="s" s="10668">
        <v>6</v>
      </c>
      <c r="Z1" t="n" s="10669">
        <v>2020.0</v>
      </c>
    </row>
    <row r="2" ht="15.0" customHeight="true">
      <c r="A2" t="s" s="10670">
        <v>0</v>
      </c>
      <c r="B2" t="s" s="10671">
        <v>2</v>
      </c>
      <c r="Y2" t="s" s="10672">
        <v>7</v>
      </c>
      <c r="Z2" t="n" s="10673">
        <v>2019.0</v>
      </c>
    </row>
    <row r="3" ht="15.0" customHeight="true">
      <c r="A3" t="s" s="10674">
        <v>0</v>
      </c>
      <c r="B3" t="s" s="10675">
        <v>3</v>
      </c>
    </row>
    <row r="4" ht="15.0" customHeight="true">
      <c r="A4" t="s" s="10676">
        <v>0</v>
      </c>
      <c r="B4" t="s" s="10677">
        <v>4</v>
      </c>
    </row>
    <row r="5" ht="15.0" customHeight="true">
      <c r="A5" t="s" s="10678">
        <v>0</v>
      </c>
      <c r="B5" t="s" s="10679">
        <v>5</v>
      </c>
    </row>
    <row r="6" ht="15.0" customHeight="true"/>
    <row r="7" ht="15.0" customHeight="true"/>
    <row r="8" ht="28.0" customHeight="true">
      <c r="A8" t="s" s="10680">
        <v>0</v>
      </c>
      <c r="B8" t="s" s="10681">
        <v>0</v>
      </c>
      <c r="C8" t="s" s="10682">
        <v>0</v>
      </c>
      <c r="D8" t="s" s="10683">
        <v>0</v>
      </c>
      <c r="E8" t="s" s="10684">
        <v>0</v>
      </c>
      <c r="F8" t="s" s="10685">
        <v>0</v>
      </c>
      <c r="G8" t="s" s="10686">
        <v>0</v>
      </c>
      <c r="H8" t="s" s="10687">
        <v>0</v>
      </c>
      <c r="I8" t="s" s="10688">
        <v>0</v>
      </c>
      <c r="J8" t="s" s="10689">
        <v>0</v>
      </c>
      <c r="K8" t="s" s="10690">
        <v>0</v>
      </c>
      <c r="L8" t="s" s="10691">
        <v>0</v>
      </c>
      <c r="M8" t="s" s="10692">
        <v>0</v>
      </c>
      <c r="N8" t="s" s="10693">
        <v>0</v>
      </c>
      <c r="O8" t="s" s="10694">
        <v>0</v>
      </c>
      <c r="P8" t="s" s="10695">
        <v>0</v>
      </c>
      <c r="Q8" t="s" s="10696">
        <v>0</v>
      </c>
      <c r="R8" t="s" s="10697">
        <v>0</v>
      </c>
      <c r="S8" t="s" s="10698">
        <v>0</v>
      </c>
      <c r="T8" t="s" s="10699">
        <v>0</v>
      </c>
      <c r="U8" t="s" s="10700">
        <v>0</v>
      </c>
      <c r="V8" t="s" s="10701">
        <v>0</v>
      </c>
      <c r="W8" t="s" s="10702">
        <v>0</v>
      </c>
      <c r="X8" t="s" s="10703">
        <v>0</v>
      </c>
      <c r="Y8" t="s" s="10704">
        <v>0</v>
      </c>
      <c r="Z8" t="s" s="10705">
        <v>0</v>
      </c>
      <c r="AA8" t="s" s="10706">
        <v>0</v>
      </c>
      <c r="AB8" t="s" s="10707">
        <v>0</v>
      </c>
      <c r="AC8" t="s" s="10708">
        <v>8</v>
      </c>
      <c r="AD8" t="s" s="10709">
        <v>0</v>
      </c>
      <c r="AE8" t="s" s="10710">
        <v>0</v>
      </c>
      <c r="AF8" t="s" s="10711">
        <v>0</v>
      </c>
      <c r="AG8" t="s" s="10712">
        <v>0</v>
      </c>
      <c r="AH8" t="s" s="10713">
        <v>0</v>
      </c>
      <c r="AI8" t="s" s="10714">
        <v>0</v>
      </c>
      <c r="AJ8" t="s" s="10715">
        <v>0</v>
      </c>
      <c r="AK8" t="s" s="10716">
        <v>0</v>
      </c>
      <c r="AL8" t="s" s="10717">
        <v>0</v>
      </c>
      <c r="AM8" t="s" s="10718">
        <v>0</v>
      </c>
      <c r="AN8" t="s" s="10719">
        <v>0</v>
      </c>
      <c r="AO8" t="s" s="10720">
        <v>0</v>
      </c>
    </row>
    <row r="9" ht="41.0" customHeight="true">
      <c r="A9" t="s" s="10721">
        <v>9</v>
      </c>
      <c r="B9" t="s" s="10722">
        <v>10</v>
      </c>
      <c r="C9" t="s" s="10723">
        <v>11</v>
      </c>
      <c r="D9" t="s" s="10724">
        <v>12</v>
      </c>
      <c r="E9" t="s" s="10725">
        <v>13</v>
      </c>
      <c r="F9" t="s" s="10726">
        <v>14</v>
      </c>
      <c r="G9" t="s" s="10727">
        <v>15</v>
      </c>
      <c r="H9" t="s" s="10728">
        <v>16</v>
      </c>
      <c r="I9" t="s" s="10729">
        <v>17</v>
      </c>
      <c r="J9" t="s" s="10730">
        <v>18</v>
      </c>
      <c r="K9" t="s" s="10731">
        <v>19</v>
      </c>
      <c r="L9" t="s" s="10732">
        <v>20</v>
      </c>
      <c r="M9" t="s" s="10733">
        <v>21</v>
      </c>
      <c r="N9" t="s" s="10734">
        <v>22</v>
      </c>
      <c r="O9" t="s" s="10735">
        <v>23</v>
      </c>
      <c r="P9" t="s" s="10736">
        <v>24</v>
      </c>
      <c r="Q9" t="s" s="10737">
        <v>25</v>
      </c>
      <c r="R9" t="s" s="10738">
        <v>26</v>
      </c>
      <c r="S9" t="s" s="10739">
        <v>27</v>
      </c>
      <c r="T9" t="s" s="10740">
        <v>28</v>
      </c>
      <c r="U9" t="s" s="10741">
        <v>29</v>
      </c>
      <c r="V9" t="s" s="10742">
        <v>30</v>
      </c>
      <c r="W9" t="s" s="10743">
        <v>31</v>
      </c>
      <c r="X9" t="s" s="10744">
        <v>32</v>
      </c>
      <c r="Y9" t="s" s="10745">
        <v>33</v>
      </c>
      <c r="Z9" t="s" s="10746">
        <v>34</v>
      </c>
      <c r="AA9" t="s" s="10747">
        <v>35</v>
      </c>
      <c r="AB9" t="s" s="10748">
        <v>36</v>
      </c>
      <c r="AC9" t="s" s="10749">
        <v>37</v>
      </c>
      <c r="AD9" t="s" s="10750">
        <v>38</v>
      </c>
      <c r="AE9" t="s" s="10751">
        <v>39</v>
      </c>
      <c r="AF9" t="s" s="10752">
        <v>40</v>
      </c>
      <c r="AG9" t="s" s="10753">
        <v>41</v>
      </c>
      <c r="AH9" t="s" s="10754">
        <v>42</v>
      </c>
      <c r="AI9" t="s" s="10755">
        <v>43</v>
      </c>
      <c r="AJ9" t="s" s="10756">
        <v>44</v>
      </c>
      <c r="AK9" t="s" s="10757">
        <v>45</v>
      </c>
      <c r="AL9" t="s" s="10758">
        <v>46</v>
      </c>
      <c r="AM9" t="s" s="10759">
        <v>47</v>
      </c>
      <c r="AN9" t="s" s="10760">
        <v>48</v>
      </c>
      <c r="AO9" t="s" s="10761">
        <v>49</v>
      </c>
    </row>
    <row r="10" ht="15.0" customHeight="true">
      <c r="A10" t="s" s="10762">
        <v>0</v>
      </c>
      <c r="B10" t="s" s="10763">
        <v>0</v>
      </c>
      <c r="C10" t="s" s="10764">
        <v>0</v>
      </c>
      <c r="D10" t="s" s="10765">
        <v>0</v>
      </c>
      <c r="E10" t="s" s="10766">
        <v>0</v>
      </c>
      <c r="F10" t="s" s="10767">
        <v>0</v>
      </c>
      <c r="G10" t="s" s="10768">
        <v>0</v>
      </c>
      <c r="H10" t="s" s="10769">
        <v>0</v>
      </c>
      <c r="I10" t="s" s="10770">
        <v>0</v>
      </c>
      <c r="J10" t="s" s="10771">
        <v>0</v>
      </c>
      <c r="K10" t="s" s="10772">
        <v>0</v>
      </c>
      <c r="L10" t="s" s="10773">
        <v>0</v>
      </c>
      <c r="M10" t="s" s="10774">
        <v>0</v>
      </c>
      <c r="N10" t="s" s="10775">
        <v>0</v>
      </c>
      <c r="O10" t="s" s="10776">
        <v>0</v>
      </c>
      <c r="P10" t="s" s="10777">
        <v>0</v>
      </c>
      <c r="Q10" t="s" s="10778">
        <v>0</v>
      </c>
      <c r="R10" t="s" s="10779">
        <v>0</v>
      </c>
      <c r="S10" t="s" s="10780">
        <v>0</v>
      </c>
      <c r="T10" t="s" s="10781">
        <v>0</v>
      </c>
      <c r="U10" t="s" s="10782">
        <v>0</v>
      </c>
      <c r="V10" t="s" s="10783">
        <v>0</v>
      </c>
      <c r="W10" t="s" s="10784">
        <v>0</v>
      </c>
      <c r="X10" t="s" s="10785">
        <v>0</v>
      </c>
      <c r="Y10" t="n" s="10786">
        <v>1.5</v>
      </c>
      <c r="Z10" t="n" s="10787">
        <v>1.5</v>
      </c>
      <c r="AA10" t="n" s="10788">
        <v>2.0</v>
      </c>
      <c r="AB10" t="n" s="10789">
        <v>2.0</v>
      </c>
      <c r="AC10" t="n" s="10790">
        <v>3.0</v>
      </c>
      <c r="AD10" t="n" s="10791">
        <v>3.0</v>
      </c>
      <c r="AE10" t="s" s="10792">
        <v>50</v>
      </c>
      <c r="AF10" t="s" s="10793">
        <v>50</v>
      </c>
      <c r="AG10" t="s" s="10794">
        <v>0</v>
      </c>
      <c r="AH10" t="s" s="10795">
        <v>0</v>
      </c>
      <c r="AI10" t="s" s="10796">
        <v>0</v>
      </c>
      <c r="AJ10" t="s" s="10797">
        <v>0</v>
      </c>
      <c r="AK10" t="s" s="10798">
        <v>0</v>
      </c>
      <c r="AL10" t="s" s="10799">
        <v>0</v>
      </c>
      <c r="AM10" t="s" s="10800">
        <v>0</v>
      </c>
      <c r="AN10" t="s" s="10801">
        <v>0</v>
      </c>
      <c r="AO10" t="s" s="10802">
        <v>0</v>
      </c>
    </row>
    <row r="11" ht="15.0" customHeight="true">
      <c r="A11" t="s" s="10803">
        <v>271</v>
      </c>
      <c r="B11" t="s" s="10804">
        <v>272</v>
      </c>
      <c r="C11" t="s" s="10805">
        <v>273</v>
      </c>
      <c r="D11" t="s" s="10806">
        <v>274</v>
      </c>
      <c r="E11" t="s" s="10807">
        <v>93</v>
      </c>
      <c r="F11" t="s" s="10808">
        <v>275</v>
      </c>
      <c r="G11" t="s" s="10809">
        <v>276</v>
      </c>
      <c r="H11" t="s" s="10810">
        <v>277</v>
      </c>
      <c r="I11" t="n" s="10811">
        <v>43831.0</v>
      </c>
      <c r="J11" t="n" s="10812">
        <v>44196.0</v>
      </c>
      <c r="K11" t="s" s="10813">
        <v>0</v>
      </c>
      <c r="L11" t="n" s="10814">
        <v>1540.0</v>
      </c>
      <c r="M11" t="n" s="10815">
        <v>0.0</v>
      </c>
      <c r="N11" t="n" s="10816">
        <v>0.0</v>
      </c>
      <c r="O11" s="10817">
        <f>M11*N11</f>
      </c>
      <c r="P11" t="n" s="10818">
        <v>0.0</v>
      </c>
      <c r="Q11" t="n" s="10819">
        <v>0.0</v>
      </c>
      <c r="R11" s="10820">
        <f>P11*Q11</f>
      </c>
      <c r="S11" t="n" s="10821">
        <v>1540.0</v>
      </c>
      <c r="T11" t="n" s="10822">
        <v>0.0</v>
      </c>
      <c r="U11" t="n" s="10823">
        <v>0.0</v>
      </c>
      <c r="V11" s="10824">
        <f>L11+O11+R11</f>
      </c>
      <c r="W11" t="n" s="10825">
        <v>1000.0</v>
      </c>
      <c r="X11" s="10826">
        <f>s11+t11+u11+w11</f>
      </c>
      <c r="Y11" t="n" s="10827">
        <v>0.0</v>
      </c>
      <c r="Z11" t="n" s="10828">
        <v>0.0</v>
      </c>
      <c r="AA11" t="n" s="10829">
        <v>0.0</v>
      </c>
      <c r="AB11" t="n" s="10830">
        <v>0.0</v>
      </c>
      <c r="AC11" t="n" s="10831">
        <v>0.0</v>
      </c>
      <c r="AD11" t="n" s="10832">
        <v>0.0</v>
      </c>
      <c r="AE11" s="10833">
        <f>y11+aa11+ac11</f>
      </c>
      <c r="AF11" s="10834">
        <f>z11+ab11+ad11</f>
      </c>
      <c r="AG11" t="n" s="10835">
        <v>344.0</v>
      </c>
      <c r="AH11" t="n" s="10836">
        <v>46.35</v>
      </c>
      <c r="AI11" t="n" s="10837">
        <v>5.3</v>
      </c>
      <c r="AJ11" s="10838">
        <f>x11+af11+ag11+ah11+ai11</f>
      </c>
      <c r="AK11" s="10839">
        <f>ROUND((l11+t11+af11+ag11+ah11+ai11+w11)*0.05,2)</f>
      </c>
      <c r="AL11" s="10840">
        <f>aj11+ak11</f>
      </c>
      <c r="AM11" s="10841">
        <f>80*0.06</f>
      </c>
      <c r="AN11" s="10842">
        <f>al11+am11</f>
      </c>
      <c r="AO11" t="s" s="10843">
        <v>0</v>
      </c>
    </row>
    <row r="12" ht="15.0" customHeight="true">
      <c r="A12" t="s" s="10844">
        <v>278</v>
      </c>
      <c r="B12" t="s" s="10845">
        <v>279</v>
      </c>
      <c r="C12" t="s" s="10846">
        <v>280</v>
      </c>
      <c r="D12" t="s" s="10847">
        <v>281</v>
      </c>
      <c r="E12" t="s" s="10848">
        <v>93</v>
      </c>
      <c r="F12" t="s" s="10849">
        <v>282</v>
      </c>
      <c r="G12" t="s" s="10850">
        <v>276</v>
      </c>
      <c r="H12" t="s" s="10851">
        <v>277</v>
      </c>
      <c r="I12" t="n" s="10852">
        <v>43831.0</v>
      </c>
      <c r="J12" t="n" s="10853">
        <v>44196.0</v>
      </c>
      <c r="K12" t="s" s="10854">
        <v>0</v>
      </c>
      <c r="L12" t="n" s="10855">
        <v>1460.0</v>
      </c>
      <c r="M12" t="n" s="10856">
        <v>0.0</v>
      </c>
      <c r="N12" t="n" s="10857">
        <v>0.0</v>
      </c>
      <c r="O12" s="10858">
        <f>M12*N12</f>
      </c>
      <c r="P12" t="n" s="10859">
        <v>0.0</v>
      </c>
      <c r="Q12" t="n" s="10860">
        <v>0.0</v>
      </c>
      <c r="R12" s="10861">
        <f>P12*Q12</f>
      </c>
      <c r="S12" t="n" s="10862">
        <v>1460.0</v>
      </c>
      <c r="T12" t="n" s="10863">
        <v>0.0</v>
      </c>
      <c r="U12" t="n" s="10864">
        <v>0.0</v>
      </c>
      <c r="V12" s="10865">
        <f>L12+O12+R12</f>
      </c>
      <c r="W12" t="n" s="10866">
        <v>1000.0</v>
      </c>
      <c r="X12" s="10867">
        <f>s12+t12+u12+w12</f>
      </c>
      <c r="Y12" t="n" s="10868">
        <v>8.0</v>
      </c>
      <c r="Z12" t="n" s="10869">
        <v>84.24</v>
      </c>
      <c r="AA12" t="n" s="10870">
        <v>0.0</v>
      </c>
      <c r="AB12" t="n" s="10871">
        <v>0.0</v>
      </c>
      <c r="AC12" t="n" s="10872">
        <v>0.0</v>
      </c>
      <c r="AD12" t="n" s="10873">
        <v>0.0</v>
      </c>
      <c r="AE12" s="10874">
        <f>y12+aa12+ac12</f>
      </c>
      <c r="AF12" s="10875">
        <f>z12+ab12+ad12</f>
      </c>
      <c r="AG12" t="n" s="10876">
        <v>333.0</v>
      </c>
      <c r="AH12" t="n" s="10877">
        <v>46.35</v>
      </c>
      <c r="AI12" t="n" s="10878">
        <v>5.3</v>
      </c>
      <c r="AJ12" s="10879">
        <f>x12+af12+ag12+ah12+ai12</f>
      </c>
      <c r="AK12" s="10880">
        <f>ROUND((l12+t12+af12+ag12+ah12+ai12+w12)*0.05,2)</f>
      </c>
      <c r="AL12" s="10881">
        <f>aj12+ak12</f>
      </c>
      <c r="AM12" s="10882">
        <f>80*0.06</f>
      </c>
      <c r="AN12" s="10883">
        <f>al12+am12</f>
      </c>
      <c r="AO12" t="s" s="10884">
        <v>0</v>
      </c>
    </row>
    <row r="13" ht="15.0" customHeight="true">
      <c r="A13" t="s" s="10885">
        <v>283</v>
      </c>
      <c r="B13" t="s" s="10886">
        <v>284</v>
      </c>
      <c r="C13" t="s" s="10887">
        <v>285</v>
      </c>
      <c r="D13" t="s" s="10888">
        <v>286</v>
      </c>
      <c r="E13" t="s" s="10889">
        <v>93</v>
      </c>
      <c r="F13" t="s" s="10890">
        <v>287</v>
      </c>
      <c r="G13" t="s" s="10891">
        <v>276</v>
      </c>
      <c r="H13" t="s" s="10892">
        <v>277</v>
      </c>
      <c r="I13" t="n" s="10893">
        <v>43831.0</v>
      </c>
      <c r="J13" t="n" s="10894">
        <v>44196.0</v>
      </c>
      <c r="K13" t="s" s="10895">
        <v>0</v>
      </c>
      <c r="L13" t="n" s="10896">
        <v>1490.0</v>
      </c>
      <c r="M13" t="n" s="10897">
        <v>0.0</v>
      </c>
      <c r="N13" t="n" s="10898">
        <v>0.0</v>
      </c>
      <c r="O13" s="10899">
        <f>M13*N13</f>
      </c>
      <c r="P13" t="n" s="10900">
        <v>0.0</v>
      </c>
      <c r="Q13" t="n" s="10901">
        <v>0.0</v>
      </c>
      <c r="R13" s="10902">
        <f>P13*Q13</f>
      </c>
      <c r="S13" t="n" s="10903">
        <v>1490.0</v>
      </c>
      <c r="T13" t="n" s="10904">
        <v>0.0</v>
      </c>
      <c r="U13" t="n" s="10905">
        <v>0.0</v>
      </c>
      <c r="V13" s="10906">
        <f>L13+O13+R13</f>
      </c>
      <c r="W13" t="n" s="10907">
        <v>850.0</v>
      </c>
      <c r="X13" s="10908">
        <f>s13+t13+u13+w13</f>
      </c>
      <c r="Y13" t="n" s="10909">
        <v>8.0</v>
      </c>
      <c r="Z13" t="n" s="10910">
        <v>86.0</v>
      </c>
      <c r="AA13" t="n" s="10911">
        <v>0.0</v>
      </c>
      <c r="AB13" t="n" s="10912">
        <v>0.0</v>
      </c>
      <c r="AC13" t="n" s="10913">
        <v>0.0</v>
      </c>
      <c r="AD13" t="n" s="10914">
        <v>0.0</v>
      </c>
      <c r="AE13" s="10915">
        <f>y13+aa13+ac13</f>
      </c>
      <c r="AF13" s="10916">
        <f>z13+ab13+ad13</f>
      </c>
      <c r="AG13" t="n" s="10917">
        <v>318.0</v>
      </c>
      <c r="AH13" t="n" s="10918">
        <v>44.65</v>
      </c>
      <c r="AI13" t="n" s="10919">
        <v>5.1</v>
      </c>
      <c r="AJ13" s="10920">
        <f>x13+af13+ag13+ah13+ai13</f>
      </c>
      <c r="AK13" s="10921">
        <f>ROUND((l13+t13+af13+ag13+ah13+ai13+w13)*0.05,2)</f>
      </c>
      <c r="AL13" s="10922">
        <f>aj13+ak13</f>
      </c>
      <c r="AM13" s="10923">
        <f>80*0.06</f>
      </c>
      <c r="AN13" s="10924">
        <f>al13+am13</f>
      </c>
      <c r="AO13" t="s" s="10925">
        <v>0</v>
      </c>
    </row>
    <row r="14" ht="15.0" customHeight="true">
      <c r="A14" t="s" s="10926">
        <v>288</v>
      </c>
      <c r="B14" t="s" s="10927">
        <v>289</v>
      </c>
      <c r="C14" t="s" s="10928">
        <v>290</v>
      </c>
      <c r="D14" t="s" s="10929">
        <v>291</v>
      </c>
      <c r="E14" t="s" s="10930">
        <v>55</v>
      </c>
      <c r="F14" t="s" s="10931">
        <v>292</v>
      </c>
      <c r="G14" t="s" s="10932">
        <v>276</v>
      </c>
      <c r="H14" t="s" s="10933">
        <v>277</v>
      </c>
      <c r="I14" t="n" s="10934">
        <v>43831.0</v>
      </c>
      <c r="J14" t="n" s="10935">
        <v>44196.0</v>
      </c>
      <c r="K14" t="s" s="10936">
        <v>0</v>
      </c>
      <c r="L14" t="n" s="10937">
        <v>1460.0</v>
      </c>
      <c r="M14" t="n" s="10938">
        <v>0.0</v>
      </c>
      <c r="N14" t="n" s="10939">
        <v>0.0</v>
      </c>
      <c r="O14" s="10940">
        <f>M14*N14</f>
      </c>
      <c r="P14" t="n" s="10941">
        <v>0.0</v>
      </c>
      <c r="Q14" t="n" s="10942">
        <v>0.0</v>
      </c>
      <c r="R14" s="10943">
        <f>P14*Q14</f>
      </c>
      <c r="S14" t="n" s="10944">
        <v>1460.0</v>
      </c>
      <c r="T14" t="n" s="10945">
        <v>0.0</v>
      </c>
      <c r="U14" t="n" s="10946">
        <v>10.5</v>
      </c>
      <c r="V14" s="10947">
        <f>L14+O14+R14</f>
      </c>
      <c r="W14" t="n" s="10948">
        <v>1000.0</v>
      </c>
      <c r="X14" s="10949">
        <f>s14+t14+u14+w14</f>
      </c>
      <c r="Y14" t="n" s="10950">
        <v>8.0</v>
      </c>
      <c r="Z14" t="n" s="10951">
        <v>84.24</v>
      </c>
      <c r="AA14" t="n" s="10952">
        <v>0.0</v>
      </c>
      <c r="AB14" t="n" s="10953">
        <v>0.0</v>
      </c>
      <c r="AC14" t="n" s="10954">
        <v>0.0</v>
      </c>
      <c r="AD14" t="n" s="10955">
        <v>0.0</v>
      </c>
      <c r="AE14" s="10956">
        <f>y14+aa14+ac14</f>
      </c>
      <c r="AF14" s="10957">
        <f>z14+ab14+ad14</f>
      </c>
      <c r="AG14" t="n" s="10958">
        <v>333.0</v>
      </c>
      <c r="AH14" t="n" s="10959">
        <v>46.35</v>
      </c>
      <c r="AI14" t="n" s="10960">
        <v>5.3</v>
      </c>
      <c r="AJ14" s="10961">
        <f>x14+af14+ag14+ah14+ai14</f>
      </c>
      <c r="AK14" s="10962">
        <f>ROUND((l14+t14+af14+ag14+ah14+ai14+w14)*0.05,2)</f>
      </c>
      <c r="AL14" s="10963">
        <f>aj14+ak14</f>
      </c>
      <c r="AM14" s="10964">
        <f>90.5*0.06</f>
      </c>
      <c r="AN14" s="10965">
        <f>al14+am14</f>
      </c>
      <c r="AO14" t="s" s="10966">
        <v>0</v>
      </c>
    </row>
    <row r="15" ht="15.0" customHeight="true">
      <c r="A15" t="s" s="10967">
        <v>293</v>
      </c>
      <c r="B15" t="s" s="10968">
        <v>294</v>
      </c>
      <c r="C15" t="s" s="10969">
        <v>295</v>
      </c>
      <c r="D15" t="s" s="10970">
        <v>296</v>
      </c>
      <c r="E15" t="s" s="10971">
        <v>55</v>
      </c>
      <c r="F15" t="s" s="10972">
        <v>297</v>
      </c>
      <c r="G15" t="s" s="10973">
        <v>276</v>
      </c>
      <c r="H15" t="s" s="10974">
        <v>277</v>
      </c>
      <c r="I15" t="n" s="10975">
        <v>43831.0</v>
      </c>
      <c r="J15" t="n" s="10976">
        <v>44196.0</v>
      </c>
      <c r="K15" t="s" s="10977">
        <v>0</v>
      </c>
      <c r="L15" t="n" s="10978">
        <v>1420.0</v>
      </c>
      <c r="M15" t="n" s="10979">
        <v>0.0</v>
      </c>
      <c r="N15" t="n" s="10980">
        <v>0.0</v>
      </c>
      <c r="O15" s="10981">
        <f>M15*N15</f>
      </c>
      <c r="P15" t="n" s="10982">
        <v>0.0</v>
      </c>
      <c r="Q15" t="n" s="10983">
        <v>0.0</v>
      </c>
      <c r="R15" s="10984">
        <f>P15*Q15</f>
      </c>
      <c r="S15" t="n" s="10985">
        <v>1420.0</v>
      </c>
      <c r="T15" t="n" s="10986">
        <v>0.0</v>
      </c>
      <c r="U15" t="n" s="10987">
        <v>0.0</v>
      </c>
      <c r="V15" s="10988">
        <f>L15+O15+R15</f>
      </c>
      <c r="W15" t="n" s="10989">
        <v>1000.0</v>
      </c>
      <c r="X15" s="10990">
        <f>s15+t15+u15+w15</f>
      </c>
      <c r="Y15" t="n" s="10991">
        <v>8.0</v>
      </c>
      <c r="Z15" t="n" s="10992">
        <v>81.92</v>
      </c>
      <c r="AA15" t="n" s="10993">
        <v>0.0</v>
      </c>
      <c r="AB15" t="n" s="10994">
        <v>0.0</v>
      </c>
      <c r="AC15" t="n" s="10995">
        <v>0.0</v>
      </c>
      <c r="AD15" t="n" s="10996">
        <v>0.0</v>
      </c>
      <c r="AE15" s="10997">
        <f>y15+aa15+ac15</f>
      </c>
      <c r="AF15" s="10998">
        <f>z15+ab15+ad15</f>
      </c>
      <c r="AG15" t="n" s="10999">
        <v>328.0</v>
      </c>
      <c r="AH15" t="n" s="11000">
        <v>46.35</v>
      </c>
      <c r="AI15" t="n" s="11001">
        <v>5.3</v>
      </c>
      <c r="AJ15" s="11002">
        <f>x15+af15+ag15+ah15+ai15</f>
      </c>
      <c r="AK15" s="11003">
        <f>ROUND((l15+t15+af15+ag15+ah15+ai15+w15)*0.05,2)</f>
      </c>
      <c r="AL15" s="11004">
        <f>aj15+ak15</f>
      </c>
      <c r="AM15" s="11005">
        <f>80*0.06</f>
      </c>
      <c r="AN15" s="11006">
        <f>al15+am15</f>
      </c>
      <c r="AO15" t="s" s="11007">
        <v>0</v>
      </c>
    </row>
    <row r="16" ht="15.0" customHeight="true">
      <c r="A16" t="s" s="11008">
        <v>298</v>
      </c>
      <c r="B16" t="s" s="11009">
        <v>299</v>
      </c>
      <c r="C16" t="s" s="11010">
        <v>300</v>
      </c>
      <c r="D16" t="s" s="11011">
        <v>301</v>
      </c>
      <c r="E16" t="s" s="11012">
        <v>55</v>
      </c>
      <c r="F16" t="s" s="11013">
        <v>302</v>
      </c>
      <c r="G16" t="s" s="11014">
        <v>276</v>
      </c>
      <c r="H16" t="s" s="11015">
        <v>277</v>
      </c>
      <c r="I16" t="n" s="11016">
        <v>43831.0</v>
      </c>
      <c r="J16" t="n" s="11017">
        <v>44196.0</v>
      </c>
      <c r="K16" t="s" s="11018">
        <v>0</v>
      </c>
      <c r="L16" t="n" s="11019">
        <v>1540.0</v>
      </c>
      <c r="M16" t="n" s="11020">
        <v>0.0</v>
      </c>
      <c r="N16" t="n" s="11021">
        <v>0.0</v>
      </c>
      <c r="O16" s="11022">
        <f>M16*N16</f>
      </c>
      <c r="P16" t="n" s="11023">
        <v>0.0</v>
      </c>
      <c r="Q16" t="n" s="11024">
        <v>0.0</v>
      </c>
      <c r="R16" s="11025">
        <f>P16*Q16</f>
      </c>
      <c r="S16" t="n" s="11026">
        <v>1540.0</v>
      </c>
      <c r="T16" t="n" s="11027">
        <v>0.0</v>
      </c>
      <c r="U16" t="n" s="11028">
        <v>0.0</v>
      </c>
      <c r="V16" s="11029">
        <f>L16+O16+R16</f>
      </c>
      <c r="W16" t="n" s="11030">
        <v>1000.0</v>
      </c>
      <c r="X16" s="11031">
        <f>s16+t16+u16+w16</f>
      </c>
      <c r="Y16" t="n" s="11032">
        <v>7.0</v>
      </c>
      <c r="Z16" t="n" s="11033">
        <v>77.77</v>
      </c>
      <c r="AA16" t="n" s="11034">
        <v>0.0</v>
      </c>
      <c r="AB16" t="n" s="11035">
        <v>0.0</v>
      </c>
      <c r="AC16" t="n" s="11036">
        <v>0.0</v>
      </c>
      <c r="AD16" t="n" s="11037">
        <v>0.0</v>
      </c>
      <c r="AE16" s="11038">
        <f>y16+aa16+ac16</f>
      </c>
      <c r="AF16" s="11039">
        <f>z16+ab16+ad16</f>
      </c>
      <c r="AG16" t="n" s="11040">
        <v>344.0</v>
      </c>
      <c r="AH16" t="n" s="11041">
        <v>48.15</v>
      </c>
      <c r="AI16" t="n" s="11042">
        <v>5.5</v>
      </c>
      <c r="AJ16" s="11043">
        <f>x16+af16+ag16+ah16+ai16</f>
      </c>
      <c r="AK16" s="11044">
        <f>ROUND((l16+t16+af16+ag16+ah16+ai16+w16)*0.05,2)</f>
      </c>
      <c r="AL16" s="11045">
        <f>aj16+ak16</f>
      </c>
      <c r="AM16" s="11046">
        <f>80*0.06</f>
      </c>
      <c r="AN16" s="11047">
        <f>al16+am16</f>
      </c>
      <c r="AO16" t="s" s="11048">
        <v>0</v>
      </c>
    </row>
    <row r="17" ht="15.0" customHeight="true">
      <c r="A17" t="s" s="11049">
        <v>303</v>
      </c>
      <c r="B17" t="s" s="11050">
        <v>304</v>
      </c>
      <c r="C17" t="s" s="11051">
        <v>305</v>
      </c>
      <c r="D17" t="s" s="11052">
        <v>306</v>
      </c>
      <c r="E17" t="s" s="11053">
        <v>55</v>
      </c>
      <c r="F17" t="s" s="11054">
        <v>307</v>
      </c>
      <c r="G17" t="s" s="11055">
        <v>276</v>
      </c>
      <c r="H17" t="s" s="11056">
        <v>277</v>
      </c>
      <c r="I17" t="n" s="11057">
        <v>43831.0</v>
      </c>
      <c r="J17" t="n" s="11058">
        <v>44196.0</v>
      </c>
      <c r="K17" t="s" s="11059">
        <v>0</v>
      </c>
      <c r="L17" t="n" s="11060">
        <v>1420.0</v>
      </c>
      <c r="M17" t="n" s="11061">
        <v>0.0</v>
      </c>
      <c r="N17" t="n" s="11062">
        <v>0.0</v>
      </c>
      <c r="O17" s="11063">
        <f>M17*N17</f>
      </c>
      <c r="P17" t="n" s="11064">
        <v>0.0</v>
      </c>
      <c r="Q17" t="n" s="11065">
        <v>0.0</v>
      </c>
      <c r="R17" s="11066">
        <f>P17*Q17</f>
      </c>
      <c r="S17" t="n" s="11067">
        <v>1420.0</v>
      </c>
      <c r="T17" t="n" s="11068">
        <v>0.0</v>
      </c>
      <c r="U17" t="n" s="11069">
        <v>0.0</v>
      </c>
      <c r="V17" s="11070">
        <f>L17+O17+R17</f>
      </c>
      <c r="W17" t="n" s="11071">
        <v>1000.0</v>
      </c>
      <c r="X17" s="11072">
        <f>s17+t17+u17+w17</f>
      </c>
      <c r="Y17" t="n" s="11073">
        <v>8.0</v>
      </c>
      <c r="Z17" t="n" s="11074">
        <v>81.92</v>
      </c>
      <c r="AA17" t="n" s="11075">
        <v>0.0</v>
      </c>
      <c r="AB17" t="n" s="11076">
        <v>0.0</v>
      </c>
      <c r="AC17" t="n" s="11077">
        <v>0.0</v>
      </c>
      <c r="AD17" t="n" s="11078">
        <v>0.0</v>
      </c>
      <c r="AE17" s="11079">
        <f>y17+aa17+ac17</f>
      </c>
      <c r="AF17" s="11080">
        <f>z17+ab17+ad17</f>
      </c>
      <c r="AG17" t="n" s="11081">
        <v>328.0</v>
      </c>
      <c r="AH17" t="n" s="11082">
        <v>46.35</v>
      </c>
      <c r="AI17" t="n" s="11083">
        <v>5.3</v>
      </c>
      <c r="AJ17" s="11084">
        <f>x17+af17+ag17+ah17+ai17</f>
      </c>
      <c r="AK17" s="11085">
        <f>ROUND((l17+t17+af17+ag17+ah17+ai17+w17)*0.05,2)</f>
      </c>
      <c r="AL17" s="11086">
        <f>aj17+ak17</f>
      </c>
      <c r="AM17" s="11087">
        <f>80*0.06</f>
      </c>
      <c r="AN17" s="11088">
        <f>al17+am17</f>
      </c>
      <c r="AO17" t="s" s="11089">
        <v>0</v>
      </c>
    </row>
    <row r="18" ht="15.0" customHeight="true">
      <c r="A18" t="s" s="11090">
        <v>308</v>
      </c>
      <c r="B18" t="s" s="11091">
        <v>309</v>
      </c>
      <c r="C18" t="s" s="11092">
        <v>310</v>
      </c>
      <c r="D18" t="s" s="11093">
        <v>311</v>
      </c>
      <c r="E18" t="s" s="11094">
        <v>55</v>
      </c>
      <c r="F18" t="s" s="11095">
        <v>312</v>
      </c>
      <c r="G18" t="s" s="11096">
        <v>276</v>
      </c>
      <c r="H18" t="s" s="11097">
        <v>277</v>
      </c>
      <c r="I18" t="n" s="11098">
        <v>43831.0</v>
      </c>
      <c r="J18" t="n" s="11099">
        <v>44196.0</v>
      </c>
      <c r="K18" t="s" s="11100">
        <v>0</v>
      </c>
      <c r="L18" t="n" s="11101">
        <v>1390.0</v>
      </c>
      <c r="M18" t="n" s="11102">
        <v>0.0</v>
      </c>
      <c r="N18" t="n" s="11103">
        <v>0.0</v>
      </c>
      <c r="O18" s="11104">
        <f>M18*N18</f>
      </c>
      <c r="P18" t="n" s="11105">
        <v>0.0</v>
      </c>
      <c r="Q18" t="n" s="11106">
        <v>0.0</v>
      </c>
      <c r="R18" s="11107">
        <f>P18*Q18</f>
      </c>
      <c r="S18" t="n" s="11108">
        <v>1390.0</v>
      </c>
      <c r="T18" t="n" s="11109">
        <v>0.0</v>
      </c>
      <c r="U18" t="n" s="11110">
        <v>0.0</v>
      </c>
      <c r="V18" s="11111">
        <f>L18+O18+R18</f>
      </c>
      <c r="W18" t="n" s="11112">
        <v>850.0</v>
      </c>
      <c r="X18" s="11113">
        <f>s18+t18+u18+w18</f>
      </c>
      <c r="Y18" t="n" s="11114">
        <v>4.0</v>
      </c>
      <c r="Z18" t="n" s="11115">
        <v>40.08</v>
      </c>
      <c r="AA18" t="n" s="11116">
        <v>0.0</v>
      </c>
      <c r="AB18" t="n" s="11117">
        <v>0.0</v>
      </c>
      <c r="AC18" t="n" s="11118">
        <v>0.0</v>
      </c>
      <c r="AD18" t="n" s="11119">
        <v>0.0</v>
      </c>
      <c r="AE18" s="11120">
        <f>y18+aa18+ac18</f>
      </c>
      <c r="AF18" s="11121">
        <f>z18+ab18+ad18</f>
      </c>
      <c r="AG18" t="n" s="11122">
        <v>305.0</v>
      </c>
      <c r="AH18" t="n" s="11123">
        <v>41.15</v>
      </c>
      <c r="AI18" t="n" s="11124">
        <v>4.7</v>
      </c>
      <c r="AJ18" s="11125">
        <f>x18+af18+ag18+ah18+ai18</f>
      </c>
      <c r="AK18" s="11126">
        <f>ROUND((l18+t18+af18+ag18+ah18+ai18+w18)*0.05,2)</f>
      </c>
      <c r="AL18" s="11127">
        <f>aj18+ak18</f>
      </c>
      <c r="AM18" s="11128">
        <f>80*0.06</f>
      </c>
      <c r="AN18" s="11129">
        <f>al18+am18</f>
      </c>
      <c r="AO18" t="s" s="11130">
        <v>0</v>
      </c>
    </row>
    <row r="19" ht="15.0" customHeight="true">
      <c r="A19" t="s" s="11131">
        <v>313</v>
      </c>
      <c r="B19" t="s" s="11132">
        <v>314</v>
      </c>
      <c r="C19" t="s" s="11133">
        <v>315</v>
      </c>
      <c r="D19" t="s" s="11134">
        <v>316</v>
      </c>
      <c r="E19" t="s" s="11135">
        <v>55</v>
      </c>
      <c r="F19" t="s" s="11136">
        <v>317</v>
      </c>
      <c r="G19" t="s" s="11137">
        <v>276</v>
      </c>
      <c r="H19" t="s" s="11138">
        <v>277</v>
      </c>
      <c r="I19" t="n" s="11139">
        <v>43831.0</v>
      </c>
      <c r="J19" t="n" s="11140">
        <v>44196.0</v>
      </c>
      <c r="K19" t="s" s="11141">
        <v>0</v>
      </c>
      <c r="L19" t="n" s="11142">
        <v>1390.0</v>
      </c>
      <c r="M19" t="n" s="11143">
        <v>0.0</v>
      </c>
      <c r="N19" t="n" s="11144">
        <v>0.0</v>
      </c>
      <c r="O19" s="11145">
        <f>M19*N19</f>
      </c>
      <c r="P19" t="n" s="11146">
        <v>0.0</v>
      </c>
      <c r="Q19" t="n" s="11147">
        <v>0.0</v>
      </c>
      <c r="R19" s="11148">
        <f>P19*Q19</f>
      </c>
      <c r="S19" t="n" s="11149">
        <v>1390.0</v>
      </c>
      <c r="T19" t="n" s="11150">
        <v>0.0</v>
      </c>
      <c r="U19" t="n" s="11151">
        <v>0.0</v>
      </c>
      <c r="V19" s="11152">
        <f>L19+O19+R19</f>
      </c>
      <c r="W19" t="n" s="11153">
        <v>1000.0</v>
      </c>
      <c r="X19" s="11154">
        <f>s19+t19+u19+w19</f>
      </c>
      <c r="Y19" t="n" s="11155">
        <v>8.0</v>
      </c>
      <c r="Z19" t="n" s="11156">
        <v>80.16</v>
      </c>
      <c r="AA19" t="n" s="11157">
        <v>0.0</v>
      </c>
      <c r="AB19" t="n" s="11158">
        <v>0.0</v>
      </c>
      <c r="AC19" t="n" s="11159">
        <v>0.0</v>
      </c>
      <c r="AD19" t="n" s="11160">
        <v>0.0</v>
      </c>
      <c r="AE19" s="11161">
        <f>y19+aa19+ac19</f>
      </c>
      <c r="AF19" s="11162">
        <f>z19+ab19+ad19</f>
      </c>
      <c r="AG19" t="n" s="11163">
        <v>325.0</v>
      </c>
      <c r="AH19" t="n" s="11164">
        <v>44.65</v>
      </c>
      <c r="AI19" t="n" s="11165">
        <v>5.1</v>
      </c>
      <c r="AJ19" s="11166">
        <f>x19+af19+ag19+ah19+ai19</f>
      </c>
      <c r="AK19" s="11167">
        <f>ROUND((l19+t19+af19+ag19+ah19+ai19+w19)*0.05,2)</f>
      </c>
      <c r="AL19" s="11168">
        <f>aj19+ak19</f>
      </c>
      <c r="AM19" s="11169">
        <f>80*0.06</f>
      </c>
      <c r="AN19" s="11170">
        <f>al19+am19</f>
      </c>
      <c r="AO19" t="s" s="11171">
        <v>0</v>
      </c>
    </row>
    <row r="20" ht="15.0" customHeight="true">
      <c r="A20" t="s" s="11172">
        <v>318</v>
      </c>
      <c r="B20" t="s" s="11173">
        <v>319</v>
      </c>
      <c r="C20" t="s" s="11174">
        <v>320</v>
      </c>
      <c r="D20" t="s" s="11175">
        <v>321</v>
      </c>
      <c r="E20" t="s" s="11176">
        <v>55</v>
      </c>
      <c r="F20" t="s" s="11177">
        <v>322</v>
      </c>
      <c r="G20" t="s" s="11178">
        <v>276</v>
      </c>
      <c r="H20" t="s" s="11179">
        <v>277</v>
      </c>
      <c r="I20" t="n" s="11180">
        <v>43831.0</v>
      </c>
      <c r="J20" t="n" s="11181">
        <v>44196.0</v>
      </c>
      <c r="K20" t="s" s="11182">
        <v>0</v>
      </c>
      <c r="L20" t="n" s="11183">
        <v>1350.0</v>
      </c>
      <c r="M20" t="n" s="11184">
        <v>0.0</v>
      </c>
      <c r="N20" t="n" s="11185">
        <v>0.0</v>
      </c>
      <c r="O20" s="11186">
        <f>M20*N20</f>
      </c>
      <c r="P20" t="n" s="11187">
        <v>0.0</v>
      </c>
      <c r="Q20" t="n" s="11188">
        <v>0.0</v>
      </c>
      <c r="R20" s="11189">
        <f>P20*Q20</f>
      </c>
      <c r="S20" t="n" s="11190">
        <v>1350.0</v>
      </c>
      <c r="T20" t="n" s="11191">
        <v>0.0</v>
      </c>
      <c r="U20" t="n" s="11192">
        <v>0.0</v>
      </c>
      <c r="V20" s="11193">
        <f>L20+O20+R20</f>
      </c>
      <c r="W20" t="n" s="11194">
        <v>1000.0</v>
      </c>
      <c r="X20" s="11195">
        <f>s20+t20+u20+w20</f>
      </c>
      <c r="Y20" t="n" s="11196">
        <v>8.0</v>
      </c>
      <c r="Z20" t="n" s="11197">
        <v>77.92</v>
      </c>
      <c r="AA20" t="n" s="11198">
        <v>0.0</v>
      </c>
      <c r="AB20" t="n" s="11199">
        <v>0.0</v>
      </c>
      <c r="AC20" t="n" s="11200">
        <v>0.0</v>
      </c>
      <c r="AD20" t="n" s="11201">
        <v>0.0</v>
      </c>
      <c r="AE20" s="11202">
        <f>y20+aa20+ac20</f>
      </c>
      <c r="AF20" s="11203">
        <f>z20+ab20+ad20</f>
      </c>
      <c r="AG20" t="n" s="11204">
        <v>320.0</v>
      </c>
      <c r="AH20" t="n" s="11205">
        <v>44.65</v>
      </c>
      <c r="AI20" t="n" s="11206">
        <v>5.1</v>
      </c>
      <c r="AJ20" s="11207">
        <f>x20+af20+ag20+ah20+ai20</f>
      </c>
      <c r="AK20" s="11208">
        <f>ROUND((l20+t20+af20+ag20+ah20+ai20+w20)*0.05,2)</f>
      </c>
      <c r="AL20" s="11209">
        <f>aj20+ak20</f>
      </c>
      <c r="AM20" s="11210">
        <f>80*0.06</f>
      </c>
      <c r="AN20" s="11211">
        <f>al20+am20</f>
      </c>
      <c r="AO20" t="s" s="11212">
        <v>0</v>
      </c>
    </row>
    <row r="21" ht="15.0" customHeight="true">
      <c r="A21" t="s" s="11213">
        <v>323</v>
      </c>
      <c r="B21" t="s" s="11214">
        <v>324</v>
      </c>
      <c r="C21" t="s" s="11215">
        <v>325</v>
      </c>
      <c r="D21" t="s" s="11216">
        <v>326</v>
      </c>
      <c r="E21" t="s" s="11217">
        <v>55</v>
      </c>
      <c r="F21" t="s" s="11218">
        <v>327</v>
      </c>
      <c r="G21" t="s" s="11219">
        <v>276</v>
      </c>
      <c r="H21" t="s" s="11220">
        <v>277</v>
      </c>
      <c r="I21" t="n" s="11221">
        <v>43831.0</v>
      </c>
      <c r="J21" t="n" s="11222">
        <v>44196.0</v>
      </c>
      <c r="K21" t="s" s="11223">
        <v>0</v>
      </c>
      <c r="L21" t="n" s="11224">
        <v>1350.0</v>
      </c>
      <c r="M21" t="n" s="11225">
        <v>0.0</v>
      </c>
      <c r="N21" t="n" s="11226">
        <v>0.0</v>
      </c>
      <c r="O21" s="11227">
        <f>M21*N21</f>
      </c>
      <c r="P21" t="n" s="11228">
        <v>0.0</v>
      </c>
      <c r="Q21" t="n" s="11229">
        <v>0.0</v>
      </c>
      <c r="R21" s="11230">
        <f>P21*Q21</f>
      </c>
      <c r="S21" t="n" s="11231">
        <v>1350.0</v>
      </c>
      <c r="T21" t="n" s="11232">
        <v>0.0</v>
      </c>
      <c r="U21" t="n" s="11233">
        <v>0.0</v>
      </c>
      <c r="V21" s="11234">
        <f>L21+O21+R21</f>
      </c>
      <c r="W21" t="n" s="11235">
        <v>850.0</v>
      </c>
      <c r="X21" s="11236">
        <f>s21+t21+u21+w21</f>
      </c>
      <c r="Y21" t="n" s="11237">
        <v>0.0</v>
      </c>
      <c r="Z21" t="n" s="11238">
        <v>0.0</v>
      </c>
      <c r="AA21" t="n" s="11239">
        <v>0.0</v>
      </c>
      <c r="AB21" t="n" s="11240">
        <v>0.0</v>
      </c>
      <c r="AC21" t="n" s="11241">
        <v>0.0</v>
      </c>
      <c r="AD21" t="n" s="11242">
        <v>0.0</v>
      </c>
      <c r="AE21" s="11243">
        <f>y21+aa21+ac21</f>
      </c>
      <c r="AF21" s="11244">
        <f>z21+ab21+ad21</f>
      </c>
      <c r="AG21" t="n" s="11245">
        <v>299.0</v>
      </c>
      <c r="AH21" t="n" s="11246">
        <v>39.35</v>
      </c>
      <c r="AI21" t="n" s="11247">
        <v>4.5</v>
      </c>
      <c r="AJ21" s="11248">
        <f>x21+af21+ag21+ah21+ai21</f>
      </c>
      <c r="AK21" s="11249">
        <f>ROUND((l21+t21+af21+ag21+ah21+ai21+w21)*0.05,2)</f>
      </c>
      <c r="AL21" s="11250">
        <f>aj21+ak21</f>
      </c>
      <c r="AM21" s="11251">
        <f>80*0.06</f>
      </c>
      <c r="AN21" s="11252">
        <f>al21+am21</f>
      </c>
      <c r="AO21" t="s" s="11253">
        <v>0</v>
      </c>
    </row>
    <row r="22" ht="15.0" customHeight="true">
      <c r="A22" t="s" s="11254">
        <v>328</v>
      </c>
      <c r="B22" t="s" s="11255">
        <v>329</v>
      </c>
      <c r="C22" t="s" s="11256">
        <v>330</v>
      </c>
      <c r="D22" t="s" s="11257">
        <v>331</v>
      </c>
      <c r="E22" t="s" s="11258">
        <v>55</v>
      </c>
      <c r="F22" t="s" s="11259">
        <v>332</v>
      </c>
      <c r="G22" t="s" s="11260">
        <v>276</v>
      </c>
      <c r="H22" t="s" s="11261">
        <v>277</v>
      </c>
      <c r="I22" t="n" s="11262">
        <v>43831.0</v>
      </c>
      <c r="J22" t="n" s="11263">
        <v>44196.0</v>
      </c>
      <c r="K22" t="s" s="11264">
        <v>0</v>
      </c>
      <c r="L22" t="n" s="11265">
        <v>1290.0</v>
      </c>
      <c r="M22" t="n" s="11266">
        <v>0.0</v>
      </c>
      <c r="N22" t="n" s="11267">
        <v>0.0</v>
      </c>
      <c r="O22" s="11268">
        <f>M22*N22</f>
      </c>
      <c r="P22" t="n" s="11269">
        <v>0.0</v>
      </c>
      <c r="Q22" t="n" s="11270">
        <v>0.0</v>
      </c>
      <c r="R22" s="11271">
        <f>P22*Q22</f>
      </c>
      <c r="S22" t="n" s="11272">
        <v>1290.0</v>
      </c>
      <c r="T22" t="n" s="11273">
        <v>0.0</v>
      </c>
      <c r="U22" t="n" s="11274">
        <v>0.0</v>
      </c>
      <c r="V22" s="11275">
        <f>L22+O22+R22</f>
      </c>
      <c r="W22" t="n" s="11276">
        <v>850.0</v>
      </c>
      <c r="X22" s="11277">
        <f>s22+t22+u22+w22</f>
      </c>
      <c r="Y22" t="n" s="11278">
        <v>8.0</v>
      </c>
      <c r="Z22" t="n" s="11279">
        <v>74.4</v>
      </c>
      <c r="AA22" t="n" s="11280">
        <v>0.0</v>
      </c>
      <c r="AB22" t="n" s="11281">
        <v>0.0</v>
      </c>
      <c r="AC22" t="n" s="11282">
        <v>0.0</v>
      </c>
      <c r="AD22" t="n" s="11283">
        <v>0.0</v>
      </c>
      <c r="AE22" s="11284">
        <f>y22+aa22+ac22</f>
      </c>
      <c r="AF22" s="11285">
        <f>z22+ab22+ad22</f>
      </c>
      <c r="AG22" t="n" s="11286">
        <v>292.0</v>
      </c>
      <c r="AH22" t="n" s="11287">
        <v>41.15</v>
      </c>
      <c r="AI22" t="n" s="11288">
        <v>4.7</v>
      </c>
      <c r="AJ22" s="11289">
        <f>x22+af22+ag22+ah22+ai22</f>
      </c>
      <c r="AK22" s="11290">
        <f>ROUND((l22+t22+af22+ag22+ah22+ai22+w22)*0.05,2)</f>
      </c>
      <c r="AL22" s="11291">
        <f>aj22+ak22</f>
      </c>
      <c r="AM22" s="11292">
        <f>80*0.06</f>
      </c>
      <c r="AN22" s="11293">
        <f>al22+am22</f>
      </c>
      <c r="AO22" t="s" s="11294">
        <v>0</v>
      </c>
    </row>
    <row r="23" ht="15.0" customHeight="true">
      <c r="A23" t="s" s="11295">
        <v>333</v>
      </c>
      <c r="B23" t="s" s="11296">
        <v>334</v>
      </c>
      <c r="C23" t="s" s="11297">
        <v>335</v>
      </c>
      <c r="D23" t="s" s="11298">
        <v>336</v>
      </c>
      <c r="E23" t="s" s="11299">
        <v>55</v>
      </c>
      <c r="F23" t="s" s="11300">
        <v>337</v>
      </c>
      <c r="G23" t="s" s="11301">
        <v>276</v>
      </c>
      <c r="H23" t="s" s="11302">
        <v>277</v>
      </c>
      <c r="I23" t="n" s="11303">
        <v>43831.0</v>
      </c>
      <c r="J23" t="n" s="11304">
        <v>44196.0</v>
      </c>
      <c r="K23" t="s" s="11305">
        <v>0</v>
      </c>
      <c r="L23" t="n" s="11306">
        <v>1250.0</v>
      </c>
      <c r="M23" t="n" s="11307">
        <v>0.0</v>
      </c>
      <c r="N23" t="n" s="11308">
        <v>0.0</v>
      </c>
      <c r="O23" s="11309">
        <f>M23*N23</f>
      </c>
      <c r="P23" t="n" s="11310">
        <v>0.0</v>
      </c>
      <c r="Q23" t="n" s="11311">
        <v>0.0</v>
      </c>
      <c r="R23" s="11312">
        <f>P23*Q23</f>
      </c>
      <c r="S23" t="n" s="11313">
        <v>1250.0</v>
      </c>
      <c r="T23" t="n" s="11314">
        <v>0.0</v>
      </c>
      <c r="U23" t="n" s="11315">
        <v>0.0</v>
      </c>
      <c r="V23" s="11316">
        <f>L23+O23+R23</f>
      </c>
      <c r="W23" t="n" s="11317">
        <v>1000.0</v>
      </c>
      <c r="X23" s="11318">
        <f>s23+t23+u23+w23</f>
      </c>
      <c r="Y23" t="n" s="11319">
        <v>0.0</v>
      </c>
      <c r="Z23" t="n" s="11320">
        <v>0.0</v>
      </c>
      <c r="AA23" t="n" s="11321">
        <v>0.0</v>
      </c>
      <c r="AB23" t="n" s="11322">
        <v>0.0</v>
      </c>
      <c r="AC23" t="n" s="11323">
        <v>0.0</v>
      </c>
      <c r="AD23" t="n" s="11324">
        <v>0.0</v>
      </c>
      <c r="AE23" s="11325">
        <f>y23+aa23+ac23</f>
      </c>
      <c r="AF23" s="11326">
        <f>z23+ab23+ad23</f>
      </c>
      <c r="AG23" t="n" s="11327">
        <v>307.0</v>
      </c>
      <c r="AH23" t="n" s="11328">
        <v>41.15</v>
      </c>
      <c r="AI23" t="n" s="11329">
        <v>4.7</v>
      </c>
      <c r="AJ23" s="11330">
        <f>x23+af23+ag23+ah23+ai23</f>
      </c>
      <c r="AK23" s="11331">
        <f>ROUND((l23+t23+af23+ag23+ah23+ai23+w23)*0.05,2)</f>
      </c>
      <c r="AL23" s="11332">
        <f>aj23+ak23</f>
      </c>
      <c r="AM23" s="11333">
        <f>80*0.06</f>
      </c>
      <c r="AN23" s="11334">
        <f>al23+am23</f>
      </c>
      <c r="AO23" t="s" s="11335">
        <v>0</v>
      </c>
    </row>
    <row r="24" ht="15.0" customHeight="true">
      <c r="A24" t="s" s="11336">
        <v>338</v>
      </c>
      <c r="B24" t="s" s="11337">
        <v>339</v>
      </c>
      <c r="C24" t="s" s="11338">
        <v>340</v>
      </c>
      <c r="D24" t="s" s="11339">
        <v>341</v>
      </c>
      <c r="E24" t="s" s="11340">
        <v>55</v>
      </c>
      <c r="F24" t="s" s="11341">
        <v>342</v>
      </c>
      <c r="G24" t="s" s="11342">
        <v>276</v>
      </c>
      <c r="H24" t="s" s="11343">
        <v>277</v>
      </c>
      <c r="I24" t="n" s="11344">
        <v>43831.0</v>
      </c>
      <c r="J24" t="n" s="11345">
        <v>44196.0</v>
      </c>
      <c r="K24" t="s" s="11346">
        <v>0</v>
      </c>
      <c r="L24" t="n" s="11347">
        <v>1560.0</v>
      </c>
      <c r="M24" t="n" s="11348">
        <v>0.0</v>
      </c>
      <c r="N24" t="n" s="11349">
        <v>0.0</v>
      </c>
      <c r="O24" s="11350">
        <f>M24*N24</f>
      </c>
      <c r="P24" t="n" s="11351">
        <v>0.0</v>
      </c>
      <c r="Q24" t="n" s="11352">
        <v>0.0</v>
      </c>
      <c r="R24" s="11353">
        <f>P24*Q24</f>
      </c>
      <c r="S24" t="n" s="11354">
        <v>1560.0</v>
      </c>
      <c r="T24" t="n" s="11355">
        <v>0.0</v>
      </c>
      <c r="U24" t="n" s="11356">
        <v>0.0</v>
      </c>
      <c r="V24" s="11357">
        <f>L24+O24+R24</f>
      </c>
      <c r="W24" t="n" s="11358">
        <v>1000.0</v>
      </c>
      <c r="X24" s="11359">
        <f>s24+t24+u24+w24</f>
      </c>
      <c r="Y24" t="n" s="11360">
        <v>8.0</v>
      </c>
      <c r="Z24" t="n" s="11361">
        <v>90.0</v>
      </c>
      <c r="AA24" t="n" s="11362">
        <v>0.0</v>
      </c>
      <c r="AB24" t="n" s="11363">
        <v>0.0</v>
      </c>
      <c r="AC24" t="n" s="11364">
        <v>0.0</v>
      </c>
      <c r="AD24" t="n" s="11365">
        <v>0.0</v>
      </c>
      <c r="AE24" s="11366">
        <f>y24+aa24+ac24</f>
      </c>
      <c r="AF24" s="11367">
        <f>z24+ab24+ad24</f>
      </c>
      <c r="AG24" t="n" s="11368">
        <v>346.0</v>
      </c>
      <c r="AH24" t="n" s="11369">
        <v>48.15</v>
      </c>
      <c r="AI24" t="n" s="11370">
        <v>5.5</v>
      </c>
      <c r="AJ24" s="11371">
        <f>x24+af24+ag24+ah24+ai24</f>
      </c>
      <c r="AK24" s="11372">
        <f>ROUND((l24+t24+af24+ag24+ah24+ai24+w24)*0.05,2)</f>
      </c>
      <c r="AL24" s="11373">
        <f>aj24+ak24</f>
      </c>
      <c r="AM24" s="11374">
        <f>80*0.06</f>
      </c>
      <c r="AN24" s="11375">
        <f>al24+am24</f>
      </c>
      <c r="AO24" t="s" s="11376">
        <v>0</v>
      </c>
    </row>
    <row r="25" ht="15.0" customHeight="true">
      <c r="A25" t="s" s="11377">
        <v>343</v>
      </c>
      <c r="B25" t="s" s="11378">
        <v>344</v>
      </c>
      <c r="C25" t="s" s="11379">
        <v>345</v>
      </c>
      <c r="D25" t="s" s="11380">
        <v>346</v>
      </c>
      <c r="E25" t="s" s="11381">
        <v>55</v>
      </c>
      <c r="F25" t="s" s="11382">
        <v>347</v>
      </c>
      <c r="G25" t="s" s="11383">
        <v>276</v>
      </c>
      <c r="H25" t="s" s="11384">
        <v>277</v>
      </c>
      <c r="I25" t="n" s="11385">
        <v>43831.0</v>
      </c>
      <c r="J25" t="n" s="11386">
        <v>44196.0</v>
      </c>
      <c r="K25" t="s" s="11387">
        <v>0</v>
      </c>
      <c r="L25" t="n" s="11388">
        <v>1140.0</v>
      </c>
      <c r="M25" t="n" s="11389">
        <v>0.0</v>
      </c>
      <c r="N25" t="n" s="11390">
        <v>0.0</v>
      </c>
      <c r="O25" s="11391">
        <f>M25*N25</f>
      </c>
      <c r="P25" t="n" s="11392">
        <v>0.0</v>
      </c>
      <c r="Q25" t="n" s="11393">
        <v>0.0</v>
      </c>
      <c r="R25" s="11394">
        <f>P25*Q25</f>
      </c>
      <c r="S25" t="n" s="11395">
        <v>1140.0</v>
      </c>
      <c r="T25" t="n" s="11396">
        <v>0.0</v>
      </c>
      <c r="U25" t="n" s="11397">
        <v>0.0</v>
      </c>
      <c r="V25" s="11398">
        <f>L25+O25+R25</f>
      </c>
      <c r="W25" t="n" s="11399">
        <v>850.0</v>
      </c>
      <c r="X25" s="11400">
        <f>s25+t25+u25+w25</f>
      </c>
      <c r="Y25" t="n" s="11401">
        <v>6.0</v>
      </c>
      <c r="Z25" t="n" s="11402">
        <v>49.32</v>
      </c>
      <c r="AA25" t="n" s="11403">
        <v>0.0</v>
      </c>
      <c r="AB25" t="n" s="11404">
        <v>0.0</v>
      </c>
      <c r="AC25" t="n" s="11405">
        <v>0.0</v>
      </c>
      <c r="AD25" t="n" s="11406">
        <v>0.0</v>
      </c>
      <c r="AE25" s="11407">
        <f>y25+aa25+ac25</f>
      </c>
      <c r="AF25" s="11408">
        <f>z25+ab25+ad25</f>
      </c>
      <c r="AG25" t="n" s="11409">
        <v>273.0</v>
      </c>
      <c r="AH25" t="n" s="11410">
        <v>37.65</v>
      </c>
      <c r="AI25" t="n" s="11411">
        <v>4.3</v>
      </c>
      <c r="AJ25" s="11412">
        <f>x25+af25+ag25+ah25+ai25</f>
      </c>
      <c r="AK25" s="11413">
        <f>ROUND((l25+t25+af25+ag25+ah25+ai25+w25)*0.05,2)</f>
      </c>
      <c r="AL25" s="11414">
        <f>aj25+ak25</f>
      </c>
      <c r="AM25" s="11415">
        <f>80*0.06</f>
      </c>
      <c r="AN25" s="11416">
        <f>al25+am25</f>
      </c>
      <c r="AO25" t="s" s="11417">
        <v>0</v>
      </c>
    </row>
    <row r="26" ht="15.0" customHeight="true">
      <c r="A26" t="s" s="11418">
        <v>348</v>
      </c>
      <c r="B26" t="s" s="11419">
        <v>349</v>
      </c>
      <c r="C26" t="s" s="11420">
        <v>350</v>
      </c>
      <c r="D26" t="s" s="11421">
        <v>351</v>
      </c>
      <c r="E26" t="s" s="11422">
        <v>55</v>
      </c>
      <c r="F26" t="s" s="11423">
        <v>352</v>
      </c>
      <c r="G26" t="s" s="11424">
        <v>276</v>
      </c>
      <c r="H26" t="s" s="11425">
        <v>277</v>
      </c>
      <c r="I26" t="n" s="11426">
        <v>43831.0</v>
      </c>
      <c r="J26" t="n" s="11427">
        <v>44196.0</v>
      </c>
      <c r="K26" t="s" s="11428">
        <v>0</v>
      </c>
      <c r="L26" t="n" s="11429">
        <v>1250.0</v>
      </c>
      <c r="M26" t="n" s="11430">
        <v>0.0</v>
      </c>
      <c r="N26" t="n" s="11431">
        <v>0.0</v>
      </c>
      <c r="O26" s="11432">
        <f>M26*N26</f>
      </c>
      <c r="P26" t="n" s="11433">
        <v>0.0</v>
      </c>
      <c r="Q26" t="n" s="11434">
        <v>0.0</v>
      </c>
      <c r="R26" s="11435">
        <f>P26*Q26</f>
      </c>
      <c r="S26" t="n" s="11436">
        <v>1250.0</v>
      </c>
      <c r="T26" t="n" s="11437">
        <v>0.0</v>
      </c>
      <c r="U26" t="n" s="11438">
        <v>0.0</v>
      </c>
      <c r="V26" s="11439">
        <f>L26+O26+R26</f>
      </c>
      <c r="W26" t="n" s="11440">
        <v>1000.0</v>
      </c>
      <c r="X26" s="11441">
        <f>s26+t26+u26+w26</f>
      </c>
      <c r="Y26" t="n" s="11442">
        <v>4.0</v>
      </c>
      <c r="Z26" t="n" s="11443">
        <v>36.04</v>
      </c>
      <c r="AA26" t="n" s="11444">
        <v>0.0</v>
      </c>
      <c r="AB26" t="n" s="11445">
        <v>0.0</v>
      </c>
      <c r="AC26" t="n" s="11446">
        <v>0.0</v>
      </c>
      <c r="AD26" t="n" s="11447">
        <v>0.0</v>
      </c>
      <c r="AE26" s="11448">
        <f>y26+aa26+ac26</f>
      </c>
      <c r="AF26" s="11449">
        <f>z26+ab26+ad26</f>
      </c>
      <c r="AG26" t="n" s="11450">
        <v>307.0</v>
      </c>
      <c r="AH26" t="n" s="11451">
        <v>41.15</v>
      </c>
      <c r="AI26" t="n" s="11452">
        <v>4.7</v>
      </c>
      <c r="AJ26" s="11453">
        <f>x26+af26+ag26+ah26+ai26</f>
      </c>
      <c r="AK26" s="11454">
        <f>ROUND((l26+t26+af26+ag26+ah26+ai26+w26)*0.05,2)</f>
      </c>
      <c r="AL26" s="11455">
        <f>aj26+ak26</f>
      </c>
      <c r="AM26" s="11456">
        <f>80*0.06</f>
      </c>
      <c r="AN26" s="11457">
        <f>al26+am26</f>
      </c>
      <c r="AO26" t="s" s="11458">
        <v>0</v>
      </c>
    </row>
    <row r="27" ht="15.0" customHeight="true">
      <c r="L27" t="s" s="11459">
        <v>0</v>
      </c>
      <c r="M27" t="s" s="11460">
        <v>0</v>
      </c>
      <c r="N27" t="s" s="11461">
        <v>0</v>
      </c>
      <c r="O27" t="s" s="11462">
        <v>0</v>
      </c>
      <c r="P27" t="s" s="11463">
        <v>0</v>
      </c>
      <c r="Q27" t="s" s="11464">
        <v>0</v>
      </c>
      <c r="R27" t="s" s="11465">
        <v>0</v>
      </c>
      <c r="S27" t="s" s="11466">
        <v>0</v>
      </c>
      <c r="T27" t="s" s="11467">
        <v>0</v>
      </c>
      <c r="U27" t="s" s="11468">
        <v>0</v>
      </c>
      <c r="V27" t="s" s="11469">
        <v>0</v>
      </c>
      <c r="W27" t="s" s="11470">
        <v>0</v>
      </c>
      <c r="X27" t="s" s="11471">
        <v>0</v>
      </c>
      <c r="Y27" t="s" s="11472">
        <v>0</v>
      </c>
      <c r="Z27" t="s" s="11473">
        <v>0</v>
      </c>
      <c r="AA27" t="s" s="11474">
        <v>0</v>
      </c>
      <c r="AB27" t="s" s="11475">
        <v>0</v>
      </c>
      <c r="AC27" t="s" s="11476">
        <v>0</v>
      </c>
      <c r="AD27" t="s" s="11477">
        <v>0</v>
      </c>
      <c r="AE27" t="s" s="11478">
        <v>0</v>
      </c>
      <c r="AF27" t="s" s="11479">
        <v>0</v>
      </c>
      <c r="AG27" t="s" s="11480">
        <v>0</v>
      </c>
      <c r="AH27" t="s" s="11481">
        <v>0</v>
      </c>
      <c r="AI27" t="s" s="11482">
        <v>0</v>
      </c>
      <c r="AJ27" t="s" s="11483">
        <v>0</v>
      </c>
      <c r="AK27" t="s" s="11484">
        <v>0</v>
      </c>
      <c r="AL27" t="s" s="11485">
        <v>0</v>
      </c>
    </row>
    <row r="28" ht="15.0" customHeight="true"/>
    <row r="29" ht="15.0" customHeight="true">
      <c r="A29" t="s" s="11486">
        <v>0</v>
      </c>
      <c r="B29" t="s" s="11487">
        <v>649</v>
      </c>
      <c r="C29" s="11488">
        <f>COUNTA(A11:A26)</f>
      </c>
      <c r="L29" s="11489">
        <f>SUM(l11:l26)</f>
      </c>
      <c r="M29" s="11490">
        <f>SUM(m11:m26)</f>
      </c>
      <c r="N29" t="s" s="11491">
        <v>0</v>
      </c>
      <c r="O29" s="11492">
        <f>SUM(o11:o26)</f>
      </c>
      <c r="P29" s="11493">
        <f>SUM(p11:p26)</f>
      </c>
      <c r="Q29" t="s" s="11494">
        <v>0</v>
      </c>
      <c r="R29" s="11495">
        <f>SUM(r11:r26)</f>
      </c>
      <c r="S29" s="11496">
        <f>SUM(s11:s26)</f>
      </c>
      <c r="T29" s="11497">
        <f>SUM(t11:t26)</f>
      </c>
      <c r="U29" s="11498">
        <f>SUM(u11:u26)</f>
      </c>
      <c r="V29" s="11499">
        <f>SUM(v11:v26)</f>
      </c>
      <c r="W29" s="11500">
        <f>SUM(w11:w26)</f>
      </c>
      <c r="X29" s="11501">
        <f>SUM(x11:x26)</f>
      </c>
      <c r="Y29" s="11502">
        <f>SUM(y11:y26)</f>
      </c>
      <c r="Z29" s="11503">
        <f>SUM(z11:z26)</f>
      </c>
      <c r="AA29" s="11504">
        <f>SUM(aa11:aa26)</f>
      </c>
      <c r="AB29" s="11505">
        <f>SUM(ab11:ab26)</f>
      </c>
      <c r="AC29" s="11506">
        <f>SUM(ac11:ac26)</f>
      </c>
      <c r="AD29" s="11507">
        <f>SUM(ad11:ad26)</f>
      </c>
      <c r="AE29" s="11508">
        <f>SUM(ae11:ae26)</f>
      </c>
      <c r="AF29" s="11509">
        <f>SUM(af11:af26)</f>
      </c>
      <c r="AG29" s="11510">
        <f>SUM(ag11:ag26)</f>
      </c>
      <c r="AH29" s="11511">
        <f>SUM(ah11:ah26)</f>
      </c>
      <c r="AI29" s="11512">
        <f>SUM(ai11:ai26)</f>
      </c>
      <c r="AJ29" s="11513">
        <f>SUM(aj11:aj26)</f>
      </c>
      <c r="AK29" s="11514">
        <f>SUM(ak11:ak26)</f>
      </c>
      <c r="AL29" s="11515">
        <f>SUM(al11:al26)</f>
      </c>
      <c r="AM29" s="11516">
        <f>SUM(am11:am26)</f>
      </c>
      <c r="AN29" s="11517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518">
        <v>0</v>
      </c>
      <c r="B1" t="s" s="11519">
        <v>1</v>
      </c>
      <c r="Y1" t="s" s="11520">
        <v>6</v>
      </c>
      <c r="Z1" t="n" s="11521">
        <v>2020.0</v>
      </c>
    </row>
    <row r="2" ht="15.0" customHeight="true">
      <c r="A2" t="s" s="11522">
        <v>0</v>
      </c>
      <c r="B2" t="s" s="11523">
        <v>2</v>
      </c>
      <c r="Y2" t="s" s="11524">
        <v>7</v>
      </c>
      <c r="Z2" t="n" s="11525">
        <v>2019.0</v>
      </c>
    </row>
    <row r="3" ht="15.0" customHeight="true">
      <c r="A3" t="s" s="11526">
        <v>0</v>
      </c>
      <c r="B3" t="s" s="11527">
        <v>3</v>
      </c>
    </row>
    <row r="4" ht="15.0" customHeight="true">
      <c r="A4" t="s" s="11528">
        <v>0</v>
      </c>
      <c r="B4" t="s" s="11529">
        <v>4</v>
      </c>
    </row>
    <row r="5" ht="15.0" customHeight="true">
      <c r="A5" t="s" s="11530">
        <v>0</v>
      </c>
      <c r="B5" t="s" s="11531">
        <v>5</v>
      </c>
    </row>
    <row r="6" ht="15.0" customHeight="true"/>
    <row r="7" ht="15.0" customHeight="true"/>
    <row r="8" ht="28.0" customHeight="true">
      <c r="A8" t="s" s="11532">
        <v>0</v>
      </c>
      <c r="B8" t="s" s="11533">
        <v>0</v>
      </c>
      <c r="C8" t="s" s="11534">
        <v>0</v>
      </c>
      <c r="D8" t="s" s="11535">
        <v>0</v>
      </c>
      <c r="E8" t="s" s="11536">
        <v>0</v>
      </c>
      <c r="F8" t="s" s="11537">
        <v>0</v>
      </c>
      <c r="G8" t="s" s="11538">
        <v>0</v>
      </c>
      <c r="H8" t="s" s="11539">
        <v>0</v>
      </c>
      <c r="I8" t="s" s="11540">
        <v>0</v>
      </c>
      <c r="J8" t="s" s="11541">
        <v>0</v>
      </c>
      <c r="K8" t="s" s="11542">
        <v>0</v>
      </c>
      <c r="L8" t="s" s="11543">
        <v>0</v>
      </c>
      <c r="M8" t="s" s="11544">
        <v>0</v>
      </c>
      <c r="N8" t="s" s="11545">
        <v>0</v>
      </c>
      <c r="O8" t="s" s="11546">
        <v>0</v>
      </c>
      <c r="P8" t="s" s="11547">
        <v>0</v>
      </c>
      <c r="Q8" t="s" s="11548">
        <v>0</v>
      </c>
      <c r="R8" t="s" s="11549">
        <v>0</v>
      </c>
      <c r="S8" t="s" s="11550">
        <v>0</v>
      </c>
      <c r="T8" t="s" s="11551">
        <v>0</v>
      </c>
      <c r="U8" t="s" s="11552">
        <v>0</v>
      </c>
      <c r="V8" t="s" s="11553">
        <v>0</v>
      </c>
      <c r="W8" t="s" s="11554">
        <v>0</v>
      </c>
      <c r="X8" t="s" s="11555">
        <v>0</v>
      </c>
      <c r="Y8" t="s" s="11556">
        <v>0</v>
      </c>
      <c r="Z8" t="s" s="11557">
        <v>0</v>
      </c>
      <c r="AA8" t="s" s="11558">
        <v>0</v>
      </c>
      <c r="AB8" t="s" s="11559">
        <v>0</v>
      </c>
      <c r="AC8" t="s" s="11560">
        <v>8</v>
      </c>
      <c r="AD8" t="s" s="11561">
        <v>0</v>
      </c>
      <c r="AE8" t="s" s="11562">
        <v>0</v>
      </c>
      <c r="AF8" t="s" s="11563">
        <v>0</v>
      </c>
      <c r="AG8" t="s" s="11564">
        <v>0</v>
      </c>
      <c r="AH8" t="s" s="11565">
        <v>0</v>
      </c>
      <c r="AI8" t="s" s="11566">
        <v>0</v>
      </c>
      <c r="AJ8" t="s" s="11567">
        <v>0</v>
      </c>
      <c r="AK8" t="s" s="11568">
        <v>0</v>
      </c>
      <c r="AL8" t="s" s="11569">
        <v>0</v>
      </c>
      <c r="AM8" t="s" s="11570">
        <v>0</v>
      </c>
      <c r="AN8" t="s" s="11571">
        <v>0</v>
      </c>
      <c r="AO8" t="s" s="11572">
        <v>0</v>
      </c>
    </row>
    <row r="9" ht="41.0" customHeight="true">
      <c r="A9" t="s" s="11573">
        <v>9</v>
      </c>
      <c r="B9" t="s" s="11574">
        <v>10</v>
      </c>
      <c r="C9" t="s" s="11575">
        <v>11</v>
      </c>
      <c r="D9" t="s" s="11576">
        <v>12</v>
      </c>
      <c r="E9" t="s" s="11577">
        <v>13</v>
      </c>
      <c r="F9" t="s" s="11578">
        <v>14</v>
      </c>
      <c r="G9" t="s" s="11579">
        <v>15</v>
      </c>
      <c r="H9" t="s" s="11580">
        <v>16</v>
      </c>
      <c r="I9" t="s" s="11581">
        <v>17</v>
      </c>
      <c r="J9" t="s" s="11582">
        <v>18</v>
      </c>
      <c r="K9" t="s" s="11583">
        <v>19</v>
      </c>
      <c r="L9" t="s" s="11584">
        <v>20</v>
      </c>
      <c r="M9" t="s" s="11585">
        <v>21</v>
      </c>
      <c r="N9" t="s" s="11586">
        <v>22</v>
      </c>
      <c r="O9" t="s" s="11587">
        <v>23</v>
      </c>
      <c r="P9" t="s" s="11588">
        <v>24</v>
      </c>
      <c r="Q9" t="s" s="11589">
        <v>25</v>
      </c>
      <c r="R9" t="s" s="11590">
        <v>26</v>
      </c>
      <c r="S9" t="s" s="11591">
        <v>27</v>
      </c>
      <c r="T9" t="s" s="11592">
        <v>28</v>
      </c>
      <c r="U9" t="s" s="11593">
        <v>29</v>
      </c>
      <c r="V9" t="s" s="11594">
        <v>30</v>
      </c>
      <c r="W9" t="s" s="11595">
        <v>31</v>
      </c>
      <c r="X9" t="s" s="11596">
        <v>32</v>
      </c>
      <c r="Y9" t="s" s="11597">
        <v>33</v>
      </c>
      <c r="Z9" t="s" s="11598">
        <v>34</v>
      </c>
      <c r="AA9" t="s" s="11599">
        <v>35</v>
      </c>
      <c r="AB9" t="s" s="11600">
        <v>36</v>
      </c>
      <c r="AC9" t="s" s="11601">
        <v>37</v>
      </c>
      <c r="AD9" t="s" s="11602">
        <v>38</v>
      </c>
      <c r="AE9" t="s" s="11603">
        <v>39</v>
      </c>
      <c r="AF9" t="s" s="11604">
        <v>40</v>
      </c>
      <c r="AG9" t="s" s="11605">
        <v>41</v>
      </c>
      <c r="AH9" t="s" s="11606">
        <v>42</v>
      </c>
      <c r="AI9" t="s" s="11607">
        <v>43</v>
      </c>
      <c r="AJ9" t="s" s="11608">
        <v>44</v>
      </c>
      <c r="AK9" t="s" s="11609">
        <v>45</v>
      </c>
      <c r="AL9" t="s" s="11610">
        <v>46</v>
      </c>
      <c r="AM9" t="s" s="11611">
        <v>47</v>
      </c>
      <c r="AN9" t="s" s="11612">
        <v>48</v>
      </c>
      <c r="AO9" t="s" s="11613">
        <v>49</v>
      </c>
    </row>
    <row r="10" ht="15.0" customHeight="true">
      <c r="A10" t="s" s="11614">
        <v>0</v>
      </c>
      <c r="B10" t="s" s="11615">
        <v>0</v>
      </c>
      <c r="C10" t="s" s="11616">
        <v>0</v>
      </c>
      <c r="D10" t="s" s="11617">
        <v>0</v>
      </c>
      <c r="E10" t="s" s="11618">
        <v>0</v>
      </c>
      <c r="F10" t="s" s="11619">
        <v>0</v>
      </c>
      <c r="G10" t="s" s="11620">
        <v>0</v>
      </c>
      <c r="H10" t="s" s="11621">
        <v>0</v>
      </c>
      <c r="I10" t="s" s="11622">
        <v>0</v>
      </c>
      <c r="J10" t="s" s="11623">
        <v>0</v>
      </c>
      <c r="K10" t="s" s="11624">
        <v>0</v>
      </c>
      <c r="L10" t="s" s="11625">
        <v>0</v>
      </c>
      <c r="M10" t="s" s="11626">
        <v>0</v>
      </c>
      <c r="N10" t="s" s="11627">
        <v>0</v>
      </c>
      <c r="O10" t="s" s="11628">
        <v>0</v>
      </c>
      <c r="P10" t="s" s="11629">
        <v>0</v>
      </c>
      <c r="Q10" t="s" s="11630">
        <v>0</v>
      </c>
      <c r="R10" t="s" s="11631">
        <v>0</v>
      </c>
      <c r="S10" t="s" s="11632">
        <v>0</v>
      </c>
      <c r="T10" t="s" s="11633">
        <v>0</v>
      </c>
      <c r="U10" t="s" s="11634">
        <v>0</v>
      </c>
      <c r="V10" t="s" s="11635">
        <v>0</v>
      </c>
      <c r="W10" t="s" s="11636">
        <v>0</v>
      </c>
      <c r="X10" t="s" s="11637">
        <v>0</v>
      </c>
      <c r="Y10" t="n" s="11638">
        <v>1.5</v>
      </c>
      <c r="Z10" t="n" s="11639">
        <v>1.5</v>
      </c>
      <c r="AA10" t="n" s="11640">
        <v>2.0</v>
      </c>
      <c r="AB10" t="n" s="11641">
        <v>2.0</v>
      </c>
      <c r="AC10" t="n" s="11642">
        <v>3.0</v>
      </c>
      <c r="AD10" t="n" s="11643">
        <v>3.0</v>
      </c>
      <c r="AE10" t="s" s="11644">
        <v>50</v>
      </c>
      <c r="AF10" t="s" s="11645">
        <v>50</v>
      </c>
      <c r="AG10" t="s" s="11646">
        <v>0</v>
      </c>
      <c r="AH10" t="s" s="11647">
        <v>0</v>
      </c>
      <c r="AI10" t="s" s="11648">
        <v>0</v>
      </c>
      <c r="AJ10" t="s" s="11649">
        <v>0</v>
      </c>
      <c r="AK10" t="s" s="11650">
        <v>0</v>
      </c>
      <c r="AL10" t="s" s="11651">
        <v>0</v>
      </c>
      <c r="AM10" t="s" s="11652">
        <v>0</v>
      </c>
      <c r="AN10" t="s" s="11653">
        <v>0</v>
      </c>
      <c r="AO10" t="s" s="11654">
        <v>0</v>
      </c>
    </row>
    <row r="11" ht="15.0" customHeight="true">
      <c r="A11" t="s" s="11655">
        <v>353</v>
      </c>
      <c r="B11" t="s" s="11656">
        <v>354</v>
      </c>
      <c r="C11" t="s" s="11657">
        <v>355</v>
      </c>
      <c r="D11" t="s" s="11658">
        <v>356</v>
      </c>
      <c r="E11" t="s" s="11659">
        <v>55</v>
      </c>
      <c r="F11" t="s" s="11660">
        <v>357</v>
      </c>
      <c r="G11" t="s" s="11661">
        <v>358</v>
      </c>
      <c r="H11" t="s" s="11662">
        <v>359</v>
      </c>
      <c r="I11" t="n" s="11663">
        <v>43831.0</v>
      </c>
      <c r="J11" t="n" s="11664">
        <v>44196.0</v>
      </c>
      <c r="K11" t="s" s="11665">
        <v>0</v>
      </c>
      <c r="L11" t="n" s="11666">
        <v>1500.0</v>
      </c>
      <c r="M11" t="n" s="11667">
        <v>0.0</v>
      </c>
      <c r="N11" t="n" s="11668">
        <v>0.0</v>
      </c>
      <c r="O11" s="11669">
        <f>M11*N11</f>
      </c>
      <c r="P11" t="n" s="11670">
        <v>0.0</v>
      </c>
      <c r="Q11" t="n" s="11671">
        <v>0.0</v>
      </c>
      <c r="R11" s="11672">
        <f>P11*Q11</f>
      </c>
      <c r="S11" t="n" s="11673">
        <v>1500.0</v>
      </c>
      <c r="T11" t="n" s="11674">
        <v>0.0</v>
      </c>
      <c r="U11" t="n" s="11675">
        <v>0.0</v>
      </c>
      <c r="V11" s="11676">
        <f>L11+O11+R11</f>
      </c>
      <c r="W11" t="n" s="11677">
        <v>170.0</v>
      </c>
      <c r="X11" s="11678">
        <f>s11+t11+u11+w11</f>
      </c>
      <c r="Y11" t="n" s="11679">
        <v>10.0</v>
      </c>
      <c r="Z11" t="n" s="11680">
        <v>108.2</v>
      </c>
      <c r="AA11" t="n" s="11681">
        <v>0.0</v>
      </c>
      <c r="AB11" t="n" s="11682">
        <v>0.0</v>
      </c>
      <c r="AC11" t="n" s="11683">
        <v>0.0</v>
      </c>
      <c r="AD11" t="n" s="11684">
        <v>0.0</v>
      </c>
      <c r="AE11" s="11685">
        <f>y11+aa11+ac11</f>
      </c>
      <c r="AF11" s="11686">
        <f>z11+ab11+ad11</f>
      </c>
      <c r="AG11" t="n" s="11687">
        <v>240.0</v>
      </c>
      <c r="AH11" t="n" s="11688">
        <v>34.15</v>
      </c>
      <c r="AI11" t="n" s="11689">
        <v>3.9</v>
      </c>
      <c r="AJ11" s="11690">
        <f>x11+af11+ag11+ah11+ai11</f>
      </c>
      <c r="AK11" s="11691">
        <f>ROUND((l11+t11+af11+ag11+ah11+ai11+w11)*0.05,2)</f>
      </c>
      <c r="AL11" s="11692">
        <f>aj11+ak11</f>
      </c>
      <c r="AM11" s="11693">
        <f>80*0.06</f>
      </c>
      <c r="AN11" s="11694">
        <f>al11+am11</f>
      </c>
      <c r="AO11" t="s" s="11695">
        <v>0</v>
      </c>
    </row>
    <row r="12" ht="15.0" customHeight="true">
      <c r="A12" t="s" s="11696">
        <v>360</v>
      </c>
      <c r="B12" t="s" s="11697">
        <v>361</v>
      </c>
      <c r="C12" t="s" s="11698">
        <v>362</v>
      </c>
      <c r="D12" t="s" s="11699">
        <v>363</v>
      </c>
      <c r="E12" t="s" s="11700">
        <v>55</v>
      </c>
      <c r="F12" t="s" s="11701">
        <v>364</v>
      </c>
      <c r="G12" t="s" s="11702">
        <v>358</v>
      </c>
      <c r="H12" t="s" s="11703">
        <v>359</v>
      </c>
      <c r="I12" t="n" s="11704">
        <v>43831.0</v>
      </c>
      <c r="J12" t="n" s="11705">
        <v>44196.0</v>
      </c>
      <c r="K12" t="s" s="11706">
        <v>0</v>
      </c>
      <c r="L12" t="n" s="11707">
        <v>1490.0</v>
      </c>
      <c r="M12" t="n" s="11708">
        <v>0.0</v>
      </c>
      <c r="N12" t="n" s="11709">
        <v>0.0</v>
      </c>
      <c r="O12" s="11710">
        <f>M12*N12</f>
      </c>
      <c r="P12" t="n" s="11711">
        <v>0.0</v>
      </c>
      <c r="Q12" t="n" s="11712">
        <v>0.0</v>
      </c>
      <c r="R12" s="11713">
        <f>P12*Q12</f>
      </c>
      <c r="S12" t="n" s="11714">
        <v>1490.0</v>
      </c>
      <c r="T12" t="n" s="11715">
        <v>0.0</v>
      </c>
      <c r="U12" t="n" s="11716">
        <v>0.0</v>
      </c>
      <c r="V12" s="11717">
        <f>L12+O12+R12</f>
      </c>
      <c r="W12" t="n" s="11718">
        <v>800.0</v>
      </c>
      <c r="X12" s="11719">
        <f>s12+t12+u12+w12</f>
      </c>
      <c r="Y12" t="n" s="11720">
        <v>8.0</v>
      </c>
      <c r="Z12" t="n" s="11721">
        <v>86.0</v>
      </c>
      <c r="AA12" t="n" s="11722">
        <v>0.0</v>
      </c>
      <c r="AB12" t="n" s="11723">
        <v>0.0</v>
      </c>
      <c r="AC12" t="n" s="11724">
        <v>0.0</v>
      </c>
      <c r="AD12" t="n" s="11725">
        <v>0.0</v>
      </c>
      <c r="AE12" s="11726">
        <f>y12+aa12+ac12</f>
      </c>
      <c r="AF12" s="11727">
        <f>z12+ab12+ad12</f>
      </c>
      <c r="AG12" t="n" s="11728">
        <v>320.0</v>
      </c>
      <c r="AH12" t="n" s="11729">
        <v>44.65</v>
      </c>
      <c r="AI12" t="n" s="11730">
        <v>5.1</v>
      </c>
      <c r="AJ12" s="11731">
        <f>x12+af12+ag12+ah12+ai12</f>
      </c>
      <c r="AK12" s="11732">
        <f>ROUND((l12+t12+af12+ag12+ah12+ai12+w12)*0.05,2)</f>
      </c>
      <c r="AL12" s="11733">
        <f>aj12+ak12</f>
      </c>
      <c r="AM12" s="11734">
        <f>80*0.06</f>
      </c>
      <c r="AN12" s="11735">
        <f>al12+am12</f>
      </c>
      <c r="AO12" t="s" s="11736">
        <v>0</v>
      </c>
    </row>
    <row r="13" ht="15.0" customHeight="true">
      <c r="A13" t="s" s="11737">
        <v>365</v>
      </c>
      <c r="B13" t="s" s="11738">
        <v>366</v>
      </c>
      <c r="C13" t="s" s="11739">
        <v>367</v>
      </c>
      <c r="D13" t="s" s="11740">
        <v>368</v>
      </c>
      <c r="E13" t="s" s="11741">
        <v>55</v>
      </c>
      <c r="F13" t="s" s="11742">
        <v>369</v>
      </c>
      <c r="G13" t="s" s="11743">
        <v>358</v>
      </c>
      <c r="H13" t="s" s="11744">
        <v>359</v>
      </c>
      <c r="I13" t="n" s="11745">
        <v>43831.0</v>
      </c>
      <c r="J13" t="n" s="11746">
        <v>44196.0</v>
      </c>
      <c r="K13" t="s" s="11747">
        <v>0</v>
      </c>
      <c r="L13" t="n" s="11748">
        <v>1290.0</v>
      </c>
      <c r="M13" t="n" s="11749">
        <v>0.0</v>
      </c>
      <c r="N13" t="n" s="11750">
        <v>0.0</v>
      </c>
      <c r="O13" s="11751">
        <f>M13*N13</f>
      </c>
      <c r="P13" t="n" s="11752">
        <v>0.0</v>
      </c>
      <c r="Q13" t="n" s="11753">
        <v>0.0</v>
      </c>
      <c r="R13" s="11754">
        <f>P13*Q13</f>
      </c>
      <c r="S13" t="n" s="11755">
        <v>1290.0</v>
      </c>
      <c r="T13" t="n" s="11756">
        <v>0.0</v>
      </c>
      <c r="U13" t="n" s="11757">
        <v>0.0</v>
      </c>
      <c r="V13" s="11758">
        <f>L13+O13+R13</f>
      </c>
      <c r="W13" t="n" s="11759">
        <v>250.0</v>
      </c>
      <c r="X13" s="11760">
        <f>s13+t13+u13+w13</f>
      </c>
      <c r="Y13" t="n" s="11761">
        <v>5.0</v>
      </c>
      <c r="Z13" t="n" s="11762">
        <v>46.5</v>
      </c>
      <c r="AA13" t="n" s="11763">
        <v>0.0</v>
      </c>
      <c r="AB13" t="n" s="11764">
        <v>0.0</v>
      </c>
      <c r="AC13" t="n" s="11765">
        <v>0.0</v>
      </c>
      <c r="AD13" t="n" s="11766">
        <v>0.0</v>
      </c>
      <c r="AE13" s="11767">
        <f>y13+aa13+ac13</f>
      </c>
      <c r="AF13" s="11768">
        <f>z13+ab13+ad13</f>
      </c>
      <c r="AG13" t="n" s="11769">
        <v>221.0</v>
      </c>
      <c r="AH13" t="n" s="11770">
        <v>30.65</v>
      </c>
      <c r="AI13" t="n" s="11771">
        <v>3.5</v>
      </c>
      <c r="AJ13" s="11772">
        <f>x13+af13+ag13+ah13+ai13</f>
      </c>
      <c r="AK13" s="11773">
        <f>ROUND((l13+t13+af13+ag13+ah13+ai13+w13)*0.05,2)</f>
      </c>
      <c r="AL13" s="11774">
        <f>aj13+ak13</f>
      </c>
      <c r="AM13" s="11775">
        <f>80*0.06</f>
      </c>
      <c r="AN13" s="11776">
        <f>al13+am13</f>
      </c>
      <c r="AO13" t="s" s="11777">
        <v>0</v>
      </c>
    </row>
    <row r="14" ht="15.0" customHeight="true">
      <c r="A14" t="s" s="11778">
        <v>370</v>
      </c>
      <c r="B14" t="s" s="11779">
        <v>371</v>
      </c>
      <c r="C14" t="s" s="11780">
        <v>372</v>
      </c>
      <c r="D14" t="s" s="11781">
        <v>373</v>
      </c>
      <c r="E14" t="s" s="11782">
        <v>55</v>
      </c>
      <c r="F14" t="s" s="11783">
        <v>374</v>
      </c>
      <c r="G14" t="s" s="11784">
        <v>358</v>
      </c>
      <c r="H14" t="s" s="11785">
        <v>359</v>
      </c>
      <c r="I14" t="n" s="11786">
        <v>43831.0</v>
      </c>
      <c r="J14" t="n" s="11787">
        <v>44196.0</v>
      </c>
      <c r="K14" t="s" s="11788">
        <v>0</v>
      </c>
      <c r="L14" t="n" s="11789">
        <v>1670.0</v>
      </c>
      <c r="M14" t="n" s="11790">
        <v>0.0</v>
      </c>
      <c r="N14" t="n" s="11791">
        <v>0.0</v>
      </c>
      <c r="O14" s="11792">
        <f>M14*N14</f>
      </c>
      <c r="P14" t="n" s="11793">
        <v>0.0</v>
      </c>
      <c r="Q14" t="n" s="11794">
        <v>0.0</v>
      </c>
      <c r="R14" s="11795">
        <f>P14*Q14</f>
      </c>
      <c r="S14" t="n" s="11796">
        <v>1670.0</v>
      </c>
      <c r="T14" t="n" s="11797">
        <v>0.0</v>
      </c>
      <c r="U14" t="n" s="11798">
        <v>0.0</v>
      </c>
      <c r="V14" s="11799">
        <f>L14+O14+R14</f>
      </c>
      <c r="W14" t="n" s="11800">
        <v>700.0</v>
      </c>
      <c r="X14" s="11801">
        <f>s14+t14+u14+w14</f>
      </c>
      <c r="Y14" t="n" s="11802">
        <v>21.0</v>
      </c>
      <c r="Z14" t="n" s="11803">
        <v>252.84</v>
      </c>
      <c r="AA14" t="n" s="11804">
        <v>0.0</v>
      </c>
      <c r="AB14" t="n" s="11805">
        <v>0.0</v>
      </c>
      <c r="AC14" t="n" s="11806">
        <v>0.0</v>
      </c>
      <c r="AD14" t="n" s="11807">
        <v>0.0</v>
      </c>
      <c r="AE14" s="11808">
        <f>y14+aa14+ac14</f>
      </c>
      <c r="AF14" s="11809">
        <f>z14+ab14+ad14</f>
      </c>
      <c r="AG14" t="n" s="11810">
        <v>331.0</v>
      </c>
      <c r="AH14" t="n" s="11811">
        <v>48.15</v>
      </c>
      <c r="AI14" t="n" s="11812">
        <v>5.5</v>
      </c>
      <c r="AJ14" s="11813">
        <f>x14+af14+ag14+ah14+ai14</f>
      </c>
      <c r="AK14" s="11814">
        <f>ROUND((l14+t14+af14+ag14+ah14+ai14+w14)*0.05,2)</f>
      </c>
      <c r="AL14" s="11815">
        <f>aj14+ak14</f>
      </c>
      <c r="AM14" s="11816">
        <f>80*0.06</f>
      </c>
      <c r="AN14" s="11817">
        <f>al14+am14</f>
      </c>
      <c r="AO14" t="s" s="11818">
        <v>0</v>
      </c>
    </row>
    <row r="15" ht="15.0" customHeight="true">
      <c r="A15" t="s" s="11819">
        <v>375</v>
      </c>
      <c r="B15" t="s" s="11820">
        <v>376</v>
      </c>
      <c r="C15" t="s" s="11821">
        <v>377</v>
      </c>
      <c r="D15" t="s" s="11822">
        <v>378</v>
      </c>
      <c r="E15" t="s" s="11823">
        <v>55</v>
      </c>
      <c r="F15" t="s" s="11824">
        <v>379</v>
      </c>
      <c r="G15" t="s" s="11825">
        <v>358</v>
      </c>
      <c r="H15" t="s" s="11826">
        <v>359</v>
      </c>
      <c r="I15" t="n" s="11827">
        <v>43831.0</v>
      </c>
      <c r="J15" t="n" s="11828">
        <v>44196.0</v>
      </c>
      <c r="K15" t="s" s="11829">
        <v>0</v>
      </c>
      <c r="L15" t="n" s="11830">
        <v>1360.0</v>
      </c>
      <c r="M15" t="n" s="11831">
        <v>0.0</v>
      </c>
      <c r="N15" t="n" s="11832">
        <v>0.0</v>
      </c>
      <c r="O15" s="11833">
        <f>M15*N15</f>
      </c>
      <c r="P15" t="n" s="11834">
        <v>0.0</v>
      </c>
      <c r="Q15" t="n" s="11835">
        <v>0.0</v>
      </c>
      <c r="R15" s="11836">
        <f>P15*Q15</f>
      </c>
      <c r="S15" t="n" s="11837">
        <v>1360.0</v>
      </c>
      <c r="T15" t="n" s="11838">
        <v>0.0</v>
      </c>
      <c r="U15" t="n" s="11839">
        <v>0.0</v>
      </c>
      <c r="V15" s="11840">
        <f>L15+O15+R15</f>
      </c>
      <c r="W15" t="n" s="11841">
        <v>0.0</v>
      </c>
      <c r="X15" s="11842">
        <f>s15+t15+u15+w15</f>
      </c>
      <c r="Y15" t="n" s="11843">
        <v>10.0</v>
      </c>
      <c r="Z15" t="n" s="11844">
        <v>98.1</v>
      </c>
      <c r="AA15" t="n" s="11845">
        <v>0.0</v>
      </c>
      <c r="AB15" t="n" s="11846">
        <v>0.0</v>
      </c>
      <c r="AC15" t="n" s="11847">
        <v>0.0</v>
      </c>
      <c r="AD15" t="n" s="11848">
        <v>0.0</v>
      </c>
      <c r="AE15" s="11849">
        <f>y15+aa15+ac15</f>
      </c>
      <c r="AF15" s="11850">
        <f>z15+ab15+ad15</f>
      </c>
      <c r="AG15" t="n" s="11851">
        <v>198.0</v>
      </c>
      <c r="AH15" t="n" s="11852">
        <v>28.85</v>
      </c>
      <c r="AI15" t="n" s="11853">
        <v>3.3</v>
      </c>
      <c r="AJ15" s="11854">
        <f>x15+af15+ag15+ah15+ai15</f>
      </c>
      <c r="AK15" s="11855">
        <f>ROUND((l15+t15+af15+ag15+ah15+ai15+w15)*0.05,2)</f>
      </c>
      <c r="AL15" s="11856">
        <f>aj15+ak15</f>
      </c>
      <c r="AM15" s="11857">
        <f>80*0.06</f>
      </c>
      <c r="AN15" s="11858">
        <f>al15+am15</f>
      </c>
      <c r="AO15" t="s" s="11859">
        <v>0</v>
      </c>
    </row>
    <row r="16" ht="15.0" customHeight="true">
      <c r="A16" t="s" s="11860">
        <v>380</v>
      </c>
      <c r="B16" t="s" s="11861">
        <v>381</v>
      </c>
      <c r="C16" t="s" s="11862">
        <v>382</v>
      </c>
      <c r="D16" t="s" s="11863">
        <v>383</v>
      </c>
      <c r="E16" t="s" s="11864">
        <v>55</v>
      </c>
      <c r="F16" t="s" s="11865">
        <v>384</v>
      </c>
      <c r="G16" t="s" s="11866">
        <v>358</v>
      </c>
      <c r="H16" t="s" s="11867">
        <v>359</v>
      </c>
      <c r="I16" t="n" s="11868">
        <v>43831.0</v>
      </c>
      <c r="J16" t="n" s="11869">
        <v>44196.0</v>
      </c>
      <c r="K16" t="s" s="11870">
        <v>0</v>
      </c>
      <c r="L16" t="n" s="11871">
        <v>1420.0</v>
      </c>
      <c r="M16" t="n" s="11872">
        <v>0.0</v>
      </c>
      <c r="N16" t="n" s="11873">
        <v>0.0</v>
      </c>
      <c r="O16" s="11874">
        <f>M16*N16</f>
      </c>
      <c r="P16" t="n" s="11875">
        <v>0.0</v>
      </c>
      <c r="Q16" t="n" s="11876">
        <v>0.0</v>
      </c>
      <c r="R16" s="11877">
        <f>P16*Q16</f>
      </c>
      <c r="S16" t="n" s="11878">
        <v>1420.0</v>
      </c>
      <c r="T16" t="n" s="11879">
        <v>0.0</v>
      </c>
      <c r="U16" t="n" s="11880">
        <v>0.0</v>
      </c>
      <c r="V16" s="11881">
        <f>L16+O16+R16</f>
      </c>
      <c r="W16" t="n" s="11882">
        <v>1850.0</v>
      </c>
      <c r="X16" s="11883">
        <f>s16+t16+u16+w16</f>
      </c>
      <c r="Y16" t="n" s="11884">
        <v>0.0</v>
      </c>
      <c r="Z16" t="n" s="11885">
        <v>0.0</v>
      </c>
      <c r="AA16" t="n" s="11886">
        <v>0.0</v>
      </c>
      <c r="AB16" t="n" s="11887">
        <v>0.0</v>
      </c>
      <c r="AC16" t="n" s="11888">
        <v>0.0</v>
      </c>
      <c r="AD16" t="n" s="11889">
        <v>0.0</v>
      </c>
      <c r="AE16" s="11890">
        <f>y16+aa16+ac16</f>
      </c>
      <c r="AF16" s="11891">
        <f>z16+ab16+ad16</f>
      </c>
      <c r="AG16" t="n" s="11892">
        <v>448.0</v>
      </c>
      <c r="AH16" t="n" s="11893">
        <v>60.35</v>
      </c>
      <c r="AI16" t="n" s="11894">
        <v>6.9</v>
      </c>
      <c r="AJ16" s="11895">
        <f>x16+af16+ag16+ah16+ai16</f>
      </c>
      <c r="AK16" s="11896">
        <f>ROUND((l16+t16+af16+ag16+ah16+ai16+w16)*0.05,2)</f>
      </c>
      <c r="AL16" s="11897">
        <f>aj16+ak16</f>
      </c>
      <c r="AM16" s="11898">
        <f>80*0.06</f>
      </c>
      <c r="AN16" s="11899">
        <f>al16+am16</f>
      </c>
      <c r="AO16" t="s" s="11900">
        <v>0</v>
      </c>
    </row>
    <row r="17" ht="15.0" customHeight="true">
      <c r="A17" t="s" s="11901">
        <v>385</v>
      </c>
      <c r="B17" t="s" s="11902">
        <v>386</v>
      </c>
      <c r="C17" t="s" s="11903">
        <v>387</v>
      </c>
      <c r="D17" t="s" s="11904">
        <v>388</v>
      </c>
      <c r="E17" t="s" s="11905">
        <v>55</v>
      </c>
      <c r="F17" t="s" s="11906">
        <v>389</v>
      </c>
      <c r="G17" t="s" s="11907">
        <v>358</v>
      </c>
      <c r="H17" t="s" s="11908">
        <v>359</v>
      </c>
      <c r="I17" t="n" s="11909">
        <v>43831.0</v>
      </c>
      <c r="J17" t="n" s="11910">
        <v>44196.0</v>
      </c>
      <c r="K17" t="s" s="11911">
        <v>0</v>
      </c>
      <c r="L17" t="n" s="11912">
        <v>1360.0</v>
      </c>
      <c r="M17" t="n" s="11913">
        <v>0.0</v>
      </c>
      <c r="N17" t="n" s="11914">
        <v>0.0</v>
      </c>
      <c r="O17" s="11915">
        <f>M17*N17</f>
      </c>
      <c r="P17" t="n" s="11916">
        <v>0.0</v>
      </c>
      <c r="Q17" t="n" s="11917">
        <v>0.0</v>
      </c>
      <c r="R17" s="11918">
        <f>P17*Q17</f>
      </c>
      <c r="S17" t="n" s="11919">
        <v>1360.0</v>
      </c>
      <c r="T17" t="n" s="11920">
        <v>0.0</v>
      </c>
      <c r="U17" t="n" s="11921">
        <v>0.0</v>
      </c>
      <c r="V17" s="11922">
        <f>L17+O17+R17</f>
      </c>
      <c r="W17" t="n" s="11923">
        <v>500.0</v>
      </c>
      <c r="X17" s="11924">
        <f>s17+t17+u17+w17</f>
      </c>
      <c r="Y17" t="n" s="11925">
        <v>11.0</v>
      </c>
      <c r="Z17" t="n" s="11926">
        <v>107.91</v>
      </c>
      <c r="AA17" t="n" s="11927">
        <v>0.0</v>
      </c>
      <c r="AB17" t="n" s="11928">
        <v>0.0</v>
      </c>
      <c r="AC17" t="n" s="11929">
        <v>0.0</v>
      </c>
      <c r="AD17" t="n" s="11930">
        <v>0.0</v>
      </c>
      <c r="AE17" s="11931">
        <f>y17+aa17+ac17</f>
      </c>
      <c r="AF17" s="11932">
        <f>z17+ab17+ad17</f>
      </c>
      <c r="AG17" t="n" s="11933">
        <v>263.0</v>
      </c>
      <c r="AH17" t="n" s="11934">
        <v>37.65</v>
      </c>
      <c r="AI17" t="n" s="11935">
        <v>4.3</v>
      </c>
      <c r="AJ17" s="11936">
        <f>x17+af17+ag17+ah17+ai17</f>
      </c>
      <c r="AK17" s="11937">
        <f>ROUND((l17+t17+af17+ag17+ah17+ai17+w17)*0.05,2)</f>
      </c>
      <c r="AL17" s="11938">
        <f>aj17+ak17</f>
      </c>
      <c r="AM17" s="11939">
        <f>80*0.06</f>
      </c>
      <c r="AN17" s="11940">
        <f>al17+am17</f>
      </c>
      <c r="AO17" t="s" s="11941">
        <v>0</v>
      </c>
    </row>
    <row r="18" ht="15.0" customHeight="true">
      <c r="A18" t="s" s="11942">
        <v>390</v>
      </c>
      <c r="B18" t="s" s="11943">
        <v>391</v>
      </c>
      <c r="C18" t="s" s="11944">
        <v>392</v>
      </c>
      <c r="D18" t="s" s="11945">
        <v>393</v>
      </c>
      <c r="E18" t="s" s="11946">
        <v>55</v>
      </c>
      <c r="F18" t="s" s="11947">
        <v>394</v>
      </c>
      <c r="G18" t="s" s="11948">
        <v>358</v>
      </c>
      <c r="H18" t="s" s="11949">
        <v>359</v>
      </c>
      <c r="I18" t="n" s="11950">
        <v>43831.0</v>
      </c>
      <c r="J18" t="n" s="11951">
        <v>44196.0</v>
      </c>
      <c r="K18" t="s" s="11952">
        <v>0</v>
      </c>
      <c r="L18" t="n" s="11953">
        <v>2030.0</v>
      </c>
      <c r="M18" t="n" s="11954">
        <v>0.0</v>
      </c>
      <c r="N18" t="n" s="11955">
        <v>0.0</v>
      </c>
      <c r="O18" s="11956">
        <f>M18*N18</f>
      </c>
      <c r="P18" t="n" s="11957">
        <v>0.0</v>
      </c>
      <c r="Q18" t="n" s="11958">
        <v>0.0</v>
      </c>
      <c r="R18" s="11959">
        <f>P18*Q18</f>
      </c>
      <c r="S18" t="n" s="11960">
        <v>2030.0</v>
      </c>
      <c r="T18" t="n" s="11961">
        <v>0.0</v>
      </c>
      <c r="U18" t="n" s="11962">
        <v>0.0</v>
      </c>
      <c r="V18" s="11963">
        <f>L18+O18+R18</f>
      </c>
      <c r="W18" t="n" s="11964">
        <v>2000.0</v>
      </c>
      <c r="X18" s="11965">
        <f>s18+t18+u18+w18</f>
      </c>
      <c r="Y18" t="n" s="11966">
        <v>4.0</v>
      </c>
      <c r="Z18" t="n" s="11967">
        <v>58.56</v>
      </c>
      <c r="AA18" t="n" s="11968">
        <v>0.0</v>
      </c>
      <c r="AB18" t="n" s="11969">
        <v>0.0</v>
      </c>
      <c r="AC18" t="n" s="11970">
        <v>0.0</v>
      </c>
      <c r="AD18" t="n" s="11971">
        <v>0.0</v>
      </c>
      <c r="AE18" s="11972">
        <f>y18+aa18+ac18</f>
      </c>
      <c r="AF18" s="11973">
        <f>z18+ab18+ad18</f>
      </c>
      <c r="AG18" t="n" s="11974">
        <v>546.0</v>
      </c>
      <c r="AH18" t="n" s="11975">
        <v>69.05</v>
      </c>
      <c r="AI18" t="n" s="11976">
        <v>7.9</v>
      </c>
      <c r="AJ18" s="11977">
        <f>x18+af18+ag18+ah18+ai18</f>
      </c>
      <c r="AK18" s="11978">
        <f>ROUND((l18+t18+af18+ag18+ah18+ai18+w18)*0.05,2)</f>
      </c>
      <c r="AL18" s="11979">
        <f>aj18+ak18</f>
      </c>
      <c r="AM18" s="11980">
        <f>80*0.06</f>
      </c>
      <c r="AN18" s="11981">
        <f>al18+am18</f>
      </c>
      <c r="AO18" t="s" s="11982">
        <v>0</v>
      </c>
    </row>
    <row r="19" ht="15.0" customHeight="true">
      <c r="A19" t="s" s="11983">
        <v>395</v>
      </c>
      <c r="B19" t="s" s="11984">
        <v>396</v>
      </c>
      <c r="C19" t="s" s="11985">
        <v>397</v>
      </c>
      <c r="D19" t="s" s="11986">
        <v>398</v>
      </c>
      <c r="E19" t="s" s="11987">
        <v>55</v>
      </c>
      <c r="F19" t="s" s="11988">
        <v>399</v>
      </c>
      <c r="G19" t="s" s="11989">
        <v>358</v>
      </c>
      <c r="H19" t="s" s="11990">
        <v>359</v>
      </c>
      <c r="I19" t="n" s="11991">
        <v>43831.0</v>
      </c>
      <c r="J19" t="n" s="11992">
        <v>44196.0</v>
      </c>
      <c r="K19" t="s" s="11993">
        <v>0</v>
      </c>
      <c r="L19" t="n" s="11994">
        <v>1510.0</v>
      </c>
      <c r="M19" t="n" s="11995">
        <v>0.0</v>
      </c>
      <c r="N19" t="n" s="11996">
        <v>0.0</v>
      </c>
      <c r="O19" s="11997">
        <f>M19*N19</f>
      </c>
      <c r="P19" t="n" s="11998">
        <v>0.0</v>
      </c>
      <c r="Q19" t="n" s="11999">
        <v>0.0</v>
      </c>
      <c r="R19" s="12000">
        <f>P19*Q19</f>
      </c>
      <c r="S19" t="n" s="12001">
        <v>1510.0</v>
      </c>
      <c r="T19" t="n" s="12002">
        <v>0.0</v>
      </c>
      <c r="U19" t="n" s="12003">
        <v>0.0</v>
      </c>
      <c r="V19" s="12004">
        <f>L19+O19+R19</f>
      </c>
      <c r="W19" t="n" s="12005">
        <v>1650.0</v>
      </c>
      <c r="X19" s="12006">
        <f>s19+t19+u19+w19</f>
      </c>
      <c r="Y19" t="n" s="12007">
        <v>14.0</v>
      </c>
      <c r="Z19" t="n" s="12008">
        <v>152.46</v>
      </c>
      <c r="AA19" t="n" s="12009">
        <v>0.0</v>
      </c>
      <c r="AB19" t="n" s="12010">
        <v>0.0</v>
      </c>
      <c r="AC19" t="n" s="12011">
        <v>0.0</v>
      </c>
      <c r="AD19" t="n" s="12012">
        <v>0.0</v>
      </c>
      <c r="AE19" s="12013">
        <f>y19+aa19+ac19</f>
      </c>
      <c r="AF19" s="12014">
        <f>z19+ab19+ad19</f>
      </c>
      <c r="AG19" t="n" s="12015">
        <v>432.0</v>
      </c>
      <c r="AH19" t="n" s="12016">
        <v>60.35</v>
      </c>
      <c r="AI19" t="n" s="12017">
        <v>6.9</v>
      </c>
      <c r="AJ19" s="12018">
        <f>x19+af19+ag19+ah19+ai19</f>
      </c>
      <c r="AK19" s="12019">
        <f>ROUND((l19+t19+af19+ag19+ah19+ai19+w19)*0.05,2)</f>
      </c>
      <c r="AL19" s="12020">
        <f>aj19+ak19</f>
      </c>
      <c r="AM19" s="12021">
        <f>80*0.06</f>
      </c>
      <c r="AN19" s="12022">
        <f>al19+am19</f>
      </c>
      <c r="AO19" t="s" s="12023">
        <v>0</v>
      </c>
    </row>
    <row r="20" ht="15.0" customHeight="true">
      <c r="A20" t="s" s="12024">
        <v>400</v>
      </c>
      <c r="B20" t="s" s="12025">
        <v>401</v>
      </c>
      <c r="C20" t="s" s="12026">
        <v>402</v>
      </c>
      <c r="D20" t="s" s="12027">
        <v>403</v>
      </c>
      <c r="E20" t="s" s="12028">
        <v>55</v>
      </c>
      <c r="F20" t="s" s="12029">
        <v>404</v>
      </c>
      <c r="G20" t="s" s="12030">
        <v>358</v>
      </c>
      <c r="H20" t="s" s="12031">
        <v>359</v>
      </c>
      <c r="I20" t="n" s="12032">
        <v>43831.0</v>
      </c>
      <c r="J20" t="n" s="12033">
        <v>44196.0</v>
      </c>
      <c r="K20" t="s" s="12034">
        <v>0</v>
      </c>
      <c r="L20" t="n" s="12035">
        <v>1320.0</v>
      </c>
      <c r="M20" t="n" s="12036">
        <v>0.0</v>
      </c>
      <c r="N20" t="n" s="12037">
        <v>0.0</v>
      </c>
      <c r="O20" s="12038">
        <f>M20*N20</f>
      </c>
      <c r="P20" t="n" s="12039">
        <v>0.0</v>
      </c>
      <c r="Q20" t="n" s="12040">
        <v>0.0</v>
      </c>
      <c r="R20" s="12041">
        <f>P20*Q20</f>
      </c>
      <c r="S20" t="n" s="12042">
        <v>1320.0</v>
      </c>
      <c r="T20" t="n" s="12043">
        <v>0.0</v>
      </c>
      <c r="U20" t="n" s="12044">
        <v>0.0</v>
      </c>
      <c r="V20" s="12045">
        <f>L20+O20+R20</f>
      </c>
      <c r="W20" t="n" s="12046">
        <v>200.0</v>
      </c>
      <c r="X20" s="12047">
        <f>s20+t20+u20+w20</f>
      </c>
      <c r="Y20" t="n" s="12048">
        <v>14.0</v>
      </c>
      <c r="Z20" t="n" s="12049">
        <v>133.28</v>
      </c>
      <c r="AA20" t="n" s="12050">
        <v>0.0</v>
      </c>
      <c r="AB20" t="n" s="12051">
        <v>0.0</v>
      </c>
      <c r="AC20" t="n" s="12052">
        <v>0.0</v>
      </c>
      <c r="AD20" t="n" s="12053">
        <v>0.0</v>
      </c>
      <c r="AE20" s="12054">
        <f>y20+aa20+ac20</f>
      </c>
      <c r="AF20" s="12055">
        <f>z20+ab20+ad20</f>
      </c>
      <c r="AG20" t="n" s="12056">
        <v>219.0</v>
      </c>
      <c r="AH20" t="n" s="12057">
        <v>32.35</v>
      </c>
      <c r="AI20" t="n" s="12058">
        <v>3.7</v>
      </c>
      <c r="AJ20" s="12059">
        <f>x20+af20+ag20+ah20+ai20</f>
      </c>
      <c r="AK20" s="12060">
        <f>ROUND((l20+t20+af20+ag20+ah20+ai20+w20)*0.05,2)</f>
      </c>
      <c r="AL20" s="12061">
        <f>aj20+ak20</f>
      </c>
      <c r="AM20" s="12062">
        <f>80*0.06</f>
      </c>
      <c r="AN20" s="12063">
        <f>al20+am20</f>
      </c>
      <c r="AO20" t="s" s="12064">
        <v>0</v>
      </c>
    </row>
    <row r="21" ht="15.0" customHeight="true">
      <c r="A21" t="s" s="12065">
        <v>405</v>
      </c>
      <c r="B21" t="s" s="12066">
        <v>406</v>
      </c>
      <c r="C21" t="s" s="12067">
        <v>407</v>
      </c>
      <c r="D21" t="s" s="12068">
        <v>408</v>
      </c>
      <c r="E21" t="s" s="12069">
        <v>55</v>
      </c>
      <c r="F21" t="s" s="12070">
        <v>409</v>
      </c>
      <c r="G21" t="s" s="12071">
        <v>358</v>
      </c>
      <c r="H21" t="s" s="12072">
        <v>359</v>
      </c>
      <c r="I21" t="n" s="12073">
        <v>43831.0</v>
      </c>
      <c r="J21" t="n" s="12074">
        <v>44196.0</v>
      </c>
      <c r="K21" t="s" s="12075">
        <v>0</v>
      </c>
      <c r="L21" t="n" s="12076">
        <v>1400.0</v>
      </c>
      <c r="M21" t="n" s="12077">
        <v>0.0</v>
      </c>
      <c r="N21" t="n" s="12078">
        <v>0.0</v>
      </c>
      <c r="O21" s="12079">
        <f>M21*N21</f>
      </c>
      <c r="P21" t="n" s="12080">
        <v>0.0</v>
      </c>
      <c r="Q21" t="n" s="12081">
        <v>0.0</v>
      </c>
      <c r="R21" s="12082">
        <f>P21*Q21</f>
      </c>
      <c r="S21" t="n" s="12083">
        <v>1400.0</v>
      </c>
      <c r="T21" t="n" s="12084">
        <v>0.0</v>
      </c>
      <c r="U21" t="n" s="12085">
        <v>0.0</v>
      </c>
      <c r="V21" s="12086">
        <f>L21+O21+R21</f>
      </c>
      <c r="W21" t="n" s="12087">
        <v>500.0</v>
      </c>
      <c r="X21" s="12088">
        <f>s21+t21+u21+w21</f>
      </c>
      <c r="Y21" t="n" s="12089">
        <v>12.0</v>
      </c>
      <c r="Z21" t="n" s="12090">
        <v>121.2</v>
      </c>
      <c r="AA21" t="n" s="12091">
        <v>0.0</v>
      </c>
      <c r="AB21" t="n" s="12092">
        <v>0.0</v>
      </c>
      <c r="AC21" t="n" s="12093">
        <v>0.0</v>
      </c>
      <c r="AD21" t="n" s="12094">
        <v>0.0</v>
      </c>
      <c r="AE21" s="12095">
        <f>y21+aa21+ac21</f>
      </c>
      <c r="AF21" s="12096">
        <f>z21+ab21+ad21</f>
      </c>
      <c r="AG21" t="n" s="12097">
        <v>268.0</v>
      </c>
      <c r="AH21" t="n" s="12098">
        <v>37.65</v>
      </c>
      <c r="AI21" t="n" s="12099">
        <v>4.3</v>
      </c>
      <c r="AJ21" s="12100">
        <f>x21+af21+ag21+ah21+ai21</f>
      </c>
      <c r="AK21" s="12101">
        <f>ROUND((l21+t21+af21+ag21+ah21+ai21+w21)*0.05,2)</f>
      </c>
      <c r="AL21" s="12102">
        <f>aj21+ak21</f>
      </c>
      <c r="AM21" s="12103">
        <f>80*0.06</f>
      </c>
      <c r="AN21" s="12104">
        <f>al21+am21</f>
      </c>
      <c r="AO21" t="s" s="12105">
        <v>0</v>
      </c>
    </row>
    <row r="22" ht="15.0" customHeight="true">
      <c r="A22" t="s" s="12106">
        <v>410</v>
      </c>
      <c r="B22" t="s" s="12107">
        <v>411</v>
      </c>
      <c r="C22" t="s" s="12108">
        <v>412</v>
      </c>
      <c r="D22" t="s" s="12109">
        <v>413</v>
      </c>
      <c r="E22" t="s" s="12110">
        <v>55</v>
      </c>
      <c r="F22" t="s" s="12111">
        <v>414</v>
      </c>
      <c r="G22" t="s" s="12112">
        <v>358</v>
      </c>
      <c r="H22" t="s" s="12113">
        <v>359</v>
      </c>
      <c r="I22" t="n" s="12114">
        <v>43831.0</v>
      </c>
      <c r="J22" t="n" s="12115">
        <v>44196.0</v>
      </c>
      <c r="K22" t="s" s="12116">
        <v>0</v>
      </c>
      <c r="L22" t="n" s="12117">
        <v>1280.0</v>
      </c>
      <c r="M22" t="n" s="12118">
        <v>0.0</v>
      </c>
      <c r="N22" t="n" s="12119">
        <v>0.0</v>
      </c>
      <c r="O22" s="12120">
        <f>M22*N22</f>
      </c>
      <c r="P22" t="n" s="12121">
        <v>0.0</v>
      </c>
      <c r="Q22" t="n" s="12122">
        <v>0.0</v>
      </c>
      <c r="R22" s="12123">
        <f>P22*Q22</f>
      </c>
      <c r="S22" t="n" s="12124">
        <v>1280.0</v>
      </c>
      <c r="T22" t="n" s="12125">
        <v>0.0</v>
      </c>
      <c r="U22" t="n" s="12126">
        <v>0.0</v>
      </c>
      <c r="V22" s="12127">
        <f>L22+O22+R22</f>
      </c>
      <c r="W22" t="n" s="12128">
        <v>170.0</v>
      </c>
      <c r="X22" s="12129">
        <f>s22+t22+u22+w22</f>
      </c>
      <c r="Y22" t="n" s="12130">
        <v>8.0</v>
      </c>
      <c r="Z22" t="n" s="12131">
        <v>73.84</v>
      </c>
      <c r="AA22" t="n" s="12132">
        <v>0.0</v>
      </c>
      <c r="AB22" t="n" s="12133">
        <v>0.0</v>
      </c>
      <c r="AC22" t="n" s="12134">
        <v>0.0</v>
      </c>
      <c r="AD22" t="n" s="12135">
        <v>0.0</v>
      </c>
      <c r="AE22" s="12136">
        <f>y22+aa22+ac22</f>
      </c>
      <c r="AF22" s="12137">
        <f>z22+ab22+ad22</f>
      </c>
      <c r="AG22" t="n" s="12138">
        <v>211.0</v>
      </c>
      <c r="AH22" t="n" s="12139">
        <v>28.85</v>
      </c>
      <c r="AI22" t="n" s="12140">
        <v>3.3</v>
      </c>
      <c r="AJ22" s="12141">
        <f>x22+af22+ag22+ah22+ai22</f>
      </c>
      <c r="AK22" s="12142">
        <f>ROUND((l22+t22+af22+ag22+ah22+ai22+w22)*0.05,2)</f>
      </c>
      <c r="AL22" s="12143">
        <f>aj22+ak22</f>
      </c>
      <c r="AM22" s="12144">
        <f>80*0.06</f>
      </c>
      <c r="AN22" s="12145">
        <f>al22+am22</f>
      </c>
      <c r="AO22" t="s" s="12146">
        <v>0</v>
      </c>
    </row>
    <row r="23" ht="15.0" customHeight="true">
      <c r="A23" t="s" s="12147">
        <v>415</v>
      </c>
      <c r="B23" t="s" s="12148">
        <v>416</v>
      </c>
      <c r="C23" t="s" s="12149">
        <v>417</v>
      </c>
      <c r="D23" t="s" s="12150">
        <v>418</v>
      </c>
      <c r="E23" t="s" s="12151">
        <v>55</v>
      </c>
      <c r="F23" t="s" s="12152">
        <v>419</v>
      </c>
      <c r="G23" t="s" s="12153">
        <v>358</v>
      </c>
      <c r="H23" t="s" s="12154">
        <v>359</v>
      </c>
      <c r="I23" t="n" s="12155">
        <v>43831.0</v>
      </c>
      <c r="J23" t="n" s="12156">
        <v>44196.0</v>
      </c>
      <c r="K23" t="s" s="12157">
        <v>0</v>
      </c>
      <c r="L23" t="n" s="12158">
        <v>1280.0</v>
      </c>
      <c r="M23" t="n" s="12159">
        <v>0.0</v>
      </c>
      <c r="N23" t="n" s="12160">
        <v>0.0</v>
      </c>
      <c r="O23" s="12161">
        <f>M23*N23</f>
      </c>
      <c r="P23" t="n" s="12162">
        <v>0.0</v>
      </c>
      <c r="Q23" t="n" s="12163">
        <v>0.0</v>
      </c>
      <c r="R23" s="12164">
        <f>P23*Q23</f>
      </c>
      <c r="S23" t="n" s="12165">
        <v>1280.0</v>
      </c>
      <c r="T23" t="n" s="12166">
        <v>0.0</v>
      </c>
      <c r="U23" t="n" s="12167">
        <v>0.0</v>
      </c>
      <c r="V23" s="12168">
        <f>L23+O23+R23</f>
      </c>
      <c r="W23" t="n" s="12169">
        <v>530.0</v>
      </c>
      <c r="X23" s="12170">
        <f>s23+t23+u23+w23</f>
      </c>
      <c r="Y23" t="n" s="12171">
        <v>8.0</v>
      </c>
      <c r="Z23" t="n" s="12172">
        <v>73.84</v>
      </c>
      <c r="AA23" t="n" s="12173">
        <v>0.0</v>
      </c>
      <c r="AB23" t="n" s="12174">
        <v>0.0</v>
      </c>
      <c r="AC23" t="n" s="12175">
        <v>0.0</v>
      </c>
      <c r="AD23" t="n" s="12176">
        <v>0.0</v>
      </c>
      <c r="AE23" s="12177">
        <f>y23+aa23+ac23</f>
      </c>
      <c r="AF23" s="12178">
        <f>z23+ab23+ad23</f>
      </c>
      <c r="AG23" t="n" s="12179">
        <v>250.0</v>
      </c>
      <c r="AH23" t="n" s="12180">
        <v>34.15</v>
      </c>
      <c r="AI23" t="n" s="12181">
        <v>3.9</v>
      </c>
      <c r="AJ23" s="12182">
        <f>x23+af23+ag23+ah23+ai23</f>
      </c>
      <c r="AK23" s="12183">
        <f>ROUND((l23+t23+af23+ag23+ah23+ai23+w23)*0.05,2)</f>
      </c>
      <c r="AL23" s="12184">
        <f>aj23+ak23</f>
      </c>
      <c r="AM23" s="12185">
        <f>80*0.06</f>
      </c>
      <c r="AN23" s="12186">
        <f>al23+am23</f>
      </c>
      <c r="AO23" t="s" s="12187">
        <v>0</v>
      </c>
    </row>
    <row r="24" ht="15.0" customHeight="true">
      <c r="L24" t="s" s="12188">
        <v>0</v>
      </c>
      <c r="M24" t="s" s="12189">
        <v>0</v>
      </c>
      <c r="N24" t="s" s="12190">
        <v>0</v>
      </c>
      <c r="O24" t="s" s="12191">
        <v>0</v>
      </c>
      <c r="P24" t="s" s="12192">
        <v>0</v>
      </c>
      <c r="Q24" t="s" s="12193">
        <v>0</v>
      </c>
      <c r="R24" t="s" s="12194">
        <v>0</v>
      </c>
      <c r="S24" t="s" s="12195">
        <v>0</v>
      </c>
      <c r="T24" t="s" s="12196">
        <v>0</v>
      </c>
      <c r="U24" t="s" s="12197">
        <v>0</v>
      </c>
      <c r="V24" t="s" s="12198">
        <v>0</v>
      </c>
      <c r="W24" t="s" s="12199">
        <v>0</v>
      </c>
      <c r="X24" t="s" s="12200">
        <v>0</v>
      </c>
      <c r="Y24" t="s" s="12201">
        <v>0</v>
      </c>
      <c r="Z24" t="s" s="12202">
        <v>0</v>
      </c>
      <c r="AA24" t="s" s="12203">
        <v>0</v>
      </c>
      <c r="AB24" t="s" s="12204">
        <v>0</v>
      </c>
      <c r="AC24" t="s" s="12205">
        <v>0</v>
      </c>
      <c r="AD24" t="s" s="12206">
        <v>0</v>
      </c>
      <c r="AE24" t="s" s="12207">
        <v>0</v>
      </c>
      <c r="AF24" t="s" s="12208">
        <v>0</v>
      </c>
      <c r="AG24" t="s" s="12209">
        <v>0</v>
      </c>
      <c r="AH24" t="s" s="12210">
        <v>0</v>
      </c>
      <c r="AI24" t="s" s="12211">
        <v>0</v>
      </c>
      <c r="AJ24" t="s" s="12212">
        <v>0</v>
      </c>
      <c r="AK24" t="s" s="12213">
        <v>0</v>
      </c>
      <c r="AL24" t="s" s="12214">
        <v>0</v>
      </c>
    </row>
    <row r="25" ht="15.0" customHeight="true"/>
    <row r="26" ht="15.0" customHeight="true">
      <c r="A26" t="s" s="12215">
        <v>0</v>
      </c>
      <c r="B26" t="s" s="12216">
        <v>649</v>
      </c>
      <c r="C26" s="12217">
        <f>COUNTA(A11:A23)</f>
      </c>
      <c r="L26" s="12218">
        <f>SUM(l11:l23)</f>
      </c>
      <c r="M26" s="12219">
        <f>SUM(m11:m23)</f>
      </c>
      <c r="N26" t="s" s="12220">
        <v>0</v>
      </c>
      <c r="O26" s="12221">
        <f>SUM(o11:o23)</f>
      </c>
      <c r="P26" s="12222">
        <f>SUM(p11:p23)</f>
      </c>
      <c r="Q26" t="s" s="12223">
        <v>0</v>
      </c>
      <c r="R26" s="12224">
        <f>SUM(r11:r23)</f>
      </c>
      <c r="S26" s="12225">
        <f>SUM(s11:s23)</f>
      </c>
      <c r="T26" s="12226">
        <f>SUM(t11:t23)</f>
      </c>
      <c r="U26" s="12227">
        <f>SUM(u11:u23)</f>
      </c>
      <c r="V26" s="12228">
        <f>SUM(v11:v23)</f>
      </c>
      <c r="W26" s="12229">
        <f>SUM(w11:w23)</f>
      </c>
      <c r="X26" s="12230">
        <f>SUM(x11:x23)</f>
      </c>
      <c r="Y26" s="12231">
        <f>SUM(y11:y23)</f>
      </c>
      <c r="Z26" s="12232">
        <f>SUM(z11:z23)</f>
      </c>
      <c r="AA26" s="12233">
        <f>SUM(aa11:aa23)</f>
      </c>
      <c r="AB26" s="12234">
        <f>SUM(ab11:ab23)</f>
      </c>
      <c r="AC26" s="12235">
        <f>SUM(ac11:ac23)</f>
      </c>
      <c r="AD26" s="12236">
        <f>SUM(ad11:ad23)</f>
      </c>
      <c r="AE26" s="12237">
        <f>SUM(ae11:ae23)</f>
      </c>
      <c r="AF26" s="12238">
        <f>SUM(af11:af23)</f>
      </c>
      <c r="AG26" s="12239">
        <f>SUM(ag11:ag23)</f>
      </c>
      <c r="AH26" s="12240">
        <f>SUM(ah11:ah23)</f>
      </c>
      <c r="AI26" s="12241">
        <f>SUM(ai11:ai23)</f>
      </c>
      <c r="AJ26" s="12242">
        <f>SUM(aj11:aj23)</f>
      </c>
      <c r="AK26" s="12243">
        <f>SUM(ak11:ak23)</f>
      </c>
      <c r="AL26" s="12244">
        <f>SUM(al11:al23)</f>
      </c>
      <c r="AM26" s="12245">
        <f>SUM(am11:am23)</f>
      </c>
      <c r="AN26" s="12246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247">
        <v>0</v>
      </c>
      <c r="B1" t="s" s="12248">
        <v>1</v>
      </c>
      <c r="Y1" t="s" s="12249">
        <v>6</v>
      </c>
      <c r="Z1" t="n" s="12250">
        <v>2020.0</v>
      </c>
    </row>
    <row r="2" ht="15.0" customHeight="true">
      <c r="A2" t="s" s="12251">
        <v>0</v>
      </c>
      <c r="B2" t="s" s="12252">
        <v>2</v>
      </c>
      <c r="Y2" t="s" s="12253">
        <v>7</v>
      </c>
      <c r="Z2" t="n" s="12254">
        <v>2019.0</v>
      </c>
    </row>
    <row r="3" ht="15.0" customHeight="true">
      <c r="A3" t="s" s="12255">
        <v>0</v>
      </c>
      <c r="B3" t="s" s="12256">
        <v>3</v>
      </c>
    </row>
    <row r="4" ht="15.0" customHeight="true">
      <c r="A4" t="s" s="12257">
        <v>0</v>
      </c>
      <c r="B4" t="s" s="12258">
        <v>4</v>
      </c>
    </row>
    <row r="5" ht="15.0" customHeight="true">
      <c r="A5" t="s" s="12259">
        <v>0</v>
      </c>
      <c r="B5" t="s" s="12260">
        <v>5</v>
      </c>
    </row>
    <row r="6" ht="15.0" customHeight="true"/>
    <row r="7" ht="15.0" customHeight="true"/>
    <row r="8" ht="28.0" customHeight="true">
      <c r="A8" t="s" s="12261">
        <v>0</v>
      </c>
      <c r="B8" t="s" s="12262">
        <v>0</v>
      </c>
      <c r="C8" t="s" s="12263">
        <v>0</v>
      </c>
      <c r="D8" t="s" s="12264">
        <v>0</v>
      </c>
      <c r="E8" t="s" s="12265">
        <v>0</v>
      </c>
      <c r="F8" t="s" s="12266">
        <v>0</v>
      </c>
      <c r="G8" t="s" s="12267">
        <v>0</v>
      </c>
      <c r="H8" t="s" s="12268">
        <v>0</v>
      </c>
      <c r="I8" t="s" s="12269">
        <v>0</v>
      </c>
      <c r="J8" t="s" s="12270">
        <v>0</v>
      </c>
      <c r="K8" t="s" s="12271">
        <v>0</v>
      </c>
      <c r="L8" t="s" s="12272">
        <v>0</v>
      </c>
      <c r="M8" t="s" s="12273">
        <v>0</v>
      </c>
      <c r="N8" t="s" s="12274">
        <v>0</v>
      </c>
      <c r="O8" t="s" s="12275">
        <v>0</v>
      </c>
      <c r="P8" t="s" s="12276">
        <v>0</v>
      </c>
      <c r="Q8" t="s" s="12277">
        <v>0</v>
      </c>
      <c r="R8" t="s" s="12278">
        <v>0</v>
      </c>
      <c r="S8" t="s" s="12279">
        <v>0</v>
      </c>
      <c r="T8" t="s" s="12280">
        <v>0</v>
      </c>
      <c r="U8" t="s" s="12281">
        <v>0</v>
      </c>
      <c r="V8" t="s" s="12282">
        <v>0</v>
      </c>
      <c r="W8" t="s" s="12283">
        <v>0</v>
      </c>
      <c r="X8" t="s" s="12284">
        <v>0</v>
      </c>
      <c r="Y8" t="s" s="12285">
        <v>0</v>
      </c>
      <c r="Z8" t="s" s="12286">
        <v>0</v>
      </c>
      <c r="AA8" t="s" s="12287">
        <v>0</v>
      </c>
      <c r="AB8" t="s" s="12288">
        <v>0</v>
      </c>
      <c r="AC8" t="s" s="12289">
        <v>8</v>
      </c>
      <c r="AD8" t="s" s="12290">
        <v>0</v>
      </c>
      <c r="AE8" t="s" s="12291">
        <v>0</v>
      </c>
      <c r="AF8" t="s" s="12292">
        <v>0</v>
      </c>
      <c r="AG8" t="s" s="12293">
        <v>0</v>
      </c>
      <c r="AH8" t="s" s="12294">
        <v>0</v>
      </c>
      <c r="AI8" t="s" s="12295">
        <v>0</v>
      </c>
      <c r="AJ8" t="s" s="12296">
        <v>0</v>
      </c>
      <c r="AK8" t="s" s="12297">
        <v>0</v>
      </c>
      <c r="AL8" t="s" s="12298">
        <v>0</v>
      </c>
      <c r="AM8" t="s" s="12299">
        <v>0</v>
      </c>
      <c r="AN8" t="s" s="12300">
        <v>0</v>
      </c>
      <c r="AO8" t="s" s="12301">
        <v>0</v>
      </c>
    </row>
    <row r="9" ht="41.0" customHeight="true">
      <c r="A9" t="s" s="12302">
        <v>9</v>
      </c>
      <c r="B9" t="s" s="12303">
        <v>10</v>
      </c>
      <c r="C9" t="s" s="12304">
        <v>11</v>
      </c>
      <c r="D9" t="s" s="12305">
        <v>12</v>
      </c>
      <c r="E9" t="s" s="12306">
        <v>13</v>
      </c>
      <c r="F9" t="s" s="12307">
        <v>14</v>
      </c>
      <c r="G9" t="s" s="12308">
        <v>15</v>
      </c>
      <c r="H9" t="s" s="12309">
        <v>16</v>
      </c>
      <c r="I9" t="s" s="12310">
        <v>17</v>
      </c>
      <c r="J9" t="s" s="12311">
        <v>18</v>
      </c>
      <c r="K9" t="s" s="12312">
        <v>19</v>
      </c>
      <c r="L9" t="s" s="12313">
        <v>20</v>
      </c>
      <c r="M9" t="s" s="12314">
        <v>21</v>
      </c>
      <c r="N9" t="s" s="12315">
        <v>22</v>
      </c>
      <c r="O9" t="s" s="12316">
        <v>23</v>
      </c>
      <c r="P9" t="s" s="12317">
        <v>24</v>
      </c>
      <c r="Q9" t="s" s="12318">
        <v>25</v>
      </c>
      <c r="R9" t="s" s="12319">
        <v>26</v>
      </c>
      <c r="S9" t="s" s="12320">
        <v>27</v>
      </c>
      <c r="T9" t="s" s="12321">
        <v>28</v>
      </c>
      <c r="U9" t="s" s="12322">
        <v>29</v>
      </c>
      <c r="V9" t="s" s="12323">
        <v>30</v>
      </c>
      <c r="W9" t="s" s="12324">
        <v>31</v>
      </c>
      <c r="X9" t="s" s="12325">
        <v>32</v>
      </c>
      <c r="Y9" t="s" s="12326">
        <v>33</v>
      </c>
      <c r="Z9" t="s" s="12327">
        <v>34</v>
      </c>
      <c r="AA9" t="s" s="12328">
        <v>35</v>
      </c>
      <c r="AB9" t="s" s="12329">
        <v>36</v>
      </c>
      <c r="AC9" t="s" s="12330">
        <v>37</v>
      </c>
      <c r="AD9" t="s" s="12331">
        <v>38</v>
      </c>
      <c r="AE9" t="s" s="12332">
        <v>39</v>
      </c>
      <c r="AF9" t="s" s="12333">
        <v>40</v>
      </c>
      <c r="AG9" t="s" s="12334">
        <v>41</v>
      </c>
      <c r="AH9" t="s" s="12335">
        <v>42</v>
      </c>
      <c r="AI9" t="s" s="12336">
        <v>43</v>
      </c>
      <c r="AJ9" t="s" s="12337">
        <v>44</v>
      </c>
      <c r="AK9" t="s" s="12338">
        <v>45</v>
      </c>
      <c r="AL9" t="s" s="12339">
        <v>46</v>
      </c>
      <c r="AM9" t="s" s="12340">
        <v>47</v>
      </c>
      <c r="AN9" t="s" s="12341">
        <v>48</v>
      </c>
      <c r="AO9" t="s" s="12342">
        <v>49</v>
      </c>
    </row>
    <row r="10" ht="15.0" customHeight="true">
      <c r="A10" t="s" s="12343">
        <v>0</v>
      </c>
      <c r="B10" t="s" s="12344">
        <v>0</v>
      </c>
      <c r="C10" t="s" s="12345">
        <v>0</v>
      </c>
      <c r="D10" t="s" s="12346">
        <v>0</v>
      </c>
      <c r="E10" t="s" s="12347">
        <v>0</v>
      </c>
      <c r="F10" t="s" s="12348">
        <v>0</v>
      </c>
      <c r="G10" t="s" s="12349">
        <v>0</v>
      </c>
      <c r="H10" t="s" s="12350">
        <v>0</v>
      </c>
      <c r="I10" t="s" s="12351">
        <v>0</v>
      </c>
      <c r="J10" t="s" s="12352">
        <v>0</v>
      </c>
      <c r="K10" t="s" s="12353">
        <v>0</v>
      </c>
      <c r="L10" t="s" s="12354">
        <v>0</v>
      </c>
      <c r="M10" t="s" s="12355">
        <v>0</v>
      </c>
      <c r="N10" t="s" s="12356">
        <v>0</v>
      </c>
      <c r="O10" t="s" s="12357">
        <v>0</v>
      </c>
      <c r="P10" t="s" s="12358">
        <v>0</v>
      </c>
      <c r="Q10" t="s" s="12359">
        <v>0</v>
      </c>
      <c r="R10" t="s" s="12360">
        <v>0</v>
      </c>
      <c r="S10" t="s" s="12361">
        <v>0</v>
      </c>
      <c r="T10" t="s" s="12362">
        <v>0</v>
      </c>
      <c r="U10" t="s" s="12363">
        <v>0</v>
      </c>
      <c r="V10" t="s" s="12364">
        <v>0</v>
      </c>
      <c r="W10" t="s" s="12365">
        <v>0</v>
      </c>
      <c r="X10" t="s" s="12366">
        <v>0</v>
      </c>
      <c r="Y10" t="n" s="12367">
        <v>1.5</v>
      </c>
      <c r="Z10" t="n" s="12368">
        <v>1.5</v>
      </c>
      <c r="AA10" t="n" s="12369">
        <v>2.0</v>
      </c>
      <c r="AB10" t="n" s="12370">
        <v>2.0</v>
      </c>
      <c r="AC10" t="n" s="12371">
        <v>3.0</v>
      </c>
      <c r="AD10" t="n" s="12372">
        <v>3.0</v>
      </c>
      <c r="AE10" t="s" s="12373">
        <v>50</v>
      </c>
      <c r="AF10" t="s" s="12374">
        <v>50</v>
      </c>
      <c r="AG10" t="s" s="12375">
        <v>0</v>
      </c>
      <c r="AH10" t="s" s="12376">
        <v>0</v>
      </c>
      <c r="AI10" t="s" s="12377">
        <v>0</v>
      </c>
      <c r="AJ10" t="s" s="12378">
        <v>0</v>
      </c>
      <c r="AK10" t="s" s="12379">
        <v>0</v>
      </c>
      <c r="AL10" t="s" s="12380">
        <v>0</v>
      </c>
      <c r="AM10" t="s" s="12381">
        <v>0</v>
      </c>
      <c r="AN10" t="s" s="12382">
        <v>0</v>
      </c>
      <c r="AO10" t="s" s="12383">
        <v>0</v>
      </c>
    </row>
    <row r="11" ht="15.0" customHeight="true">
      <c r="A11" t="s" s="12384">
        <v>420</v>
      </c>
      <c r="B11" t="s" s="12385">
        <v>421</v>
      </c>
      <c r="C11" t="s" s="12386">
        <v>422</v>
      </c>
      <c r="D11" t="s" s="12387">
        <v>423</v>
      </c>
      <c r="E11" t="s" s="12388">
        <v>55</v>
      </c>
      <c r="F11" t="s" s="12389">
        <v>424</v>
      </c>
      <c r="G11" t="s" s="12390">
        <v>425</v>
      </c>
      <c r="H11" t="s" s="12391">
        <v>426</v>
      </c>
      <c r="I11" t="n" s="12392">
        <v>43831.0</v>
      </c>
      <c r="J11" t="n" s="12393">
        <v>44196.0</v>
      </c>
      <c r="K11" t="s" s="12394">
        <v>0</v>
      </c>
      <c r="L11" t="n" s="12395">
        <v>1640.0</v>
      </c>
      <c r="M11" t="n" s="12396">
        <v>0.0</v>
      </c>
      <c r="N11" t="n" s="12397">
        <v>0.0</v>
      </c>
      <c r="O11" s="12398">
        <f>M11*N11</f>
      </c>
      <c r="P11" t="n" s="12399">
        <v>0.0</v>
      </c>
      <c r="Q11" t="n" s="12400">
        <v>0.0</v>
      </c>
      <c r="R11" s="12401">
        <f>P11*Q11</f>
      </c>
      <c r="S11" t="n" s="12402">
        <v>1640.0</v>
      </c>
      <c r="T11" t="n" s="12403">
        <v>0.0</v>
      </c>
      <c r="U11" t="n" s="12404">
        <v>8.0</v>
      </c>
      <c r="V11" s="12405">
        <f>L11+O11+R11</f>
      </c>
      <c r="W11" t="n" s="12406">
        <v>1574.0</v>
      </c>
      <c r="X11" s="12407">
        <f>s11+t11+u11+w11</f>
      </c>
      <c r="Y11" t="n" s="12408">
        <v>22.0</v>
      </c>
      <c r="Z11" t="n" s="12409">
        <v>260.26</v>
      </c>
      <c r="AA11" t="n" s="12410">
        <v>0.0</v>
      </c>
      <c r="AB11" t="n" s="12411">
        <v>0.0</v>
      </c>
      <c r="AC11" t="n" s="12412">
        <v>0.0</v>
      </c>
      <c r="AD11" t="n" s="12413">
        <v>0.0</v>
      </c>
      <c r="AE11" s="12414">
        <f>y11+aa11+ac11</f>
      </c>
      <c r="AF11" s="12415">
        <f>z11+ab11+ad11</f>
      </c>
      <c r="AG11" t="n" s="12416">
        <v>432.0</v>
      </c>
      <c r="AH11" t="n" s="12417">
        <v>62.15</v>
      </c>
      <c r="AI11" t="n" s="12418">
        <v>7.1</v>
      </c>
      <c r="AJ11" s="12419">
        <f>x11+af11+ag11+ah11+ai11</f>
      </c>
      <c r="AK11" s="12420">
        <f>ROUND((l11+t11+af11+ag11+ah11+ai11+w11)*0.05,2)</f>
      </c>
      <c r="AL11" s="12421">
        <f>aj11+ak11</f>
      </c>
      <c r="AM11" s="12422">
        <f>88*0.06</f>
      </c>
      <c r="AN11" s="12423">
        <f>al11+am11</f>
      </c>
      <c r="AO11" t="s" s="12424">
        <v>0</v>
      </c>
    </row>
    <row r="12" ht="15.0" customHeight="true">
      <c r="A12" t="s" s="12425">
        <v>427</v>
      </c>
      <c r="B12" t="s" s="12426">
        <v>428</v>
      </c>
      <c r="C12" t="s" s="12427">
        <v>429</v>
      </c>
      <c r="D12" t="s" s="12428">
        <v>430</v>
      </c>
      <c r="E12" t="s" s="12429">
        <v>55</v>
      </c>
      <c r="F12" t="s" s="12430">
        <v>431</v>
      </c>
      <c r="G12" t="s" s="12431">
        <v>425</v>
      </c>
      <c r="H12" t="s" s="12432">
        <v>426</v>
      </c>
      <c r="I12" t="n" s="12433">
        <v>43831.0</v>
      </c>
      <c r="J12" t="n" s="12434">
        <v>44196.0</v>
      </c>
      <c r="K12" t="s" s="12435">
        <v>0</v>
      </c>
      <c r="L12" t="n" s="12436">
        <v>1330.0</v>
      </c>
      <c r="M12" t="n" s="12437">
        <v>0.0</v>
      </c>
      <c r="N12" t="n" s="12438">
        <v>0.0</v>
      </c>
      <c r="O12" s="12439">
        <f>M12*N12</f>
      </c>
      <c r="P12" t="n" s="12440">
        <v>0.0</v>
      </c>
      <c r="Q12" t="n" s="12441">
        <v>0.0</v>
      </c>
      <c r="R12" s="12442">
        <f>P12*Q12</f>
      </c>
      <c r="S12" t="n" s="12443">
        <v>1330.0</v>
      </c>
      <c r="T12" t="n" s="12444">
        <v>0.0</v>
      </c>
      <c r="U12" t="n" s="12445">
        <v>0.0</v>
      </c>
      <c r="V12" s="12446">
        <f>L12+O12+R12</f>
      </c>
      <c r="W12" t="n" s="12447">
        <v>1000.0</v>
      </c>
      <c r="X12" s="12448">
        <f>s12+t12+u12+w12</f>
      </c>
      <c r="Y12" t="n" s="12449">
        <v>6.0</v>
      </c>
      <c r="Z12" t="n" s="12450">
        <v>57.54</v>
      </c>
      <c r="AA12" t="n" s="12451">
        <v>0.0</v>
      </c>
      <c r="AB12" t="n" s="12452">
        <v>0.0</v>
      </c>
      <c r="AC12" t="n" s="12453">
        <v>0.0</v>
      </c>
      <c r="AD12" t="n" s="12454">
        <v>0.0</v>
      </c>
      <c r="AE12" s="12455">
        <f>y12+aa12+ac12</f>
      </c>
      <c r="AF12" s="12456">
        <f>z12+ab12+ad12</f>
      </c>
      <c r="AG12" t="n" s="12457">
        <v>318.0</v>
      </c>
      <c r="AH12" t="n" s="12458">
        <v>42.85</v>
      </c>
      <c r="AI12" t="n" s="12459">
        <v>4.9</v>
      </c>
      <c r="AJ12" s="12460">
        <f>x12+af12+ag12+ah12+ai12</f>
      </c>
      <c r="AK12" s="12461">
        <f>ROUND((l12+t12+af12+ag12+ah12+ai12+w12)*0.05,2)</f>
      </c>
      <c r="AL12" s="12462">
        <f>aj12+ak12</f>
      </c>
      <c r="AM12" s="12463">
        <f>80*0.06</f>
      </c>
      <c r="AN12" s="12464">
        <f>al12+am12</f>
      </c>
      <c r="AO12" t="s" s="12465">
        <v>0</v>
      </c>
    </row>
    <row r="13" ht="15.0" customHeight="true">
      <c r="A13" t="s" s="12466">
        <v>432</v>
      </c>
      <c r="B13" t="s" s="12467">
        <v>433</v>
      </c>
      <c r="C13" t="s" s="12468">
        <v>434</v>
      </c>
      <c r="D13" t="s" s="12469">
        <v>435</v>
      </c>
      <c r="E13" t="s" s="12470">
        <v>55</v>
      </c>
      <c r="F13" t="s" s="12471">
        <v>424</v>
      </c>
      <c r="G13" t="s" s="12472">
        <v>425</v>
      </c>
      <c r="H13" t="s" s="12473">
        <v>426</v>
      </c>
      <c r="I13" t="n" s="12474">
        <v>43831.0</v>
      </c>
      <c r="J13" t="n" s="12475">
        <v>44196.0</v>
      </c>
      <c r="K13" t="s" s="12476">
        <v>0</v>
      </c>
      <c r="L13" t="n" s="12477">
        <v>1950.0</v>
      </c>
      <c r="M13" t="n" s="12478">
        <v>0.0</v>
      </c>
      <c r="N13" t="n" s="12479">
        <v>0.0</v>
      </c>
      <c r="O13" s="12480">
        <f>M13*N13</f>
      </c>
      <c r="P13" t="n" s="12481">
        <v>0.0</v>
      </c>
      <c r="Q13" t="n" s="12482">
        <v>0.0</v>
      </c>
      <c r="R13" s="12483">
        <f>P13*Q13</f>
      </c>
      <c r="S13" t="n" s="12484">
        <v>1950.0</v>
      </c>
      <c r="T13" t="n" s="12485">
        <v>0.0</v>
      </c>
      <c r="U13" t="n" s="12486">
        <v>0.0</v>
      </c>
      <c r="V13" s="12487">
        <f>L13+O13+R13</f>
      </c>
      <c r="W13" t="n" s="12488">
        <v>2199.0</v>
      </c>
      <c r="X13" s="12489">
        <f>s13+t13+u13+w13</f>
      </c>
      <c r="Y13" t="n" s="12490">
        <v>16.0</v>
      </c>
      <c r="Z13" t="n" s="12491">
        <v>224.96</v>
      </c>
      <c r="AA13" t="n" s="12492">
        <v>0.0</v>
      </c>
      <c r="AB13" t="n" s="12493">
        <v>0.0</v>
      </c>
      <c r="AC13" t="n" s="12494">
        <v>0.0</v>
      </c>
      <c r="AD13" t="n" s="12495">
        <v>0.0</v>
      </c>
      <c r="AE13" s="12496">
        <f>y13+aa13+ac13</f>
      </c>
      <c r="AF13" s="12497">
        <f>z13+ab13+ad13</f>
      </c>
      <c r="AG13" t="n" s="12498">
        <v>554.0</v>
      </c>
      <c r="AH13" t="n" s="12499">
        <v>69.05</v>
      </c>
      <c r="AI13" t="n" s="12500">
        <v>7.9</v>
      </c>
      <c r="AJ13" s="12501">
        <f>x13+af13+ag13+ah13+ai13</f>
      </c>
      <c r="AK13" s="12502">
        <f>ROUND((l13+t13+af13+ag13+ah13+ai13+w13)*0.05,2)</f>
      </c>
      <c r="AL13" s="12503">
        <f>aj13+ak13</f>
      </c>
      <c r="AM13" s="12504">
        <f>80*0.06</f>
      </c>
      <c r="AN13" s="12505">
        <f>al13+am13</f>
      </c>
      <c r="AO13" t="s" s="12506">
        <v>0</v>
      </c>
    </row>
    <row r="14" ht="15.0" customHeight="true">
      <c r="A14" t="s" s="12507">
        <v>436</v>
      </c>
      <c r="B14" t="s" s="12508">
        <v>437</v>
      </c>
      <c r="C14" t="s" s="12509">
        <v>438</v>
      </c>
      <c r="D14" t="s" s="12510">
        <v>439</v>
      </c>
      <c r="E14" t="s" s="12511">
        <v>55</v>
      </c>
      <c r="F14" t="s" s="12512">
        <v>440</v>
      </c>
      <c r="G14" t="s" s="12513">
        <v>425</v>
      </c>
      <c r="H14" t="s" s="12514">
        <v>426</v>
      </c>
      <c r="I14" t="n" s="12515">
        <v>43831.0</v>
      </c>
      <c r="J14" t="n" s="12516">
        <v>44196.0</v>
      </c>
      <c r="K14" t="s" s="12517">
        <v>0</v>
      </c>
      <c r="L14" t="n" s="12518">
        <v>1700.0</v>
      </c>
      <c r="M14" t="n" s="12519">
        <v>0.0</v>
      </c>
      <c r="N14" t="n" s="12520">
        <v>0.0</v>
      </c>
      <c r="O14" s="12521">
        <f>M14*N14</f>
      </c>
      <c r="P14" t="n" s="12522">
        <v>0.0</v>
      </c>
      <c r="Q14" t="n" s="12523">
        <v>0.0</v>
      </c>
      <c r="R14" s="12524">
        <f>P14*Q14</f>
      </c>
      <c r="S14" t="n" s="12525">
        <v>1700.0</v>
      </c>
      <c r="T14" t="n" s="12526">
        <v>0.0</v>
      </c>
      <c r="U14" t="n" s="12527">
        <v>0.0</v>
      </c>
      <c r="V14" s="12528">
        <f>L14+O14+R14</f>
      </c>
      <c r="W14" t="n" s="12529">
        <v>483.47</v>
      </c>
      <c r="X14" s="12530">
        <f>s14+t14+u14+w14</f>
      </c>
      <c r="Y14" t="n" s="12531">
        <v>4.0</v>
      </c>
      <c r="Z14" t="n" s="12532">
        <v>49.04</v>
      </c>
      <c r="AA14" t="n" s="12533">
        <v>0.0</v>
      </c>
      <c r="AB14" t="n" s="12534">
        <v>0.0</v>
      </c>
      <c r="AC14" t="n" s="12535">
        <v>0.0</v>
      </c>
      <c r="AD14" t="n" s="12536">
        <v>0.0</v>
      </c>
      <c r="AE14" s="12537">
        <f>y14+aa14+ac14</f>
      </c>
      <c r="AF14" s="12538">
        <f>z14+ab14+ad14</f>
      </c>
      <c r="AG14" t="n" s="12539">
        <v>299.0</v>
      </c>
      <c r="AH14" t="n" s="12540">
        <v>41.15</v>
      </c>
      <c r="AI14" t="n" s="12541">
        <v>4.7</v>
      </c>
      <c r="AJ14" s="12542">
        <f>x14+af14+ag14+ah14+ai14</f>
      </c>
      <c r="AK14" s="12543">
        <f>ROUND((l14+t14+af14+ag14+ah14+ai14+w14)*0.05,2)</f>
      </c>
      <c r="AL14" s="12544">
        <f>aj14+ak14</f>
      </c>
      <c r="AM14" s="12545">
        <f>80*0.06</f>
      </c>
      <c r="AN14" s="12546">
        <f>al14+am14</f>
      </c>
      <c r="AO14" t="s" s="12547">
        <v>0</v>
      </c>
    </row>
    <row r="15" ht="15.0" customHeight="true">
      <c r="A15" t="s" s="12548">
        <v>441</v>
      </c>
      <c r="B15" t="s" s="12549">
        <v>442</v>
      </c>
      <c r="C15" t="s" s="12550">
        <v>443</v>
      </c>
      <c r="D15" t="s" s="12551">
        <v>444</v>
      </c>
      <c r="E15" t="s" s="12552">
        <v>55</v>
      </c>
      <c r="F15" t="s" s="12553">
        <v>424</v>
      </c>
      <c r="G15" t="s" s="12554">
        <v>425</v>
      </c>
      <c r="H15" t="s" s="12555">
        <v>426</v>
      </c>
      <c r="I15" t="n" s="12556">
        <v>43831.0</v>
      </c>
      <c r="J15" t="n" s="12557">
        <v>44196.0</v>
      </c>
      <c r="K15" t="s" s="12558">
        <v>0</v>
      </c>
      <c r="L15" t="n" s="12559">
        <v>1580.0</v>
      </c>
      <c r="M15" t="n" s="12560">
        <v>0.0</v>
      </c>
      <c r="N15" t="n" s="12561">
        <v>0.0</v>
      </c>
      <c r="O15" s="12562">
        <f>M15*N15</f>
      </c>
      <c r="P15" t="n" s="12563">
        <v>0.0</v>
      </c>
      <c r="Q15" t="n" s="12564">
        <v>0.0</v>
      </c>
      <c r="R15" s="12565">
        <f>P15*Q15</f>
      </c>
      <c r="S15" t="n" s="12566">
        <v>1580.0</v>
      </c>
      <c r="T15" t="n" s="12567">
        <v>0.0</v>
      </c>
      <c r="U15" t="n" s="12568">
        <v>0.0</v>
      </c>
      <c r="V15" s="12569">
        <f>L15+O15+R15</f>
      </c>
      <c r="W15" t="n" s="12570">
        <v>1752.0</v>
      </c>
      <c r="X15" s="12571">
        <f>s15+t15+u15+w15</f>
      </c>
      <c r="Y15" t="n" s="12572">
        <v>22.0</v>
      </c>
      <c r="Z15" t="n" s="12573">
        <v>250.58</v>
      </c>
      <c r="AA15" t="n" s="12574">
        <v>0.0</v>
      </c>
      <c r="AB15" t="n" s="12575">
        <v>0.0</v>
      </c>
      <c r="AC15" t="n" s="12576">
        <v>0.0</v>
      </c>
      <c r="AD15" t="n" s="12577">
        <v>0.0</v>
      </c>
      <c r="AE15" s="12578">
        <f>y15+aa15+ac15</f>
      </c>
      <c r="AF15" s="12579">
        <f>z15+ab15+ad15</f>
      </c>
      <c r="AG15" t="n" s="12580">
        <v>448.0</v>
      </c>
      <c r="AH15" t="n" s="12581">
        <v>63.85</v>
      </c>
      <c r="AI15" t="n" s="12582">
        <v>7.3</v>
      </c>
      <c r="AJ15" s="12583">
        <f>x15+af15+ag15+ah15+ai15</f>
      </c>
      <c r="AK15" s="12584">
        <f>ROUND((l15+t15+af15+ag15+ah15+ai15+w15)*0.05,2)</f>
      </c>
      <c r="AL15" s="12585">
        <f>aj15+ak15</f>
      </c>
      <c r="AM15" s="12586">
        <f>80*0.06</f>
      </c>
      <c r="AN15" s="12587">
        <f>al15+am15</f>
      </c>
      <c r="AO15" t="s" s="12588">
        <v>0</v>
      </c>
    </row>
    <row r="16" ht="15.0" customHeight="true">
      <c r="A16" t="s" s="12589">
        <v>445</v>
      </c>
      <c r="B16" t="s" s="12590">
        <v>446</v>
      </c>
      <c r="C16" t="s" s="12591">
        <v>447</v>
      </c>
      <c r="D16" t="s" s="12592">
        <v>448</v>
      </c>
      <c r="E16" t="s" s="12593">
        <v>55</v>
      </c>
      <c r="F16" t="s" s="12594">
        <v>449</v>
      </c>
      <c r="G16" t="s" s="12595">
        <v>425</v>
      </c>
      <c r="H16" t="s" s="12596">
        <v>426</v>
      </c>
      <c r="I16" t="n" s="12597">
        <v>43831.0</v>
      </c>
      <c r="J16" t="n" s="12598">
        <v>43861.0</v>
      </c>
      <c r="K16" t="s" s="12599">
        <v>0</v>
      </c>
      <c r="L16" t="n" s="12600">
        <v>2030.0</v>
      </c>
      <c r="M16" t="n" s="12601">
        <v>0.0</v>
      </c>
      <c r="N16" t="n" s="12602">
        <v>0.0</v>
      </c>
      <c r="O16" s="12603">
        <f>M16*N16</f>
      </c>
      <c r="P16" t="n" s="12604">
        <v>0.0</v>
      </c>
      <c r="Q16" t="n" s="12605">
        <v>0.0</v>
      </c>
      <c r="R16" s="12606">
        <f>P16*Q16</f>
      </c>
      <c r="S16" t="n" s="12607">
        <v>2030.0</v>
      </c>
      <c r="T16" t="n" s="12608">
        <v>0.0</v>
      </c>
      <c r="U16" t="n" s="12609">
        <v>2.0</v>
      </c>
      <c r="V16" s="12610">
        <f>L16+O16+R16</f>
      </c>
      <c r="W16" t="n" s="12611">
        <v>0.0</v>
      </c>
      <c r="X16" s="12612">
        <f>s16+t16+u16+w16</f>
      </c>
      <c r="Y16" t="n" s="12613">
        <v>0.0</v>
      </c>
      <c r="Z16" t="n" s="12614">
        <v>0.0</v>
      </c>
      <c r="AA16" t="n" s="12615">
        <v>0.0</v>
      </c>
      <c r="AB16" t="n" s="12616">
        <v>0.0</v>
      </c>
      <c r="AC16" t="n" s="12617">
        <v>0.0</v>
      </c>
      <c r="AD16" t="n" s="12618">
        <v>0.0</v>
      </c>
      <c r="AE16" s="12619">
        <f>y16+aa16+ac16</f>
      </c>
      <c r="AF16" s="12620">
        <f>z16+ab16+ad16</f>
      </c>
      <c r="AG16" t="n" s="12621">
        <v>279.0</v>
      </c>
      <c r="AH16" t="n" s="12622">
        <v>37.65</v>
      </c>
      <c r="AI16" t="n" s="12623">
        <v>4.3</v>
      </c>
      <c r="AJ16" s="12624">
        <f>x16+af16+ag16+ah16+ai16</f>
      </c>
      <c r="AK16" s="12625">
        <f>ROUND((l16+t16+af16+ag16+ah16+ai16+w16)*0.05,2)</f>
      </c>
      <c r="AL16" s="12626">
        <f>aj16+ak16</f>
      </c>
      <c r="AM16" s="12627">
        <f>82*0.06</f>
      </c>
      <c r="AN16" s="12628">
        <f>al16+am16</f>
      </c>
      <c r="AO16" t="s" s="12629">
        <v>0</v>
      </c>
    </row>
    <row r="17" ht="15.0" customHeight="true">
      <c r="A17" t="s" s="12630">
        <v>450</v>
      </c>
      <c r="B17" t="s" s="12631">
        <v>451</v>
      </c>
      <c r="C17" t="s" s="12632">
        <v>452</v>
      </c>
      <c r="D17" t="s" s="12633">
        <v>453</v>
      </c>
      <c r="E17" t="s" s="12634">
        <v>55</v>
      </c>
      <c r="F17" t="s" s="12635">
        <v>454</v>
      </c>
      <c r="G17" t="s" s="12636">
        <v>425</v>
      </c>
      <c r="H17" t="s" s="12637">
        <v>426</v>
      </c>
      <c r="I17" t="n" s="12638">
        <v>43831.0</v>
      </c>
      <c r="J17" t="n" s="12639">
        <v>44196.0</v>
      </c>
      <c r="K17" t="s" s="12640">
        <v>0</v>
      </c>
      <c r="L17" t="n" s="12641">
        <v>1710.0</v>
      </c>
      <c r="M17" t="n" s="12642">
        <v>0.0</v>
      </c>
      <c r="N17" t="n" s="12643">
        <v>0.0</v>
      </c>
      <c r="O17" s="12644">
        <f>M17*N17</f>
      </c>
      <c r="P17" t="n" s="12645">
        <v>0.0</v>
      </c>
      <c r="Q17" t="n" s="12646">
        <v>0.0</v>
      </c>
      <c r="R17" s="12647">
        <f>P17*Q17</f>
      </c>
      <c r="S17" t="n" s="12648">
        <v>1710.0</v>
      </c>
      <c r="T17" t="n" s="12649">
        <v>0.0</v>
      </c>
      <c r="U17" t="n" s="12650">
        <v>0.0</v>
      </c>
      <c r="V17" s="12651">
        <f>L17+O17+R17</f>
      </c>
      <c r="W17" t="n" s="12652">
        <v>0.0</v>
      </c>
      <c r="X17" s="12653">
        <f>s17+t17+u17+w17</f>
      </c>
      <c r="Y17" t="n" s="12654">
        <v>4.0</v>
      </c>
      <c r="Z17" t="n" s="12655">
        <v>49.32</v>
      </c>
      <c r="AA17" t="n" s="12656">
        <v>0.0</v>
      </c>
      <c r="AB17" t="n" s="12657">
        <v>0.0</v>
      </c>
      <c r="AC17" t="n" s="12658">
        <v>0.0</v>
      </c>
      <c r="AD17" t="n" s="12659">
        <v>0.0</v>
      </c>
      <c r="AE17" s="12660">
        <f>y17+aa17+ac17</f>
      </c>
      <c r="AF17" s="12661">
        <f>z17+ab17+ad17</f>
      </c>
      <c r="AG17" t="n" s="12662">
        <v>237.0</v>
      </c>
      <c r="AH17" t="n" s="12663">
        <v>32.35</v>
      </c>
      <c r="AI17" t="n" s="12664">
        <v>3.7</v>
      </c>
      <c r="AJ17" s="12665">
        <f>x17+af17+ag17+ah17+ai17</f>
      </c>
      <c r="AK17" s="12666">
        <f>ROUND((l17+t17+af17+ag17+ah17+ai17+w17)*0.05,2)</f>
      </c>
      <c r="AL17" s="12667">
        <f>aj17+ak17</f>
      </c>
      <c r="AM17" s="12668">
        <f>80*0.06</f>
      </c>
      <c r="AN17" s="12669">
        <f>al17+am17</f>
      </c>
      <c r="AO17" t="s" s="12670">
        <v>0</v>
      </c>
    </row>
    <row r="18" ht="15.0" customHeight="true">
      <c r="A18" t="s" s="12671">
        <v>455</v>
      </c>
      <c r="B18" t="s" s="12672">
        <v>456</v>
      </c>
      <c r="C18" t="s" s="12673">
        <v>457</v>
      </c>
      <c r="D18" t="s" s="12674">
        <v>458</v>
      </c>
      <c r="E18" t="s" s="12675">
        <v>55</v>
      </c>
      <c r="F18" t="s" s="12676">
        <v>459</v>
      </c>
      <c r="G18" t="s" s="12677">
        <v>425</v>
      </c>
      <c r="H18" t="s" s="12678">
        <v>426</v>
      </c>
      <c r="I18" t="n" s="12679">
        <v>43831.0</v>
      </c>
      <c r="J18" t="n" s="12680">
        <v>44196.0</v>
      </c>
      <c r="K18" t="s" s="12681">
        <v>0</v>
      </c>
      <c r="L18" t="n" s="12682">
        <v>1300.0</v>
      </c>
      <c r="M18" t="n" s="12683">
        <v>0.0</v>
      </c>
      <c r="N18" t="n" s="12684">
        <v>0.0</v>
      </c>
      <c r="O18" s="12685">
        <f>M18*N18</f>
      </c>
      <c r="P18" t="n" s="12686">
        <v>0.0</v>
      </c>
      <c r="Q18" t="n" s="12687">
        <v>0.0</v>
      </c>
      <c r="R18" s="12688">
        <f>P18*Q18</f>
      </c>
      <c r="S18" t="n" s="12689">
        <v>1300.0</v>
      </c>
      <c r="T18" t="n" s="12690">
        <v>0.0</v>
      </c>
      <c r="U18" t="n" s="12691">
        <v>0.0</v>
      </c>
      <c r="V18" s="12692">
        <f>L18+O18+R18</f>
      </c>
      <c r="W18" t="n" s="12693">
        <v>0.0</v>
      </c>
      <c r="X18" s="12694">
        <f>s18+t18+u18+w18</f>
      </c>
      <c r="Y18" t="n" s="12695">
        <v>7.0</v>
      </c>
      <c r="Z18" t="n" s="12696">
        <v>65.66</v>
      </c>
      <c r="AA18" t="n" s="12697">
        <v>0.0</v>
      </c>
      <c r="AB18" t="n" s="12698">
        <v>0.0</v>
      </c>
      <c r="AC18" t="n" s="12699">
        <v>0.0</v>
      </c>
      <c r="AD18" t="n" s="12700">
        <v>0.0</v>
      </c>
      <c r="AE18" s="12701">
        <f>y18+aa18+ac18</f>
      </c>
      <c r="AF18" s="12702">
        <f>z18+ab18+ad18</f>
      </c>
      <c r="AG18" t="n" s="12703">
        <v>182.0</v>
      </c>
      <c r="AH18" t="n" s="12704">
        <v>25.35</v>
      </c>
      <c r="AI18" t="n" s="12705">
        <v>2.9</v>
      </c>
      <c r="AJ18" s="12706">
        <f>x18+af18+ag18+ah18+ai18</f>
      </c>
      <c r="AK18" s="12707">
        <f>ROUND((l18+t18+af18+ag18+ah18+ai18+w18)*0.05,2)</f>
      </c>
      <c r="AL18" s="12708">
        <f>aj18+ak18</f>
      </c>
      <c r="AM18" s="12709">
        <f>80*0.06</f>
      </c>
      <c r="AN18" s="12710">
        <f>al18+am18</f>
      </c>
      <c r="AO18" t="s" s="12711">
        <v>0</v>
      </c>
    </row>
    <row r="19" ht="15.0" customHeight="true">
      <c r="A19" t="s" s="12712">
        <v>460</v>
      </c>
      <c r="B19" t="s" s="12713">
        <v>461</v>
      </c>
      <c r="C19" t="s" s="12714">
        <v>462</v>
      </c>
      <c r="D19" t="s" s="12715">
        <v>463</v>
      </c>
      <c r="E19" t="s" s="12716">
        <v>55</v>
      </c>
      <c r="F19" t="s" s="12717">
        <v>464</v>
      </c>
      <c r="G19" t="s" s="12718">
        <v>425</v>
      </c>
      <c r="H19" t="s" s="12719">
        <v>426</v>
      </c>
      <c r="I19" t="n" s="12720">
        <v>43831.0</v>
      </c>
      <c r="J19" t="n" s="12721">
        <v>44196.0</v>
      </c>
      <c r="K19" t="s" s="12722">
        <v>0</v>
      </c>
      <c r="L19" t="n" s="12723">
        <v>1420.0</v>
      </c>
      <c r="M19" t="n" s="12724">
        <v>0.0</v>
      </c>
      <c r="N19" t="n" s="12725">
        <v>0.0</v>
      </c>
      <c r="O19" s="12726">
        <f>M19*N19</f>
      </c>
      <c r="P19" t="n" s="12727">
        <v>0.0</v>
      </c>
      <c r="Q19" t="n" s="12728">
        <v>0.0</v>
      </c>
      <c r="R19" s="12729">
        <f>P19*Q19</f>
      </c>
      <c r="S19" t="n" s="12730">
        <v>1420.0</v>
      </c>
      <c r="T19" t="n" s="12731">
        <v>0.0</v>
      </c>
      <c r="U19" t="n" s="12732">
        <v>0.0</v>
      </c>
      <c r="V19" s="12733">
        <f>L19+O19+R19</f>
      </c>
      <c r="W19" t="n" s="12734">
        <v>530.0</v>
      </c>
      <c r="X19" s="12735">
        <f>s19+t19+u19+w19</f>
      </c>
      <c r="Y19" t="n" s="12736">
        <v>7.0</v>
      </c>
      <c r="Z19" t="n" s="12737">
        <v>71.68</v>
      </c>
      <c r="AA19" t="n" s="12738">
        <v>0.0</v>
      </c>
      <c r="AB19" t="n" s="12739">
        <v>0.0</v>
      </c>
      <c r="AC19" t="n" s="12740">
        <v>0.0</v>
      </c>
      <c r="AD19" t="n" s="12741">
        <v>0.0</v>
      </c>
      <c r="AE19" s="12742">
        <f>y19+aa19+ac19</f>
      </c>
      <c r="AF19" s="12743">
        <f>z19+ab19+ad19</f>
      </c>
      <c r="AG19" t="n" s="12744">
        <v>268.0</v>
      </c>
      <c r="AH19" t="n" s="12745">
        <v>37.65</v>
      </c>
      <c r="AI19" t="n" s="12746">
        <v>4.3</v>
      </c>
      <c r="AJ19" s="12747">
        <f>x19+af19+ag19+ah19+ai19</f>
      </c>
      <c r="AK19" s="12748">
        <f>ROUND((l19+t19+af19+ag19+ah19+ai19+w19)*0.05,2)</f>
      </c>
      <c r="AL19" s="12749">
        <f>aj19+ak19</f>
      </c>
      <c r="AM19" s="12750">
        <f>80*0.06</f>
      </c>
      <c r="AN19" s="12751">
        <f>al19+am19</f>
      </c>
      <c r="AO19" t="s" s="12752">
        <v>0</v>
      </c>
    </row>
    <row r="20" ht="15.0" customHeight="true">
      <c r="A20" t="s" s="12753">
        <v>465</v>
      </c>
      <c r="B20" t="s" s="12754">
        <v>466</v>
      </c>
      <c r="C20" t="s" s="12755">
        <v>467</v>
      </c>
      <c r="D20" t="s" s="12756">
        <v>468</v>
      </c>
      <c r="E20" t="s" s="12757">
        <v>55</v>
      </c>
      <c r="F20" t="s" s="12758">
        <v>469</v>
      </c>
      <c r="G20" t="s" s="12759">
        <v>425</v>
      </c>
      <c r="H20" t="s" s="12760">
        <v>426</v>
      </c>
      <c r="I20" t="n" s="12761">
        <v>43831.0</v>
      </c>
      <c r="J20" t="n" s="12762">
        <v>44196.0</v>
      </c>
      <c r="K20" t="s" s="12763">
        <v>0</v>
      </c>
      <c r="L20" t="n" s="12764">
        <v>1800.0</v>
      </c>
      <c r="M20" t="n" s="12765">
        <v>0.0</v>
      </c>
      <c r="N20" t="n" s="12766">
        <v>0.0</v>
      </c>
      <c r="O20" s="12767">
        <f>M20*N20</f>
      </c>
      <c r="P20" t="n" s="12768">
        <v>0.0</v>
      </c>
      <c r="Q20" t="n" s="12769">
        <v>0.0</v>
      </c>
      <c r="R20" s="12770">
        <f>P20*Q20</f>
      </c>
      <c r="S20" t="n" s="12771">
        <v>1800.0</v>
      </c>
      <c r="T20" t="n" s="12772">
        <v>0.0</v>
      </c>
      <c r="U20" t="n" s="12773">
        <v>0.0</v>
      </c>
      <c r="V20" s="12774">
        <f>L20+O20+R20</f>
      </c>
      <c r="W20" t="n" s="12775">
        <v>0.0</v>
      </c>
      <c r="X20" s="12776">
        <f>s20+t20+u20+w20</f>
      </c>
      <c r="Y20" t="n" s="12777">
        <v>4.0</v>
      </c>
      <c r="Z20" t="n" s="12778">
        <v>51.92</v>
      </c>
      <c r="AA20" t="n" s="12779">
        <v>0.0</v>
      </c>
      <c r="AB20" t="n" s="12780">
        <v>0.0</v>
      </c>
      <c r="AC20" t="n" s="12781">
        <v>0.0</v>
      </c>
      <c r="AD20" t="n" s="12782">
        <v>0.0</v>
      </c>
      <c r="AE20" s="12783">
        <f>y20+aa20+ac20</f>
      </c>
      <c r="AF20" s="12784">
        <f>z20+ab20+ad20</f>
      </c>
      <c r="AG20" t="n" s="12785">
        <v>247.0</v>
      </c>
      <c r="AH20" t="n" s="12786">
        <v>34.15</v>
      </c>
      <c r="AI20" t="n" s="12787">
        <v>3.9</v>
      </c>
      <c r="AJ20" s="12788">
        <f>x20+af20+ag20+ah20+ai20</f>
      </c>
      <c r="AK20" s="12789">
        <f>ROUND((l20+t20+af20+ag20+ah20+ai20+w20)*0.05,2)</f>
      </c>
      <c r="AL20" s="12790">
        <f>aj20+ak20</f>
      </c>
      <c r="AM20" s="12791">
        <f>80*0.06</f>
      </c>
      <c r="AN20" s="12792">
        <f>al20+am20</f>
      </c>
      <c r="AO20" t="s" s="12793">
        <v>0</v>
      </c>
    </row>
    <row r="21" ht="15.0" customHeight="true">
      <c r="A21" t="s" s="12794">
        <v>470</v>
      </c>
      <c r="B21" t="s" s="12795">
        <v>471</v>
      </c>
      <c r="C21" t="s" s="12796">
        <v>472</v>
      </c>
      <c r="D21" t="s" s="12797">
        <v>473</v>
      </c>
      <c r="E21" t="s" s="12798">
        <v>55</v>
      </c>
      <c r="F21" t="s" s="12799">
        <v>474</v>
      </c>
      <c r="G21" t="s" s="12800">
        <v>425</v>
      </c>
      <c r="H21" t="s" s="12801">
        <v>426</v>
      </c>
      <c r="I21" t="n" s="12802">
        <v>43831.0</v>
      </c>
      <c r="J21" t="n" s="12803">
        <v>44196.0</v>
      </c>
      <c r="K21" t="s" s="12804">
        <v>0</v>
      </c>
      <c r="L21" t="n" s="12805">
        <v>1100.0</v>
      </c>
      <c r="M21" t="n" s="12806">
        <v>0.0</v>
      </c>
      <c r="N21" t="n" s="12807">
        <v>0.0</v>
      </c>
      <c r="O21" s="12808">
        <f>M21*N21</f>
      </c>
      <c r="P21" t="n" s="12809">
        <v>0.0</v>
      </c>
      <c r="Q21" t="n" s="12810">
        <v>0.0</v>
      </c>
      <c r="R21" s="12811">
        <f>P21*Q21</f>
      </c>
      <c r="S21" t="n" s="12812">
        <v>1100.0</v>
      </c>
      <c r="T21" t="n" s="12813">
        <v>0.0</v>
      </c>
      <c r="U21" t="n" s="12814">
        <v>0.0</v>
      </c>
      <c r="V21" s="12815">
        <f>L21+O21+R21</f>
      </c>
      <c r="W21" t="n" s="12816">
        <v>0.0</v>
      </c>
      <c r="X21" s="12817">
        <f>s21+t21+u21+w21</f>
      </c>
      <c r="Y21" t="n" s="12818">
        <v>7.0</v>
      </c>
      <c r="Z21" t="n" s="12819">
        <v>55.51</v>
      </c>
      <c r="AA21" t="n" s="12820">
        <v>0.0</v>
      </c>
      <c r="AB21" t="n" s="12821">
        <v>0.0</v>
      </c>
      <c r="AC21" t="n" s="12822">
        <v>0.0</v>
      </c>
      <c r="AD21" t="n" s="12823">
        <v>0.0</v>
      </c>
      <c r="AE21" s="12824">
        <f>y21+aa21+ac21</f>
      </c>
      <c r="AF21" s="12825">
        <f>z21+ab21+ad21</f>
      </c>
      <c r="AG21" t="n" s="12826">
        <v>156.0</v>
      </c>
      <c r="AH21" t="n" s="12827">
        <v>21.85</v>
      </c>
      <c r="AI21" t="n" s="12828">
        <v>2.5</v>
      </c>
      <c r="AJ21" s="12829">
        <f>x21+af21+ag21+ah21+ai21</f>
      </c>
      <c r="AK21" s="12830">
        <f>ROUND((l21+t21+af21+ag21+ah21+ai21+w21)*0.05,2)</f>
      </c>
      <c r="AL21" s="12831">
        <f>aj21+ak21</f>
      </c>
      <c r="AM21" s="12832">
        <f>80*0.06</f>
      </c>
      <c r="AN21" s="12833">
        <f>al21+am21</f>
      </c>
      <c r="AO21" t="s" s="12834">
        <v>0</v>
      </c>
    </row>
    <row r="22" ht="15.0" customHeight="true">
      <c r="A22" t="s" s="12835">
        <v>475</v>
      </c>
      <c r="B22" t="s" s="12836">
        <v>476</v>
      </c>
      <c r="C22" t="s" s="12837">
        <v>477</v>
      </c>
      <c r="D22" t="s" s="12838">
        <v>478</v>
      </c>
      <c r="E22" t="s" s="12839">
        <v>55</v>
      </c>
      <c r="F22" t="s" s="12840">
        <v>479</v>
      </c>
      <c r="G22" t="s" s="12841">
        <v>425</v>
      </c>
      <c r="H22" t="s" s="12842">
        <v>426</v>
      </c>
      <c r="I22" t="n" s="12843">
        <v>43831.0</v>
      </c>
      <c r="J22" t="n" s="12844">
        <v>44196.0</v>
      </c>
      <c r="K22" t="s" s="12845">
        <v>0</v>
      </c>
      <c r="L22" t="n" s="12846">
        <v>1240.0</v>
      </c>
      <c r="M22" t="n" s="12847">
        <v>0.0</v>
      </c>
      <c r="N22" t="n" s="12848">
        <v>0.0</v>
      </c>
      <c r="O22" s="12849">
        <f>M22*N22</f>
      </c>
      <c r="P22" t="n" s="12850">
        <v>0.0</v>
      </c>
      <c r="Q22" t="n" s="12851">
        <v>0.0</v>
      </c>
      <c r="R22" s="12852">
        <f>P22*Q22</f>
      </c>
      <c r="S22" t="n" s="12853">
        <v>1240.0</v>
      </c>
      <c r="T22" t="n" s="12854">
        <v>0.0</v>
      </c>
      <c r="U22" t="n" s="12855">
        <v>0.0</v>
      </c>
      <c r="V22" s="12856">
        <f>L22+O22+R22</f>
      </c>
      <c r="W22" t="n" s="12857">
        <v>880.0</v>
      </c>
      <c r="X22" s="12858">
        <f>s22+t22+u22+w22</f>
      </c>
      <c r="Y22" t="n" s="12859">
        <v>7.0</v>
      </c>
      <c r="Z22" t="n" s="12860">
        <v>62.58</v>
      </c>
      <c r="AA22" t="n" s="12861">
        <v>0.0</v>
      </c>
      <c r="AB22" t="n" s="12862">
        <v>0.0</v>
      </c>
      <c r="AC22" t="n" s="12863">
        <v>0.0</v>
      </c>
      <c r="AD22" t="n" s="12864">
        <v>0.0</v>
      </c>
      <c r="AE22" s="12865">
        <f>y22+aa22+ac22</f>
      </c>
      <c r="AF22" s="12866">
        <f>z22+ab22+ad22</f>
      </c>
      <c r="AG22" t="n" s="12867">
        <v>289.0</v>
      </c>
      <c r="AH22" t="n" s="12868">
        <v>39.35</v>
      </c>
      <c r="AI22" t="n" s="12869">
        <v>4.5</v>
      </c>
      <c r="AJ22" s="12870">
        <f>x22+af22+ag22+ah22+ai22</f>
      </c>
      <c r="AK22" s="12871">
        <f>ROUND((l22+t22+af22+ag22+ah22+ai22+w22)*0.05,2)</f>
      </c>
      <c r="AL22" s="12872">
        <f>aj22+ak22</f>
      </c>
      <c r="AM22" s="12873">
        <f>80*0.06</f>
      </c>
      <c r="AN22" s="12874">
        <f>al22+am22</f>
      </c>
      <c r="AO22" t="s" s="12875">
        <v>0</v>
      </c>
    </row>
    <row r="23" ht="15.0" customHeight="true">
      <c r="L23" t="s" s="12876">
        <v>0</v>
      </c>
      <c r="M23" t="s" s="12877">
        <v>0</v>
      </c>
      <c r="N23" t="s" s="12878">
        <v>0</v>
      </c>
      <c r="O23" t="s" s="12879">
        <v>0</v>
      </c>
      <c r="P23" t="s" s="12880">
        <v>0</v>
      </c>
      <c r="Q23" t="s" s="12881">
        <v>0</v>
      </c>
      <c r="R23" t="s" s="12882">
        <v>0</v>
      </c>
      <c r="S23" t="s" s="12883">
        <v>0</v>
      </c>
      <c r="T23" t="s" s="12884">
        <v>0</v>
      </c>
      <c r="U23" t="s" s="12885">
        <v>0</v>
      </c>
      <c r="V23" t="s" s="12886">
        <v>0</v>
      </c>
      <c r="W23" t="s" s="12887">
        <v>0</v>
      </c>
      <c r="X23" t="s" s="12888">
        <v>0</v>
      </c>
      <c r="Y23" t="s" s="12889">
        <v>0</v>
      </c>
      <c r="Z23" t="s" s="12890">
        <v>0</v>
      </c>
      <c r="AA23" t="s" s="12891">
        <v>0</v>
      </c>
      <c r="AB23" t="s" s="12892">
        <v>0</v>
      </c>
      <c r="AC23" t="s" s="12893">
        <v>0</v>
      </c>
      <c r="AD23" t="s" s="12894">
        <v>0</v>
      </c>
      <c r="AE23" t="s" s="12895">
        <v>0</v>
      </c>
      <c r="AF23" t="s" s="12896">
        <v>0</v>
      </c>
      <c r="AG23" t="s" s="12897">
        <v>0</v>
      </c>
      <c r="AH23" t="s" s="12898">
        <v>0</v>
      </c>
      <c r="AI23" t="s" s="12899">
        <v>0</v>
      </c>
      <c r="AJ23" t="s" s="12900">
        <v>0</v>
      </c>
      <c r="AK23" t="s" s="12901">
        <v>0</v>
      </c>
      <c r="AL23" t="s" s="12902">
        <v>0</v>
      </c>
    </row>
    <row r="24" ht="15.0" customHeight="true"/>
    <row r="25" ht="15.0" customHeight="true">
      <c r="A25" t="s" s="12903">
        <v>0</v>
      </c>
      <c r="B25" t="s" s="12904">
        <v>649</v>
      </c>
      <c r="C25" s="12905">
        <f>COUNTA(A11:A22)</f>
      </c>
      <c r="L25" s="12906">
        <f>SUM(l11:l22)</f>
      </c>
      <c r="M25" s="12907">
        <f>SUM(m11:m22)</f>
      </c>
      <c r="N25" t="s" s="12908">
        <v>0</v>
      </c>
      <c r="O25" s="12909">
        <f>SUM(o11:o22)</f>
      </c>
      <c r="P25" s="12910">
        <f>SUM(p11:p22)</f>
      </c>
      <c r="Q25" t="s" s="12911">
        <v>0</v>
      </c>
      <c r="R25" s="12912">
        <f>SUM(r11:r22)</f>
      </c>
      <c r="S25" s="12913">
        <f>SUM(s11:s22)</f>
      </c>
      <c r="T25" s="12914">
        <f>SUM(t11:t22)</f>
      </c>
      <c r="U25" s="12915">
        <f>SUM(u11:u22)</f>
      </c>
      <c r="V25" s="12916">
        <f>SUM(v11:v22)</f>
      </c>
      <c r="W25" s="12917">
        <f>SUM(w11:w22)</f>
      </c>
      <c r="X25" s="12918">
        <f>SUM(x11:x22)</f>
      </c>
      <c r="Y25" s="12919">
        <f>SUM(y11:y22)</f>
      </c>
      <c r="Z25" s="12920">
        <f>SUM(z11:z22)</f>
      </c>
      <c r="AA25" s="12921">
        <f>SUM(aa11:aa22)</f>
      </c>
      <c r="AB25" s="12922">
        <f>SUM(ab11:ab22)</f>
      </c>
      <c r="AC25" s="12923">
        <f>SUM(ac11:ac22)</f>
      </c>
      <c r="AD25" s="12924">
        <f>SUM(ad11:ad22)</f>
      </c>
      <c r="AE25" s="12925">
        <f>SUM(ae11:ae22)</f>
      </c>
      <c r="AF25" s="12926">
        <f>SUM(af11:af22)</f>
      </c>
      <c r="AG25" s="12927">
        <f>SUM(ag11:ag22)</f>
      </c>
      <c r="AH25" s="12928">
        <f>SUM(ah11:ah22)</f>
      </c>
      <c r="AI25" s="12929">
        <f>SUM(ai11:ai22)</f>
      </c>
      <c r="AJ25" s="12930">
        <f>SUM(aj11:aj22)</f>
      </c>
      <c r="AK25" s="12931">
        <f>SUM(ak11:ak22)</f>
      </c>
      <c r="AL25" s="12932">
        <f>SUM(al11:al22)</f>
      </c>
      <c r="AM25" s="12933">
        <f>SUM(am11:am22)</f>
      </c>
      <c r="AN25" s="12934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935">
        <v>0</v>
      </c>
      <c r="B1" t="s" s="12936">
        <v>1</v>
      </c>
      <c r="Y1" t="s" s="12937">
        <v>6</v>
      </c>
      <c r="Z1" t="n" s="12938">
        <v>2020.0</v>
      </c>
    </row>
    <row r="2" ht="15.0" customHeight="true">
      <c r="A2" t="s" s="12939">
        <v>0</v>
      </c>
      <c r="B2" t="s" s="12940">
        <v>2</v>
      </c>
      <c r="Y2" t="s" s="12941">
        <v>7</v>
      </c>
      <c r="Z2" t="n" s="12942">
        <v>2019.0</v>
      </c>
    </row>
    <row r="3" ht="15.0" customHeight="true">
      <c r="A3" t="s" s="12943">
        <v>0</v>
      </c>
      <c r="B3" t="s" s="12944">
        <v>3</v>
      </c>
    </row>
    <row r="4" ht="15.0" customHeight="true">
      <c r="A4" t="s" s="12945">
        <v>0</v>
      </c>
      <c r="B4" t="s" s="12946">
        <v>4</v>
      </c>
    </row>
    <row r="5" ht="15.0" customHeight="true">
      <c r="A5" t="s" s="12947">
        <v>0</v>
      </c>
      <c r="B5" t="s" s="12948">
        <v>5</v>
      </c>
    </row>
    <row r="6" ht="15.0" customHeight="true"/>
    <row r="7" ht="15.0" customHeight="true"/>
    <row r="8" ht="28.0" customHeight="true">
      <c r="A8" t="s" s="12949">
        <v>0</v>
      </c>
      <c r="B8" t="s" s="12950">
        <v>0</v>
      </c>
      <c r="C8" t="s" s="12951">
        <v>0</v>
      </c>
      <c r="D8" t="s" s="12952">
        <v>0</v>
      </c>
      <c r="E8" t="s" s="12953">
        <v>0</v>
      </c>
      <c r="F8" t="s" s="12954">
        <v>0</v>
      </c>
      <c r="G8" t="s" s="12955">
        <v>0</v>
      </c>
      <c r="H8" t="s" s="12956">
        <v>0</v>
      </c>
      <c r="I8" t="s" s="12957">
        <v>0</v>
      </c>
      <c r="J8" t="s" s="12958">
        <v>0</v>
      </c>
      <c r="K8" t="s" s="12959">
        <v>0</v>
      </c>
      <c r="L8" t="s" s="12960">
        <v>0</v>
      </c>
      <c r="M8" t="s" s="12961">
        <v>0</v>
      </c>
      <c r="N8" t="s" s="12962">
        <v>0</v>
      </c>
      <c r="O8" t="s" s="12963">
        <v>0</v>
      </c>
      <c r="P8" t="s" s="12964">
        <v>0</v>
      </c>
      <c r="Q8" t="s" s="12965">
        <v>0</v>
      </c>
      <c r="R8" t="s" s="12966">
        <v>0</v>
      </c>
      <c r="S8" t="s" s="12967">
        <v>0</v>
      </c>
      <c r="T8" t="s" s="12968">
        <v>0</v>
      </c>
      <c r="U8" t="s" s="12969">
        <v>0</v>
      </c>
      <c r="V8" t="s" s="12970">
        <v>0</v>
      </c>
      <c r="W8" t="s" s="12971">
        <v>0</v>
      </c>
      <c r="X8" t="s" s="12972">
        <v>0</v>
      </c>
      <c r="Y8" t="s" s="12973">
        <v>0</v>
      </c>
      <c r="Z8" t="s" s="12974">
        <v>0</v>
      </c>
      <c r="AA8" t="s" s="12975">
        <v>0</v>
      </c>
      <c r="AB8" t="s" s="12976">
        <v>0</v>
      </c>
      <c r="AC8" t="s" s="12977">
        <v>8</v>
      </c>
      <c r="AD8" t="s" s="12978">
        <v>0</v>
      </c>
      <c r="AE8" t="s" s="12979">
        <v>0</v>
      </c>
      <c r="AF8" t="s" s="12980">
        <v>0</v>
      </c>
      <c r="AG8" t="s" s="12981">
        <v>0</v>
      </c>
      <c r="AH8" t="s" s="12982">
        <v>0</v>
      </c>
      <c r="AI8" t="s" s="12983">
        <v>0</v>
      </c>
      <c r="AJ8" t="s" s="12984">
        <v>0</v>
      </c>
      <c r="AK8" t="s" s="12985">
        <v>0</v>
      </c>
      <c r="AL8" t="s" s="12986">
        <v>0</v>
      </c>
      <c r="AM8" t="s" s="12987">
        <v>0</v>
      </c>
      <c r="AN8" t="s" s="12988">
        <v>0</v>
      </c>
      <c r="AO8" t="s" s="12989">
        <v>0</v>
      </c>
    </row>
    <row r="9" ht="41.0" customHeight="true">
      <c r="A9" t="s" s="12990">
        <v>9</v>
      </c>
      <c r="B9" t="s" s="12991">
        <v>10</v>
      </c>
      <c r="C9" t="s" s="12992">
        <v>11</v>
      </c>
      <c r="D9" t="s" s="12993">
        <v>12</v>
      </c>
      <c r="E9" t="s" s="12994">
        <v>13</v>
      </c>
      <c r="F9" t="s" s="12995">
        <v>14</v>
      </c>
      <c r="G9" t="s" s="12996">
        <v>15</v>
      </c>
      <c r="H9" t="s" s="12997">
        <v>16</v>
      </c>
      <c r="I9" t="s" s="12998">
        <v>17</v>
      </c>
      <c r="J9" t="s" s="12999">
        <v>18</v>
      </c>
      <c r="K9" t="s" s="13000">
        <v>19</v>
      </c>
      <c r="L9" t="s" s="13001">
        <v>20</v>
      </c>
      <c r="M9" t="s" s="13002">
        <v>21</v>
      </c>
      <c r="N9" t="s" s="13003">
        <v>22</v>
      </c>
      <c r="O9" t="s" s="13004">
        <v>23</v>
      </c>
      <c r="P9" t="s" s="13005">
        <v>24</v>
      </c>
      <c r="Q9" t="s" s="13006">
        <v>25</v>
      </c>
      <c r="R9" t="s" s="13007">
        <v>26</v>
      </c>
      <c r="S9" t="s" s="13008">
        <v>27</v>
      </c>
      <c r="T9" t="s" s="13009">
        <v>28</v>
      </c>
      <c r="U9" t="s" s="13010">
        <v>29</v>
      </c>
      <c r="V9" t="s" s="13011">
        <v>30</v>
      </c>
      <c r="W9" t="s" s="13012">
        <v>31</v>
      </c>
      <c r="X9" t="s" s="13013">
        <v>32</v>
      </c>
      <c r="Y9" t="s" s="13014">
        <v>33</v>
      </c>
      <c r="Z9" t="s" s="13015">
        <v>34</v>
      </c>
      <c r="AA9" t="s" s="13016">
        <v>35</v>
      </c>
      <c r="AB9" t="s" s="13017">
        <v>36</v>
      </c>
      <c r="AC9" t="s" s="13018">
        <v>37</v>
      </c>
      <c r="AD9" t="s" s="13019">
        <v>38</v>
      </c>
      <c r="AE9" t="s" s="13020">
        <v>39</v>
      </c>
      <c r="AF9" t="s" s="13021">
        <v>40</v>
      </c>
      <c r="AG9" t="s" s="13022">
        <v>41</v>
      </c>
      <c r="AH9" t="s" s="13023">
        <v>42</v>
      </c>
      <c r="AI9" t="s" s="13024">
        <v>43</v>
      </c>
      <c r="AJ9" t="s" s="13025">
        <v>44</v>
      </c>
      <c r="AK9" t="s" s="13026">
        <v>45</v>
      </c>
      <c r="AL9" t="s" s="13027">
        <v>46</v>
      </c>
      <c r="AM9" t="s" s="13028">
        <v>47</v>
      </c>
      <c r="AN9" t="s" s="13029">
        <v>48</v>
      </c>
      <c r="AO9" t="s" s="13030">
        <v>49</v>
      </c>
    </row>
    <row r="10" ht="15.0" customHeight="true">
      <c r="A10" t="s" s="13031">
        <v>0</v>
      </c>
      <c r="B10" t="s" s="13032">
        <v>0</v>
      </c>
      <c r="C10" t="s" s="13033">
        <v>0</v>
      </c>
      <c r="D10" t="s" s="13034">
        <v>0</v>
      </c>
      <c r="E10" t="s" s="13035">
        <v>0</v>
      </c>
      <c r="F10" t="s" s="13036">
        <v>0</v>
      </c>
      <c r="G10" t="s" s="13037">
        <v>0</v>
      </c>
      <c r="H10" t="s" s="13038">
        <v>0</v>
      </c>
      <c r="I10" t="s" s="13039">
        <v>0</v>
      </c>
      <c r="J10" t="s" s="13040">
        <v>0</v>
      </c>
      <c r="K10" t="s" s="13041">
        <v>0</v>
      </c>
      <c r="L10" t="s" s="13042">
        <v>0</v>
      </c>
      <c r="M10" t="s" s="13043">
        <v>0</v>
      </c>
      <c r="N10" t="s" s="13044">
        <v>0</v>
      </c>
      <c r="O10" t="s" s="13045">
        <v>0</v>
      </c>
      <c r="P10" t="s" s="13046">
        <v>0</v>
      </c>
      <c r="Q10" t="s" s="13047">
        <v>0</v>
      </c>
      <c r="R10" t="s" s="13048">
        <v>0</v>
      </c>
      <c r="S10" t="s" s="13049">
        <v>0</v>
      </c>
      <c r="T10" t="s" s="13050">
        <v>0</v>
      </c>
      <c r="U10" t="s" s="13051">
        <v>0</v>
      </c>
      <c r="V10" t="s" s="13052">
        <v>0</v>
      </c>
      <c r="W10" t="s" s="13053">
        <v>0</v>
      </c>
      <c r="X10" t="s" s="13054">
        <v>0</v>
      </c>
      <c r="Y10" t="n" s="13055">
        <v>1.5</v>
      </c>
      <c r="Z10" t="n" s="13056">
        <v>1.5</v>
      </c>
      <c r="AA10" t="n" s="13057">
        <v>2.0</v>
      </c>
      <c r="AB10" t="n" s="13058">
        <v>2.0</v>
      </c>
      <c r="AC10" t="n" s="13059">
        <v>3.0</v>
      </c>
      <c r="AD10" t="n" s="13060">
        <v>3.0</v>
      </c>
      <c r="AE10" t="s" s="13061">
        <v>50</v>
      </c>
      <c r="AF10" t="s" s="13062">
        <v>50</v>
      </c>
      <c r="AG10" t="s" s="13063">
        <v>0</v>
      </c>
      <c r="AH10" t="s" s="13064">
        <v>0</v>
      </c>
      <c r="AI10" t="s" s="13065">
        <v>0</v>
      </c>
      <c r="AJ10" t="s" s="13066">
        <v>0</v>
      </c>
      <c r="AK10" t="s" s="13067">
        <v>0</v>
      </c>
      <c r="AL10" t="s" s="13068">
        <v>0</v>
      </c>
      <c r="AM10" t="s" s="13069">
        <v>0</v>
      </c>
      <c r="AN10" t="s" s="13070">
        <v>0</v>
      </c>
      <c r="AO10" t="s" s="13071">
        <v>0</v>
      </c>
    </row>
    <row r="11" ht="15.0" customHeight="true">
      <c r="A11" t="s" s="13072">
        <v>480</v>
      </c>
      <c r="B11" t="s" s="13073">
        <v>481</v>
      </c>
      <c r="C11" t="s" s="13074">
        <v>482</v>
      </c>
      <c r="D11" t="s" s="13075">
        <v>483</v>
      </c>
      <c r="E11" t="s" s="13076">
        <v>55</v>
      </c>
      <c r="F11" t="s" s="13077">
        <v>484</v>
      </c>
      <c r="G11" t="s" s="13078">
        <v>105</v>
      </c>
      <c r="H11" t="s" s="13079">
        <v>485</v>
      </c>
      <c r="I11" t="n" s="13080">
        <v>43831.0</v>
      </c>
      <c r="J11" t="n" s="13081">
        <v>44196.0</v>
      </c>
      <c r="K11" t="s" s="13082">
        <v>0</v>
      </c>
      <c r="L11" t="n" s="13083">
        <v>1770.0</v>
      </c>
      <c r="M11" t="n" s="13084">
        <v>0.0</v>
      </c>
      <c r="N11" t="n" s="13085">
        <v>0.0</v>
      </c>
      <c r="O11" s="13086">
        <f>M11*N11</f>
      </c>
      <c r="P11" t="n" s="13087">
        <v>0.0</v>
      </c>
      <c r="Q11" t="n" s="13088">
        <v>0.0</v>
      </c>
      <c r="R11" s="13089">
        <f>P11*Q11</f>
      </c>
      <c r="S11" t="n" s="13090">
        <v>1770.0</v>
      </c>
      <c r="T11" t="n" s="13091">
        <v>0.0</v>
      </c>
      <c r="U11" t="n" s="13092">
        <v>16.8</v>
      </c>
      <c r="V11" s="13093">
        <f>L11+O11+R11</f>
      </c>
      <c r="W11" t="n" s="13094">
        <v>1250.0</v>
      </c>
      <c r="X11" s="13095">
        <f>s11+t11+u11+w11</f>
      </c>
      <c r="Y11" t="n" s="13096">
        <v>17.0</v>
      </c>
      <c r="Z11" t="n" s="13097">
        <v>216.92</v>
      </c>
      <c r="AA11" t="n" s="13098">
        <v>0.0</v>
      </c>
      <c r="AB11" t="n" s="13099">
        <v>0.0</v>
      </c>
      <c r="AC11" t="n" s="13100">
        <v>1.0</v>
      </c>
      <c r="AD11" t="n" s="13101">
        <v>25.53</v>
      </c>
      <c r="AE11" s="13102">
        <f>y11+aa11+ac11</f>
      </c>
      <c r="AF11" s="13103">
        <f>z11+ab11+ad11</f>
      </c>
      <c r="AG11" t="n" s="13104">
        <v>414.0</v>
      </c>
      <c r="AH11" t="n" s="13105">
        <v>60.35</v>
      </c>
      <c r="AI11" t="n" s="13106">
        <v>6.9</v>
      </c>
      <c r="AJ11" s="13107">
        <f>x11+af11+ag11+ah11+ai11</f>
      </c>
      <c r="AK11" s="13108">
        <f>ROUND((l11+t11+af11+ag11+ah11+ai11+w11)*0.05,2)</f>
      </c>
      <c r="AL11" s="13109">
        <f>aj11+ak11</f>
      </c>
      <c r="AM11" s="13110">
        <f>96.8*0.06</f>
      </c>
      <c r="AN11" s="13111">
        <f>al11+am11</f>
      </c>
      <c r="AO11" t="s" s="13112">
        <v>0</v>
      </c>
    </row>
    <row r="12" ht="15.0" customHeight="true">
      <c r="A12" t="s" s="13113">
        <v>486</v>
      </c>
      <c r="B12" t="s" s="13114">
        <v>487</v>
      </c>
      <c r="C12" t="s" s="13115">
        <v>488</v>
      </c>
      <c r="D12" t="s" s="13116">
        <v>489</v>
      </c>
      <c r="E12" t="s" s="13117">
        <v>55</v>
      </c>
      <c r="F12" t="s" s="13118">
        <v>490</v>
      </c>
      <c r="G12" t="s" s="13119">
        <v>105</v>
      </c>
      <c r="H12" t="s" s="13120">
        <v>485</v>
      </c>
      <c r="I12" t="n" s="13121">
        <v>43831.0</v>
      </c>
      <c r="J12" t="n" s="13122">
        <v>44196.0</v>
      </c>
      <c r="K12" t="s" s="13123">
        <v>0</v>
      </c>
      <c r="L12" t="n" s="13124">
        <v>1460.0</v>
      </c>
      <c r="M12" t="n" s="13125">
        <v>0.0</v>
      </c>
      <c r="N12" t="n" s="13126">
        <v>0.0</v>
      </c>
      <c r="O12" s="13127">
        <f>M12*N12</f>
      </c>
      <c r="P12" t="n" s="13128">
        <v>0.0</v>
      </c>
      <c r="Q12" t="n" s="13129">
        <v>0.0</v>
      </c>
      <c r="R12" s="13130">
        <f>P12*Q12</f>
      </c>
      <c r="S12" t="n" s="13131">
        <v>1460.0</v>
      </c>
      <c r="T12" t="n" s="13132">
        <v>0.0</v>
      </c>
      <c r="U12" t="n" s="13133">
        <v>0.0</v>
      </c>
      <c r="V12" s="13134">
        <f>L12+O12+R12</f>
      </c>
      <c r="W12" t="n" s="13135">
        <v>1500.0</v>
      </c>
      <c r="X12" s="13136">
        <f>s12+t12+u12+w12</f>
      </c>
      <c r="Y12" t="n" s="13137">
        <v>12.0</v>
      </c>
      <c r="Z12" t="n" s="13138">
        <v>126.36</v>
      </c>
      <c r="AA12" t="n" s="13139">
        <v>0.0</v>
      </c>
      <c r="AB12" t="n" s="13140">
        <v>0.0</v>
      </c>
      <c r="AC12" t="n" s="13141">
        <v>2.0</v>
      </c>
      <c r="AD12" t="n" s="13142">
        <v>42.12</v>
      </c>
      <c r="AE12" s="13143">
        <f>y12+aa12+ac12</f>
      </c>
      <c r="AF12" s="13144">
        <f>z12+ab12+ad12</f>
      </c>
      <c r="AG12" t="n" s="13145">
        <v>406.0</v>
      </c>
      <c r="AH12" t="n" s="13146">
        <v>56.85</v>
      </c>
      <c r="AI12" t="n" s="13147">
        <v>6.5</v>
      </c>
      <c r="AJ12" s="13148">
        <f>x12+af12+ag12+ah12+ai12</f>
      </c>
      <c r="AK12" s="13149">
        <f>ROUND((l12+t12+af12+ag12+ah12+ai12+w12)*0.05,2)</f>
      </c>
      <c r="AL12" s="13150">
        <f>aj12+ak12</f>
      </c>
      <c r="AM12" s="13151">
        <f>80*0.06</f>
      </c>
      <c r="AN12" s="13152">
        <f>al12+am12</f>
      </c>
      <c r="AO12" t="s" s="13153">
        <v>0</v>
      </c>
    </row>
    <row r="13" ht="15.0" customHeight="true">
      <c r="A13" t="s" s="13154">
        <v>491</v>
      </c>
      <c r="B13" t="s" s="13155">
        <v>492</v>
      </c>
      <c r="C13" t="s" s="13156">
        <v>493</v>
      </c>
      <c r="D13" t="s" s="13157">
        <v>494</v>
      </c>
      <c r="E13" t="s" s="13158">
        <v>55</v>
      </c>
      <c r="F13" t="s" s="13159">
        <v>495</v>
      </c>
      <c r="G13" t="s" s="13160">
        <v>105</v>
      </c>
      <c r="H13" t="s" s="13161">
        <v>485</v>
      </c>
      <c r="I13" t="n" s="13162">
        <v>43831.0</v>
      </c>
      <c r="J13" t="n" s="13163">
        <v>44196.0</v>
      </c>
      <c r="K13" t="s" s="13164">
        <v>0</v>
      </c>
      <c r="L13" t="n" s="13165">
        <v>1830.0</v>
      </c>
      <c r="M13" t="n" s="13166">
        <v>0.0</v>
      </c>
      <c r="N13" t="n" s="13167">
        <v>0.0</v>
      </c>
      <c r="O13" s="13168">
        <f>M13*N13</f>
      </c>
      <c r="P13" t="n" s="13169">
        <v>0.0</v>
      </c>
      <c r="Q13" t="n" s="13170">
        <v>0.0</v>
      </c>
      <c r="R13" s="13171">
        <f>P13*Q13</f>
      </c>
      <c r="S13" t="n" s="13172">
        <v>1830.0</v>
      </c>
      <c r="T13" t="n" s="13173">
        <v>0.0</v>
      </c>
      <c r="U13" t="n" s="13174">
        <v>0.0</v>
      </c>
      <c r="V13" s="13175">
        <f>L13+O13+R13</f>
      </c>
      <c r="W13" t="n" s="13176">
        <v>1500.0</v>
      </c>
      <c r="X13" s="13177">
        <f>s13+t13+u13+w13</f>
      </c>
      <c r="Y13" t="n" s="13178">
        <v>10.0</v>
      </c>
      <c r="Z13" t="n" s="13179">
        <v>132.0</v>
      </c>
      <c r="AA13" t="n" s="13180">
        <v>0.0</v>
      </c>
      <c r="AB13" t="n" s="13181">
        <v>0.0</v>
      </c>
      <c r="AC13" t="n" s="13182">
        <v>0.0</v>
      </c>
      <c r="AD13" t="n" s="13183">
        <v>0.0</v>
      </c>
      <c r="AE13" s="13184">
        <f>y13+aa13+ac13</f>
      </c>
      <c r="AF13" s="13185">
        <f>z13+ab13+ad13</f>
      </c>
      <c r="AG13" t="n" s="13186">
        <v>455.0</v>
      </c>
      <c r="AH13" t="n" s="13187">
        <v>63.85</v>
      </c>
      <c r="AI13" t="n" s="13188">
        <v>7.3</v>
      </c>
      <c r="AJ13" s="13189">
        <f>x13+af13+ag13+ah13+ai13</f>
      </c>
      <c r="AK13" s="13190">
        <f>ROUND((l13+t13+af13+ag13+ah13+ai13+w13)*0.05,2)</f>
      </c>
      <c r="AL13" s="13191">
        <f>aj13+ak13</f>
      </c>
      <c r="AM13" s="13192">
        <f>80*0.06</f>
      </c>
      <c r="AN13" s="13193">
        <f>al13+am13</f>
      </c>
      <c r="AO13" t="s" s="13194">
        <v>0</v>
      </c>
    </row>
    <row r="14" ht="15.0" customHeight="true">
      <c r="A14" t="s" s="13195">
        <v>496</v>
      </c>
      <c r="B14" t="s" s="13196">
        <v>497</v>
      </c>
      <c r="C14" t="s" s="13197">
        <v>498</v>
      </c>
      <c r="D14" t="s" s="13198">
        <v>499</v>
      </c>
      <c r="E14" t="s" s="13199">
        <v>55</v>
      </c>
      <c r="F14" t="s" s="13200">
        <v>500</v>
      </c>
      <c r="G14" t="s" s="13201">
        <v>105</v>
      </c>
      <c r="H14" t="s" s="13202">
        <v>485</v>
      </c>
      <c r="I14" t="n" s="13203">
        <v>43831.0</v>
      </c>
      <c r="J14" t="n" s="13204">
        <v>44196.0</v>
      </c>
      <c r="K14" t="s" s="13205">
        <v>0</v>
      </c>
      <c r="L14" t="n" s="13206">
        <v>1460.0</v>
      </c>
      <c r="M14" t="n" s="13207">
        <v>0.0</v>
      </c>
      <c r="N14" t="n" s="13208">
        <v>0.0</v>
      </c>
      <c r="O14" s="13209">
        <f>M14*N14</f>
      </c>
      <c r="P14" t="n" s="13210">
        <v>0.0</v>
      </c>
      <c r="Q14" t="n" s="13211">
        <v>0.0</v>
      </c>
      <c r="R14" s="13212">
        <f>P14*Q14</f>
      </c>
      <c r="S14" t="n" s="13213">
        <v>1460.0</v>
      </c>
      <c r="T14" t="n" s="13214">
        <v>0.0</v>
      </c>
      <c r="U14" t="n" s="13215">
        <v>0.0</v>
      </c>
      <c r="V14" s="13216">
        <f>L14+O14+R14</f>
      </c>
      <c r="W14" t="n" s="13217">
        <v>1500.0</v>
      </c>
      <c r="X14" s="13218">
        <f>s14+t14+u14+w14</f>
      </c>
      <c r="Y14" t="n" s="13219">
        <v>11.0</v>
      </c>
      <c r="Z14" t="n" s="13220">
        <v>115.83</v>
      </c>
      <c r="AA14" t="n" s="13221">
        <v>0.0</v>
      </c>
      <c r="AB14" t="n" s="13222">
        <v>0.0</v>
      </c>
      <c r="AC14" t="n" s="13223">
        <v>1.0</v>
      </c>
      <c r="AD14" t="n" s="13224">
        <v>21.06</v>
      </c>
      <c r="AE14" s="13225">
        <f>y14+aa14+ac14</f>
      </c>
      <c r="AF14" s="13226">
        <f>z14+ab14+ad14</f>
      </c>
      <c r="AG14" t="n" s="13227">
        <v>406.0</v>
      </c>
      <c r="AH14" t="n" s="13228">
        <v>56.85</v>
      </c>
      <c r="AI14" t="n" s="13229">
        <v>6.5</v>
      </c>
      <c r="AJ14" s="13230">
        <f>x14+af14+ag14+ah14+ai14</f>
      </c>
      <c r="AK14" s="13231">
        <f>ROUND((l14+t14+af14+ag14+ah14+ai14+w14)*0.05,2)</f>
      </c>
      <c r="AL14" s="13232">
        <f>aj14+ak14</f>
      </c>
      <c r="AM14" s="13233">
        <f>80*0.06</f>
      </c>
      <c r="AN14" s="13234">
        <f>al14+am14</f>
      </c>
      <c r="AO14" t="s" s="13235">
        <v>0</v>
      </c>
    </row>
    <row r="15" ht="15.0" customHeight="true">
      <c r="A15" t="s" s="13236">
        <v>501</v>
      </c>
      <c r="B15" t="s" s="13237">
        <v>502</v>
      </c>
      <c r="C15" t="s" s="13238">
        <v>503</v>
      </c>
      <c r="D15" t="s" s="13239">
        <v>504</v>
      </c>
      <c r="E15" t="s" s="13240">
        <v>55</v>
      </c>
      <c r="F15" t="s" s="13241">
        <v>505</v>
      </c>
      <c r="G15" t="s" s="13242">
        <v>105</v>
      </c>
      <c r="H15" t="s" s="13243">
        <v>485</v>
      </c>
      <c r="I15" t="n" s="13244">
        <v>43831.0</v>
      </c>
      <c r="J15" t="n" s="13245">
        <v>44196.0</v>
      </c>
      <c r="K15" t="s" s="13246">
        <v>0</v>
      </c>
      <c r="L15" t="n" s="13247">
        <v>1450.0</v>
      </c>
      <c r="M15" t="n" s="13248">
        <v>0.0</v>
      </c>
      <c r="N15" t="n" s="13249">
        <v>0.0</v>
      </c>
      <c r="O15" s="13250">
        <f>M15*N15</f>
      </c>
      <c r="P15" t="n" s="13251">
        <v>0.0</v>
      </c>
      <c r="Q15" t="n" s="13252">
        <v>0.0</v>
      </c>
      <c r="R15" s="13253">
        <f>P15*Q15</f>
      </c>
      <c r="S15" t="n" s="13254">
        <v>1450.0</v>
      </c>
      <c r="T15" t="n" s="13255">
        <v>0.0</v>
      </c>
      <c r="U15" t="n" s="13256">
        <v>0.0</v>
      </c>
      <c r="V15" s="13257">
        <f>L15+O15+R15</f>
      </c>
      <c r="W15" t="n" s="13258">
        <v>888.46</v>
      </c>
      <c r="X15" s="13259">
        <f>s15+t15+u15+w15</f>
      </c>
      <c r="Y15" t="n" s="13260">
        <v>8.0</v>
      </c>
      <c r="Z15" t="n" s="13261">
        <v>83.68</v>
      </c>
      <c r="AA15" t="n" s="13262">
        <v>0.0</v>
      </c>
      <c r="AB15" t="n" s="13263">
        <v>0.0</v>
      </c>
      <c r="AC15" t="n" s="13264">
        <v>0.0</v>
      </c>
      <c r="AD15" t="n" s="13265">
        <v>0.0</v>
      </c>
      <c r="AE15" s="13266">
        <f>y15+aa15+ac15</f>
      </c>
      <c r="AF15" s="13267">
        <f>z15+ab15+ad15</f>
      </c>
      <c r="AG15" t="n" s="13268">
        <v>325.0</v>
      </c>
      <c r="AH15" t="n" s="13269">
        <v>44.65</v>
      </c>
      <c r="AI15" t="n" s="13270">
        <v>5.1</v>
      </c>
      <c r="AJ15" s="13271">
        <f>x15+af15+ag15+ah15+ai15</f>
      </c>
      <c r="AK15" s="13272">
        <f>ROUND((l15+t15+af15+ag15+ah15+ai15+w15)*0.05,2)</f>
      </c>
      <c r="AL15" s="13273">
        <f>aj15+ak15</f>
      </c>
      <c r="AM15" s="13274">
        <f>80*0.06</f>
      </c>
      <c r="AN15" s="13275">
        <f>al15+am15</f>
      </c>
      <c r="AO15" t="s" s="13276">
        <v>0</v>
      </c>
    </row>
    <row r="16" ht="15.0" customHeight="true">
      <c r="A16" t="s" s="13277">
        <v>506</v>
      </c>
      <c r="B16" t="s" s="13278">
        <v>507</v>
      </c>
      <c r="C16" t="s" s="13279">
        <v>508</v>
      </c>
      <c r="D16" t="s" s="13280">
        <v>509</v>
      </c>
      <c r="E16" t="s" s="13281">
        <v>55</v>
      </c>
      <c r="F16" t="s" s="13282">
        <v>510</v>
      </c>
      <c r="G16" t="s" s="13283">
        <v>105</v>
      </c>
      <c r="H16" t="s" s="13284">
        <v>485</v>
      </c>
      <c r="I16" t="n" s="13285">
        <v>43831.0</v>
      </c>
      <c r="J16" t="n" s="13286">
        <v>44196.0</v>
      </c>
      <c r="K16" t="s" s="13287">
        <v>0</v>
      </c>
      <c r="L16" t="n" s="13288">
        <v>1400.0</v>
      </c>
      <c r="M16" t="n" s="13289">
        <v>0.0</v>
      </c>
      <c r="N16" t="n" s="13290">
        <v>0.0</v>
      </c>
      <c r="O16" s="13291">
        <f>M16*N16</f>
      </c>
      <c r="P16" t="n" s="13292">
        <v>0.0</v>
      </c>
      <c r="Q16" t="n" s="13293">
        <v>0.0</v>
      </c>
      <c r="R16" s="13294">
        <f>P16*Q16</f>
      </c>
      <c r="S16" t="n" s="13295">
        <v>1400.0</v>
      </c>
      <c r="T16" t="n" s="13296">
        <v>0.0</v>
      </c>
      <c r="U16" t="n" s="13297">
        <v>7.9</v>
      </c>
      <c r="V16" s="13298">
        <f>L16+O16+R16</f>
      </c>
      <c r="W16" t="n" s="13299">
        <v>1400.0</v>
      </c>
      <c r="X16" s="13300">
        <f>s16+t16+u16+w16</f>
      </c>
      <c r="Y16" t="n" s="13301">
        <v>8.0</v>
      </c>
      <c r="Z16" t="n" s="13302">
        <v>80.8</v>
      </c>
      <c r="AA16" t="n" s="13303">
        <v>0.0</v>
      </c>
      <c r="AB16" t="n" s="13304">
        <v>0.0</v>
      </c>
      <c r="AC16" t="n" s="13305">
        <v>0.0</v>
      </c>
      <c r="AD16" t="n" s="13306">
        <v>0.0</v>
      </c>
      <c r="AE16" s="13307">
        <f>y16+aa16+ac16</f>
      </c>
      <c r="AF16" s="13308">
        <f>z16+ab16+ad16</f>
      </c>
      <c r="AG16" t="n" s="13309">
        <v>385.0</v>
      </c>
      <c r="AH16" t="n" s="13310">
        <v>53.35</v>
      </c>
      <c r="AI16" t="n" s="13311">
        <v>6.1</v>
      </c>
      <c r="AJ16" s="13312">
        <f>x16+af16+ag16+ah16+ai16</f>
      </c>
      <c r="AK16" s="13313">
        <f>ROUND((l16+t16+af16+ag16+ah16+ai16+w16)*0.05,2)</f>
      </c>
      <c r="AL16" s="13314">
        <f>aj16+ak16</f>
      </c>
      <c r="AM16" s="13315">
        <f>87.9*0.06</f>
      </c>
      <c r="AN16" s="13316">
        <f>al16+am16</f>
      </c>
      <c r="AO16" t="s" s="13317">
        <v>0</v>
      </c>
    </row>
    <row r="17" ht="15.0" customHeight="true">
      <c r="L17" t="s" s="13318">
        <v>0</v>
      </c>
      <c r="M17" t="s" s="13319">
        <v>0</v>
      </c>
      <c r="N17" t="s" s="13320">
        <v>0</v>
      </c>
      <c r="O17" t="s" s="13321">
        <v>0</v>
      </c>
      <c r="P17" t="s" s="13322">
        <v>0</v>
      </c>
      <c r="Q17" t="s" s="13323">
        <v>0</v>
      </c>
      <c r="R17" t="s" s="13324">
        <v>0</v>
      </c>
      <c r="S17" t="s" s="13325">
        <v>0</v>
      </c>
      <c r="T17" t="s" s="13326">
        <v>0</v>
      </c>
      <c r="U17" t="s" s="13327">
        <v>0</v>
      </c>
      <c r="V17" t="s" s="13328">
        <v>0</v>
      </c>
      <c r="W17" t="s" s="13329">
        <v>0</v>
      </c>
      <c r="X17" t="s" s="13330">
        <v>0</v>
      </c>
      <c r="Y17" t="s" s="13331">
        <v>0</v>
      </c>
      <c r="Z17" t="s" s="13332">
        <v>0</v>
      </c>
      <c r="AA17" t="s" s="13333">
        <v>0</v>
      </c>
      <c r="AB17" t="s" s="13334">
        <v>0</v>
      </c>
      <c r="AC17" t="s" s="13335">
        <v>0</v>
      </c>
      <c r="AD17" t="s" s="13336">
        <v>0</v>
      </c>
      <c r="AE17" t="s" s="13337">
        <v>0</v>
      </c>
      <c r="AF17" t="s" s="13338">
        <v>0</v>
      </c>
      <c r="AG17" t="s" s="13339">
        <v>0</v>
      </c>
      <c r="AH17" t="s" s="13340">
        <v>0</v>
      </c>
      <c r="AI17" t="s" s="13341">
        <v>0</v>
      </c>
      <c r="AJ17" t="s" s="13342">
        <v>0</v>
      </c>
      <c r="AK17" t="s" s="13343">
        <v>0</v>
      </c>
      <c r="AL17" t="s" s="13344">
        <v>0</v>
      </c>
    </row>
    <row r="18" ht="15.0" customHeight="true"/>
    <row r="19" ht="15.0" customHeight="true">
      <c r="A19" t="s" s="13345">
        <v>0</v>
      </c>
      <c r="B19" t="s" s="13346">
        <v>649</v>
      </c>
      <c r="C19" s="13347">
        <f>COUNTA(A11:A16)</f>
      </c>
      <c r="L19" s="13348">
        <f>SUM(l11:l16)</f>
      </c>
      <c r="M19" s="13349">
        <f>SUM(m11:m16)</f>
      </c>
      <c r="N19" t="s" s="13350">
        <v>0</v>
      </c>
      <c r="O19" s="13351">
        <f>SUM(o11:o16)</f>
      </c>
      <c r="P19" s="13352">
        <f>SUM(p11:p16)</f>
      </c>
      <c r="Q19" t="s" s="13353">
        <v>0</v>
      </c>
      <c r="R19" s="13354">
        <f>SUM(r11:r16)</f>
      </c>
      <c r="S19" s="13355">
        <f>SUM(s11:s16)</f>
      </c>
      <c r="T19" s="13356">
        <f>SUM(t11:t16)</f>
      </c>
      <c r="U19" s="13357">
        <f>SUM(u11:u16)</f>
      </c>
      <c r="V19" s="13358">
        <f>SUM(v11:v16)</f>
      </c>
      <c r="W19" s="13359">
        <f>SUM(w11:w16)</f>
      </c>
      <c r="X19" s="13360">
        <f>SUM(x11:x16)</f>
      </c>
      <c r="Y19" s="13361">
        <f>SUM(y11:y16)</f>
      </c>
      <c r="Z19" s="13362">
        <f>SUM(z11:z16)</f>
      </c>
      <c r="AA19" s="13363">
        <f>SUM(aa11:aa16)</f>
      </c>
      <c r="AB19" s="13364">
        <f>SUM(ab11:ab16)</f>
      </c>
      <c r="AC19" s="13365">
        <f>SUM(ac11:ac16)</f>
      </c>
      <c r="AD19" s="13366">
        <f>SUM(ad11:ad16)</f>
      </c>
      <c r="AE19" s="13367">
        <f>SUM(ae11:ae16)</f>
      </c>
      <c r="AF19" s="13368">
        <f>SUM(af11:af16)</f>
      </c>
      <c r="AG19" s="13369">
        <f>SUM(ag11:ag16)</f>
      </c>
      <c r="AH19" s="13370">
        <f>SUM(ah11:ah16)</f>
      </c>
      <c r="AI19" s="13371">
        <f>SUM(ai11:ai16)</f>
      </c>
      <c r="AJ19" s="13372">
        <f>SUM(aj11:aj16)</f>
      </c>
      <c r="AK19" s="13373">
        <f>SUM(ak11:ak16)</f>
      </c>
      <c r="AL19" s="13374">
        <f>SUM(al11:al16)</f>
      </c>
      <c r="AM19" s="13375">
        <f>SUM(am11:am16)</f>
      </c>
      <c r="AN19" s="13376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3377">
        <v>0</v>
      </c>
      <c r="B1" t="s" s="13378">
        <v>1</v>
      </c>
      <c r="Y1" t="s" s="13379">
        <v>6</v>
      </c>
      <c r="Z1" t="n" s="13380">
        <v>2020.0</v>
      </c>
    </row>
    <row r="2" ht="15.0" customHeight="true">
      <c r="A2" t="s" s="13381">
        <v>0</v>
      </c>
      <c r="B2" t="s" s="13382">
        <v>2</v>
      </c>
      <c r="Y2" t="s" s="13383">
        <v>7</v>
      </c>
      <c r="Z2" t="n" s="13384">
        <v>2019.0</v>
      </c>
    </row>
    <row r="3" ht="15.0" customHeight="true">
      <c r="A3" t="s" s="13385">
        <v>0</v>
      </c>
      <c r="B3" t="s" s="13386">
        <v>3</v>
      </c>
    </row>
    <row r="4" ht="15.0" customHeight="true">
      <c r="A4" t="s" s="13387">
        <v>0</v>
      </c>
      <c r="B4" t="s" s="13388">
        <v>4</v>
      </c>
    </row>
    <row r="5" ht="15.0" customHeight="true">
      <c r="A5" t="s" s="13389">
        <v>0</v>
      </c>
      <c r="B5" t="s" s="13390">
        <v>5</v>
      </c>
    </row>
    <row r="6" ht="15.0" customHeight="true"/>
    <row r="7" ht="15.0" customHeight="true"/>
    <row r="8" ht="28.0" customHeight="true">
      <c r="A8" t="s" s="13391">
        <v>0</v>
      </c>
      <c r="B8" t="s" s="13392">
        <v>0</v>
      </c>
      <c r="C8" t="s" s="13393">
        <v>0</v>
      </c>
      <c r="D8" t="s" s="13394">
        <v>0</v>
      </c>
      <c r="E8" t="s" s="13395">
        <v>0</v>
      </c>
      <c r="F8" t="s" s="13396">
        <v>0</v>
      </c>
      <c r="G8" t="s" s="13397">
        <v>0</v>
      </c>
      <c r="H8" t="s" s="13398">
        <v>0</v>
      </c>
      <c r="I8" t="s" s="13399">
        <v>0</v>
      </c>
      <c r="J8" t="s" s="13400">
        <v>0</v>
      </c>
      <c r="K8" t="s" s="13401">
        <v>0</v>
      </c>
      <c r="L8" t="s" s="13402">
        <v>0</v>
      </c>
      <c r="M8" t="s" s="13403">
        <v>0</v>
      </c>
      <c r="N8" t="s" s="13404">
        <v>0</v>
      </c>
      <c r="O8" t="s" s="13405">
        <v>0</v>
      </c>
      <c r="P8" t="s" s="13406">
        <v>0</v>
      </c>
      <c r="Q8" t="s" s="13407">
        <v>0</v>
      </c>
      <c r="R8" t="s" s="13408">
        <v>0</v>
      </c>
      <c r="S8" t="s" s="13409">
        <v>0</v>
      </c>
      <c r="T8" t="s" s="13410">
        <v>0</v>
      </c>
      <c r="U8" t="s" s="13411">
        <v>0</v>
      </c>
      <c r="V8" t="s" s="13412">
        <v>0</v>
      </c>
      <c r="W8" t="s" s="13413">
        <v>0</v>
      </c>
      <c r="X8" t="s" s="13414">
        <v>0</v>
      </c>
      <c r="Y8" t="s" s="13415">
        <v>0</v>
      </c>
      <c r="Z8" t="s" s="13416">
        <v>0</v>
      </c>
      <c r="AA8" t="s" s="13417">
        <v>0</v>
      </c>
      <c r="AB8" t="s" s="13418">
        <v>0</v>
      </c>
      <c r="AC8" t="s" s="13419">
        <v>8</v>
      </c>
      <c r="AD8" t="s" s="13420">
        <v>0</v>
      </c>
      <c r="AE8" t="s" s="13421">
        <v>0</v>
      </c>
      <c r="AF8" t="s" s="13422">
        <v>0</v>
      </c>
      <c r="AG8" t="s" s="13423">
        <v>0</v>
      </c>
      <c r="AH8" t="s" s="13424">
        <v>0</v>
      </c>
      <c r="AI8" t="s" s="13425">
        <v>0</v>
      </c>
      <c r="AJ8" t="s" s="13426">
        <v>0</v>
      </c>
      <c r="AK8" t="s" s="13427">
        <v>0</v>
      </c>
      <c r="AL8" t="s" s="13428">
        <v>0</v>
      </c>
      <c r="AM8" t="s" s="13429">
        <v>0</v>
      </c>
      <c r="AN8" t="s" s="13430">
        <v>0</v>
      </c>
      <c r="AO8" t="s" s="13431">
        <v>0</v>
      </c>
    </row>
    <row r="9" ht="41.0" customHeight="true">
      <c r="A9" t="s" s="13432">
        <v>9</v>
      </c>
      <c r="B9" t="s" s="13433">
        <v>10</v>
      </c>
      <c r="C9" t="s" s="13434">
        <v>11</v>
      </c>
      <c r="D9" t="s" s="13435">
        <v>12</v>
      </c>
      <c r="E9" t="s" s="13436">
        <v>13</v>
      </c>
      <c r="F9" t="s" s="13437">
        <v>14</v>
      </c>
      <c r="G9" t="s" s="13438">
        <v>15</v>
      </c>
      <c r="H9" t="s" s="13439">
        <v>16</v>
      </c>
      <c r="I9" t="s" s="13440">
        <v>17</v>
      </c>
      <c r="J9" t="s" s="13441">
        <v>18</v>
      </c>
      <c r="K9" t="s" s="13442">
        <v>19</v>
      </c>
      <c r="L9" t="s" s="13443">
        <v>20</v>
      </c>
      <c r="M9" t="s" s="13444">
        <v>21</v>
      </c>
      <c r="N9" t="s" s="13445">
        <v>22</v>
      </c>
      <c r="O9" t="s" s="13446">
        <v>23</v>
      </c>
      <c r="P9" t="s" s="13447">
        <v>24</v>
      </c>
      <c r="Q9" t="s" s="13448">
        <v>25</v>
      </c>
      <c r="R9" t="s" s="13449">
        <v>26</v>
      </c>
      <c r="S9" t="s" s="13450">
        <v>27</v>
      </c>
      <c r="T9" t="s" s="13451">
        <v>28</v>
      </c>
      <c r="U9" t="s" s="13452">
        <v>29</v>
      </c>
      <c r="V9" t="s" s="13453">
        <v>30</v>
      </c>
      <c r="W9" t="s" s="13454">
        <v>31</v>
      </c>
      <c r="X9" t="s" s="13455">
        <v>32</v>
      </c>
      <c r="Y9" t="s" s="13456">
        <v>33</v>
      </c>
      <c r="Z9" t="s" s="13457">
        <v>34</v>
      </c>
      <c r="AA9" t="s" s="13458">
        <v>35</v>
      </c>
      <c r="AB9" t="s" s="13459">
        <v>36</v>
      </c>
      <c r="AC9" t="s" s="13460">
        <v>37</v>
      </c>
      <c r="AD9" t="s" s="13461">
        <v>38</v>
      </c>
      <c r="AE9" t="s" s="13462">
        <v>39</v>
      </c>
      <c r="AF9" t="s" s="13463">
        <v>40</v>
      </c>
      <c r="AG9" t="s" s="13464">
        <v>41</v>
      </c>
      <c r="AH9" t="s" s="13465">
        <v>42</v>
      </c>
      <c r="AI9" t="s" s="13466">
        <v>43</v>
      </c>
      <c r="AJ9" t="s" s="13467">
        <v>44</v>
      </c>
      <c r="AK9" t="s" s="13468">
        <v>45</v>
      </c>
      <c r="AL9" t="s" s="13469">
        <v>46</v>
      </c>
      <c r="AM9" t="s" s="13470">
        <v>47</v>
      </c>
      <c r="AN9" t="s" s="13471">
        <v>48</v>
      </c>
      <c r="AO9" t="s" s="13472">
        <v>49</v>
      </c>
    </row>
    <row r="10" ht="15.0" customHeight="true">
      <c r="A10" t="s" s="13473">
        <v>0</v>
      </c>
      <c r="B10" t="s" s="13474">
        <v>0</v>
      </c>
      <c r="C10" t="s" s="13475">
        <v>0</v>
      </c>
      <c r="D10" t="s" s="13476">
        <v>0</v>
      </c>
      <c r="E10" t="s" s="13477">
        <v>0</v>
      </c>
      <c r="F10" t="s" s="13478">
        <v>0</v>
      </c>
      <c r="G10" t="s" s="13479">
        <v>0</v>
      </c>
      <c r="H10" t="s" s="13480">
        <v>0</v>
      </c>
      <c r="I10" t="s" s="13481">
        <v>0</v>
      </c>
      <c r="J10" t="s" s="13482">
        <v>0</v>
      </c>
      <c r="K10" t="s" s="13483">
        <v>0</v>
      </c>
      <c r="L10" t="s" s="13484">
        <v>0</v>
      </c>
      <c r="M10" t="s" s="13485">
        <v>0</v>
      </c>
      <c r="N10" t="s" s="13486">
        <v>0</v>
      </c>
      <c r="O10" t="s" s="13487">
        <v>0</v>
      </c>
      <c r="P10" t="s" s="13488">
        <v>0</v>
      </c>
      <c r="Q10" t="s" s="13489">
        <v>0</v>
      </c>
      <c r="R10" t="s" s="13490">
        <v>0</v>
      </c>
      <c r="S10" t="s" s="13491">
        <v>0</v>
      </c>
      <c r="T10" t="s" s="13492">
        <v>0</v>
      </c>
      <c r="U10" t="s" s="13493">
        <v>0</v>
      </c>
      <c r="V10" t="s" s="13494">
        <v>0</v>
      </c>
      <c r="W10" t="s" s="13495">
        <v>0</v>
      </c>
      <c r="X10" t="s" s="13496">
        <v>0</v>
      </c>
      <c r="Y10" t="n" s="13497">
        <v>1.5</v>
      </c>
      <c r="Z10" t="n" s="13498">
        <v>1.5</v>
      </c>
      <c r="AA10" t="n" s="13499">
        <v>2.0</v>
      </c>
      <c r="AB10" t="n" s="13500">
        <v>2.0</v>
      </c>
      <c r="AC10" t="n" s="13501">
        <v>3.0</v>
      </c>
      <c r="AD10" t="n" s="13502">
        <v>3.0</v>
      </c>
      <c r="AE10" t="s" s="13503">
        <v>50</v>
      </c>
      <c r="AF10" t="s" s="13504">
        <v>50</v>
      </c>
      <c r="AG10" t="s" s="13505">
        <v>0</v>
      </c>
      <c r="AH10" t="s" s="13506">
        <v>0</v>
      </c>
      <c r="AI10" t="s" s="13507">
        <v>0</v>
      </c>
      <c r="AJ10" t="s" s="13508">
        <v>0</v>
      </c>
      <c r="AK10" t="s" s="13509">
        <v>0</v>
      </c>
      <c r="AL10" t="s" s="13510">
        <v>0</v>
      </c>
      <c r="AM10" t="s" s="13511">
        <v>0</v>
      </c>
      <c r="AN10" t="s" s="13512">
        <v>0</v>
      </c>
      <c r="AO10" t="s" s="13513">
        <v>0</v>
      </c>
    </row>
    <row r="11" ht="15.0" customHeight="true">
      <c r="A11" t="s" s="13514">
        <v>511</v>
      </c>
      <c r="B11" t="s" s="13515">
        <v>512</v>
      </c>
      <c r="C11" t="s" s="13516">
        <v>513</v>
      </c>
      <c r="D11" t="s" s="13517">
        <v>514</v>
      </c>
      <c r="E11" t="s" s="13518">
        <v>55</v>
      </c>
      <c r="F11" t="s" s="13519">
        <v>515</v>
      </c>
      <c r="G11" t="s" s="13520">
        <v>516</v>
      </c>
      <c r="H11" t="s" s="13521">
        <v>517</v>
      </c>
      <c r="I11" t="n" s="13522">
        <v>43831.0</v>
      </c>
      <c r="J11" t="n" s="13523">
        <v>44196.0</v>
      </c>
      <c r="K11" t="s" s="13524">
        <v>0</v>
      </c>
      <c r="L11" t="n" s="13525">
        <v>1200.0</v>
      </c>
      <c r="M11" t="n" s="13526">
        <v>0.0</v>
      </c>
      <c r="N11" t="n" s="13527">
        <v>0.0</v>
      </c>
      <c r="O11" s="13528">
        <f>M11*N11</f>
      </c>
      <c r="P11" t="n" s="13529">
        <v>0.0</v>
      </c>
      <c r="Q11" t="n" s="13530">
        <v>0.0</v>
      </c>
      <c r="R11" s="13531">
        <f>P11*Q11</f>
      </c>
      <c r="S11" t="n" s="13532">
        <v>1200.0</v>
      </c>
      <c r="T11" t="n" s="13533">
        <v>0.0</v>
      </c>
      <c r="U11" t="n" s="13534">
        <v>0.0</v>
      </c>
      <c r="V11" s="13535">
        <f>L11+O11+R11</f>
      </c>
      <c r="W11" t="n" s="13536">
        <v>600.0</v>
      </c>
      <c r="X11" s="13537">
        <f>s11+t11+u11+w11</f>
      </c>
      <c r="Y11" t="n" s="13538">
        <v>7.0</v>
      </c>
      <c r="Z11" t="n" s="13539">
        <v>60.55</v>
      </c>
      <c r="AA11" t="n" s="13540">
        <v>0.0</v>
      </c>
      <c r="AB11" t="n" s="13541">
        <v>0.0</v>
      </c>
      <c r="AC11" t="n" s="13542">
        <v>0.0</v>
      </c>
      <c r="AD11" t="n" s="13543">
        <v>0.0</v>
      </c>
      <c r="AE11" s="13544">
        <f>y11+aa11+ac11</f>
      </c>
      <c r="AF11" s="13545">
        <f>z11+ab11+ad11</f>
      </c>
      <c r="AG11" t="n" s="13546">
        <v>247.0</v>
      </c>
      <c r="AH11" t="n" s="13547">
        <v>34.15</v>
      </c>
      <c r="AI11" t="n" s="13548">
        <v>3.9</v>
      </c>
      <c r="AJ11" s="13549">
        <f>x11+af11+ag11+ah11+ai11</f>
      </c>
      <c r="AK11" s="13550">
        <f>ROUND((l11+t11+af11+ag11+ah11+ai11+w11)*0.05,2)</f>
      </c>
      <c r="AL11" s="13551">
        <f>aj11+ak11</f>
      </c>
      <c r="AM11" s="13552">
        <f>80*0.06</f>
      </c>
      <c r="AN11" s="13553">
        <f>al11+am11</f>
      </c>
      <c r="AO11" t="s" s="13554">
        <v>0</v>
      </c>
    </row>
    <row r="12" ht="15.0" customHeight="true">
      <c r="A12" t="s" s="13555">
        <v>518</v>
      </c>
      <c r="B12" t="s" s="13556">
        <v>519</v>
      </c>
      <c r="C12" t="s" s="13557">
        <v>520</v>
      </c>
      <c r="D12" t="s" s="13558">
        <v>521</v>
      </c>
      <c r="E12" t="s" s="13559">
        <v>55</v>
      </c>
      <c r="F12" t="s" s="13560">
        <v>522</v>
      </c>
      <c r="G12" t="s" s="13561">
        <v>516</v>
      </c>
      <c r="H12" t="s" s="13562">
        <v>517</v>
      </c>
      <c r="I12" t="n" s="13563">
        <v>43831.0</v>
      </c>
      <c r="J12" t="n" s="13564">
        <v>44196.0</v>
      </c>
      <c r="K12" t="s" s="13565">
        <v>0</v>
      </c>
      <c r="L12" t="n" s="13566">
        <v>1340.0</v>
      </c>
      <c r="M12" t="n" s="13567">
        <v>0.0</v>
      </c>
      <c r="N12" t="n" s="13568">
        <v>0.0</v>
      </c>
      <c r="O12" s="13569">
        <f>M12*N12</f>
      </c>
      <c r="P12" t="n" s="13570">
        <v>0.0</v>
      </c>
      <c r="Q12" t="n" s="13571">
        <v>0.0</v>
      </c>
      <c r="R12" s="13572">
        <f>P12*Q12</f>
      </c>
      <c r="S12" t="n" s="13573">
        <v>1340.0</v>
      </c>
      <c r="T12" t="n" s="13574">
        <v>0.0</v>
      </c>
      <c r="U12" t="n" s="13575">
        <v>0.0</v>
      </c>
      <c r="V12" s="13576">
        <f>L12+O12+R12</f>
      </c>
      <c r="W12" t="n" s="13577">
        <v>0.0</v>
      </c>
      <c r="X12" s="13578">
        <f>s12+t12+u12+w12</f>
      </c>
      <c r="Y12" t="n" s="13579">
        <v>0.0</v>
      </c>
      <c r="Z12" t="n" s="13580">
        <v>0.0</v>
      </c>
      <c r="AA12" t="n" s="13581">
        <v>0.0</v>
      </c>
      <c r="AB12" t="n" s="13582">
        <v>0.0</v>
      </c>
      <c r="AC12" t="n" s="13583">
        <v>0.0</v>
      </c>
      <c r="AD12" t="n" s="13584">
        <v>0.0</v>
      </c>
      <c r="AE12" s="13585">
        <f>y12+aa12+ac12</f>
      </c>
      <c r="AF12" s="13586">
        <f>z12+ab12+ad12</f>
      </c>
      <c r="AG12" t="n" s="13587">
        <v>188.0</v>
      </c>
      <c r="AH12" t="n" s="13588">
        <v>25.35</v>
      </c>
      <c r="AI12" t="n" s="13589">
        <v>2.9</v>
      </c>
      <c r="AJ12" s="13590">
        <f>x12+af12+ag12+ah12+ai12</f>
      </c>
      <c r="AK12" s="13591">
        <f>ROUND((l12+t12+af12+ag12+ah12+ai12+w12)*0.05,2)</f>
      </c>
      <c r="AL12" s="13592">
        <f>aj12+ak12</f>
      </c>
      <c r="AM12" s="13593">
        <f>80*0.06</f>
      </c>
      <c r="AN12" s="13594">
        <f>al12+am12</f>
      </c>
      <c r="AO12" t="s" s="13595">
        <v>0</v>
      </c>
    </row>
    <row r="13" ht="15.0" customHeight="true">
      <c r="A13" t="s" s="13596">
        <v>523</v>
      </c>
      <c r="B13" t="s" s="13597">
        <v>524</v>
      </c>
      <c r="C13" t="s" s="13598">
        <v>525</v>
      </c>
      <c r="D13" t="s" s="13599">
        <v>526</v>
      </c>
      <c r="E13" t="s" s="13600">
        <v>55</v>
      </c>
      <c r="F13" t="s" s="13601">
        <v>527</v>
      </c>
      <c r="G13" t="s" s="13602">
        <v>516</v>
      </c>
      <c r="H13" t="s" s="13603">
        <v>517</v>
      </c>
      <c r="I13" t="n" s="13604">
        <v>43831.0</v>
      </c>
      <c r="J13" t="n" s="13605">
        <v>44196.0</v>
      </c>
      <c r="K13" t="s" s="13606">
        <v>0</v>
      </c>
      <c r="L13" t="n" s="13607">
        <v>1300.0</v>
      </c>
      <c r="M13" t="n" s="13608">
        <v>0.0</v>
      </c>
      <c r="N13" t="n" s="13609">
        <v>0.0</v>
      </c>
      <c r="O13" s="13610">
        <f>M13*N13</f>
      </c>
      <c r="P13" t="n" s="13611">
        <v>0.0</v>
      </c>
      <c r="Q13" t="n" s="13612">
        <v>0.0</v>
      </c>
      <c r="R13" s="13613">
        <f>P13*Q13</f>
      </c>
      <c r="S13" t="n" s="13614">
        <v>1300.0</v>
      </c>
      <c r="T13" t="n" s="13615">
        <v>0.0</v>
      </c>
      <c r="U13" t="n" s="13616">
        <v>0.0</v>
      </c>
      <c r="V13" s="13617">
        <f>L13+O13+R13</f>
      </c>
      <c r="W13" t="n" s="13618">
        <v>1080.0</v>
      </c>
      <c r="X13" s="13619">
        <f>s13+t13+u13+w13</f>
      </c>
      <c r="Y13" t="n" s="13620">
        <v>6.0</v>
      </c>
      <c r="Z13" t="n" s="13621">
        <v>56.28</v>
      </c>
      <c r="AA13" t="n" s="13622">
        <v>0.0</v>
      </c>
      <c r="AB13" t="n" s="13623">
        <v>0.0</v>
      </c>
      <c r="AC13" t="n" s="13624">
        <v>0.0</v>
      </c>
      <c r="AD13" t="n" s="13625">
        <v>0.0</v>
      </c>
      <c r="AE13" s="13626">
        <f>y13+aa13+ac13</f>
      </c>
      <c r="AF13" s="13627">
        <f>z13+ab13+ad13</f>
      </c>
      <c r="AG13" t="n" s="13628">
        <v>323.0</v>
      </c>
      <c r="AH13" t="n" s="13629">
        <v>44.65</v>
      </c>
      <c r="AI13" t="n" s="13630">
        <v>5.1</v>
      </c>
      <c r="AJ13" s="13631">
        <f>x13+af13+ag13+ah13+ai13</f>
      </c>
      <c r="AK13" s="13632">
        <f>ROUND((l13+t13+af13+ag13+ah13+ai13+w13)*0.05,2)</f>
      </c>
      <c r="AL13" s="13633">
        <f>aj13+ak13</f>
      </c>
      <c r="AM13" s="13634">
        <f>80*0.06</f>
      </c>
      <c r="AN13" s="13635">
        <f>al13+am13</f>
      </c>
      <c r="AO13" t="s" s="13636">
        <v>0</v>
      </c>
    </row>
    <row r="14" ht="15.0" customHeight="true">
      <c r="A14" t="s" s="13637">
        <v>528</v>
      </c>
      <c r="B14" t="s" s="13638">
        <v>529</v>
      </c>
      <c r="C14" t="s" s="13639">
        <v>530</v>
      </c>
      <c r="D14" t="s" s="13640">
        <v>531</v>
      </c>
      <c r="E14" t="s" s="13641">
        <v>55</v>
      </c>
      <c r="F14" t="s" s="13642">
        <v>532</v>
      </c>
      <c r="G14" t="s" s="13643">
        <v>516</v>
      </c>
      <c r="H14" t="s" s="13644">
        <v>517</v>
      </c>
      <c r="I14" t="n" s="13645">
        <v>43831.0</v>
      </c>
      <c r="J14" t="n" s="13646">
        <v>44196.0</v>
      </c>
      <c r="K14" t="s" s="13647">
        <v>0</v>
      </c>
      <c r="L14" t="n" s="13648">
        <v>1290.0</v>
      </c>
      <c r="M14" t="n" s="13649">
        <v>0.0</v>
      </c>
      <c r="N14" t="n" s="13650">
        <v>0.0</v>
      </c>
      <c r="O14" s="13651">
        <f>M14*N14</f>
      </c>
      <c r="P14" t="n" s="13652">
        <v>0.0</v>
      </c>
      <c r="Q14" t="n" s="13653">
        <v>0.0</v>
      </c>
      <c r="R14" s="13654">
        <f>P14*Q14</f>
      </c>
      <c r="S14" t="n" s="13655">
        <v>1290.0</v>
      </c>
      <c r="T14" t="n" s="13656">
        <v>0.0</v>
      </c>
      <c r="U14" t="n" s="13657">
        <v>0.0</v>
      </c>
      <c r="V14" s="13658">
        <f>L14+O14+R14</f>
      </c>
      <c r="W14" t="n" s="13659">
        <v>880.0</v>
      </c>
      <c r="X14" s="13660">
        <f>s14+t14+u14+w14</f>
      </c>
      <c r="Y14" t="n" s="13661">
        <v>0.0</v>
      </c>
      <c r="Z14" t="n" s="13662">
        <v>0.0</v>
      </c>
      <c r="AA14" t="n" s="13663">
        <v>0.0</v>
      </c>
      <c r="AB14" t="n" s="13664">
        <v>0.0</v>
      </c>
      <c r="AC14" t="n" s="13665">
        <v>0.0</v>
      </c>
      <c r="AD14" t="n" s="13666">
        <v>0.0</v>
      </c>
      <c r="AE14" s="13667">
        <f>y14+aa14+ac14</f>
      </c>
      <c r="AF14" s="13668">
        <f>z14+ab14+ad14</f>
      </c>
      <c r="AG14" t="n" s="13669">
        <v>305.0</v>
      </c>
      <c r="AH14" t="n" s="13670">
        <v>41.15</v>
      </c>
      <c r="AI14" t="n" s="13671">
        <v>4.7</v>
      </c>
      <c r="AJ14" s="13672">
        <f>x14+af14+ag14+ah14+ai14</f>
      </c>
      <c r="AK14" s="13673">
        <f>ROUND((l14+t14+af14+ag14+ah14+ai14+w14)*0.05,2)</f>
      </c>
      <c r="AL14" s="13674">
        <f>aj14+ak14</f>
      </c>
      <c r="AM14" s="13675">
        <f>80*0.06</f>
      </c>
      <c r="AN14" s="13676">
        <f>al14+am14</f>
      </c>
      <c r="AO14" t="s" s="13677">
        <v>0</v>
      </c>
    </row>
    <row r="15" ht="15.0" customHeight="true">
      <c r="A15" t="s" s="13678">
        <v>533</v>
      </c>
      <c r="B15" t="s" s="13679">
        <v>534</v>
      </c>
      <c r="C15" t="s" s="13680">
        <v>535</v>
      </c>
      <c r="D15" t="s" s="13681">
        <v>536</v>
      </c>
      <c r="E15" t="s" s="13682">
        <v>55</v>
      </c>
      <c r="F15" t="s" s="13683">
        <v>537</v>
      </c>
      <c r="G15" t="s" s="13684">
        <v>516</v>
      </c>
      <c r="H15" t="s" s="13685">
        <v>517</v>
      </c>
      <c r="I15" t="n" s="13686">
        <v>43831.0</v>
      </c>
      <c r="J15" t="n" s="13687">
        <v>44196.0</v>
      </c>
      <c r="K15" t="s" s="13688">
        <v>0</v>
      </c>
      <c r="L15" t="n" s="13689">
        <v>1270.0</v>
      </c>
      <c r="M15" t="n" s="13690">
        <v>0.0</v>
      </c>
      <c r="N15" t="n" s="13691">
        <v>0.0</v>
      </c>
      <c r="O15" s="13692">
        <f>M15*N15</f>
      </c>
      <c r="P15" t="n" s="13693">
        <v>0.0</v>
      </c>
      <c r="Q15" t="n" s="13694">
        <v>0.0</v>
      </c>
      <c r="R15" s="13695">
        <f>P15*Q15</f>
      </c>
      <c r="S15" t="n" s="13696">
        <v>1270.0</v>
      </c>
      <c r="T15" t="n" s="13697">
        <v>0.0</v>
      </c>
      <c r="U15" t="n" s="13698">
        <v>0.0</v>
      </c>
      <c r="V15" s="13699">
        <f>L15+O15+R15</f>
      </c>
      <c r="W15" t="n" s="13700">
        <v>700.0</v>
      </c>
      <c r="X15" s="13701">
        <f>s15+t15+u15+w15</f>
      </c>
      <c r="Y15" t="n" s="13702">
        <v>8.0</v>
      </c>
      <c r="Z15" t="n" s="13703">
        <v>73.28</v>
      </c>
      <c r="AA15" t="n" s="13704">
        <v>0.0</v>
      </c>
      <c r="AB15" t="n" s="13705">
        <v>0.0</v>
      </c>
      <c r="AC15" t="n" s="13706">
        <v>0.0</v>
      </c>
      <c r="AD15" t="n" s="13707">
        <v>0.0</v>
      </c>
      <c r="AE15" s="13708">
        <f>y15+aa15+ac15</f>
      </c>
      <c r="AF15" s="13709">
        <f>z15+ab15+ad15</f>
      </c>
      <c r="AG15" t="n" s="13710">
        <v>279.0</v>
      </c>
      <c r="AH15" t="n" s="13711">
        <v>39.35</v>
      </c>
      <c r="AI15" t="n" s="13712">
        <v>4.5</v>
      </c>
      <c r="AJ15" s="13713">
        <f>x15+af15+ag15+ah15+ai15</f>
      </c>
      <c r="AK15" s="13714">
        <f>ROUND((l15+t15+af15+ag15+ah15+ai15+w15)*0.05,2)</f>
      </c>
      <c r="AL15" s="13715">
        <f>aj15+ak15</f>
      </c>
      <c r="AM15" s="13716">
        <f>80*0.06</f>
      </c>
      <c r="AN15" s="13717">
        <f>al15+am15</f>
      </c>
      <c r="AO15" t="s" s="13718">
        <v>0</v>
      </c>
    </row>
    <row r="16" ht="15.0" customHeight="true">
      <c r="A16" t="s" s="13719">
        <v>538</v>
      </c>
      <c r="B16" t="s" s="13720">
        <v>539</v>
      </c>
      <c r="C16" t="s" s="13721">
        <v>540</v>
      </c>
      <c r="D16" t="s" s="13722">
        <v>541</v>
      </c>
      <c r="E16" t="s" s="13723">
        <v>542</v>
      </c>
      <c r="F16" t="s" s="13724">
        <v>543</v>
      </c>
      <c r="G16" t="s" s="13725">
        <v>516</v>
      </c>
      <c r="H16" t="s" s="13726">
        <v>517</v>
      </c>
      <c r="I16" t="n" s="13727">
        <v>43831.0</v>
      </c>
      <c r="J16" t="n" s="13728">
        <v>44196.0</v>
      </c>
      <c r="K16" t="s" s="13729">
        <v>0</v>
      </c>
      <c r="L16" t="n" s="13730">
        <v>3600.0</v>
      </c>
      <c r="M16" t="n" s="13731">
        <v>0.0</v>
      </c>
      <c r="N16" t="n" s="13732">
        <v>0.0</v>
      </c>
      <c r="O16" s="13733">
        <f>M16*N16</f>
      </c>
      <c r="P16" t="n" s="13734">
        <v>0.0</v>
      </c>
      <c r="Q16" t="n" s="13735">
        <v>0.0</v>
      </c>
      <c r="R16" s="13736">
        <f>P16*Q16</f>
      </c>
      <c r="S16" t="n" s="13737">
        <v>3600.0</v>
      </c>
      <c r="T16" t="n" s="13738">
        <v>0.0</v>
      </c>
      <c r="U16" t="n" s="13739">
        <v>0.0</v>
      </c>
      <c r="V16" s="13740">
        <f>L16+O16+R16</f>
      </c>
      <c r="W16" t="n" s="13741">
        <v>300.0</v>
      </c>
      <c r="X16" s="13742">
        <f>s16+t16+u16+w16</f>
      </c>
      <c r="Y16" t="n" s="13743">
        <v>0.0</v>
      </c>
      <c r="Z16" t="n" s="13744">
        <v>0.0</v>
      </c>
      <c r="AA16" t="n" s="13745">
        <v>0.0</v>
      </c>
      <c r="AB16" t="n" s="13746">
        <v>0.0</v>
      </c>
      <c r="AC16" t="n" s="13747">
        <v>0.0</v>
      </c>
      <c r="AD16" t="n" s="13748">
        <v>0.0</v>
      </c>
      <c r="AE16" s="13749">
        <f>y16+aa16+ac16</f>
      </c>
      <c r="AF16" s="13750">
        <f>z16+ab16+ad16</f>
      </c>
      <c r="AG16" t="n" s="13751">
        <v>546.0</v>
      </c>
      <c r="AH16" t="n" s="13752">
        <v>69.05</v>
      </c>
      <c r="AI16" t="n" s="13753">
        <v>7.9</v>
      </c>
      <c r="AJ16" s="13754">
        <f>x16+af16+ag16+ah16+ai16</f>
      </c>
      <c r="AK16" s="13755">
        <f>ROUND((l16+t16+af16+ag16+ah16+ai16+w16)*0.05,2)</f>
      </c>
      <c r="AL16" s="13756">
        <f>aj16+ak16</f>
      </c>
      <c r="AM16" s="13757">
        <f>80*0.06</f>
      </c>
      <c r="AN16" s="13758">
        <f>al16+am16</f>
      </c>
      <c r="AO16" t="s" s="13759">
        <v>0</v>
      </c>
    </row>
    <row r="17" ht="15.0" customHeight="true">
      <c r="A17" t="s" s="13760">
        <v>544</v>
      </c>
      <c r="B17" t="s" s="13761">
        <v>545</v>
      </c>
      <c r="C17" t="s" s="13762">
        <v>546</v>
      </c>
      <c r="D17" t="s" s="13763">
        <v>547</v>
      </c>
      <c r="E17" t="s" s="13764">
        <v>55</v>
      </c>
      <c r="F17" t="s" s="13765">
        <v>543</v>
      </c>
      <c r="G17" t="s" s="13766">
        <v>516</v>
      </c>
      <c r="H17" t="s" s="13767">
        <v>517</v>
      </c>
      <c r="I17" t="n" s="13768">
        <v>43831.0</v>
      </c>
      <c r="J17" t="n" s="13769">
        <v>44196.0</v>
      </c>
      <c r="K17" t="s" s="13770">
        <v>0</v>
      </c>
      <c r="L17" t="n" s="13771">
        <v>1260.0</v>
      </c>
      <c r="M17" t="n" s="13772">
        <v>0.0</v>
      </c>
      <c r="N17" t="n" s="13773">
        <v>0.0</v>
      </c>
      <c r="O17" s="13774">
        <f>M17*N17</f>
      </c>
      <c r="P17" t="n" s="13775">
        <v>0.0</v>
      </c>
      <c r="Q17" t="n" s="13776">
        <v>0.0</v>
      </c>
      <c r="R17" s="13777">
        <f>P17*Q17</f>
      </c>
      <c r="S17" t="n" s="13778">
        <v>1260.0</v>
      </c>
      <c r="T17" t="n" s="13779">
        <v>0.0</v>
      </c>
      <c r="U17" t="n" s="13780">
        <v>0.0</v>
      </c>
      <c r="V17" s="13781">
        <f>L17+O17+R17</f>
      </c>
      <c r="W17" t="n" s="13782">
        <v>100.0</v>
      </c>
      <c r="X17" s="13783">
        <f>s17+t17+u17+w17</f>
      </c>
      <c r="Y17" t="n" s="13784">
        <v>8.0</v>
      </c>
      <c r="Z17" t="n" s="13785">
        <v>72.72</v>
      </c>
      <c r="AA17" t="n" s="13786">
        <v>0.0</v>
      </c>
      <c r="AB17" t="n" s="13787">
        <v>0.0</v>
      </c>
      <c r="AC17" t="n" s="13788">
        <v>0.0</v>
      </c>
      <c r="AD17" t="n" s="13789">
        <v>0.0</v>
      </c>
      <c r="AE17" s="13790">
        <f>y17+aa17+ac17</f>
      </c>
      <c r="AF17" s="13791">
        <f>z17+ab17+ad17</f>
      </c>
      <c r="AG17" t="n" s="13792">
        <v>198.0</v>
      </c>
      <c r="AH17" t="n" s="13793">
        <v>27.15</v>
      </c>
      <c r="AI17" t="n" s="13794">
        <v>3.1</v>
      </c>
      <c r="AJ17" s="13795">
        <f>x17+af17+ag17+ah17+ai17</f>
      </c>
      <c r="AK17" s="13796">
        <f>ROUND((l17+t17+af17+ag17+ah17+ai17+w17)*0.05,2)</f>
      </c>
      <c r="AL17" s="13797">
        <f>aj17+ak17</f>
      </c>
      <c r="AM17" s="13798">
        <f>80*0.06</f>
      </c>
      <c r="AN17" s="13799">
        <f>al17+am17</f>
      </c>
      <c r="AO17" t="s" s="13800">
        <v>0</v>
      </c>
    </row>
    <row r="18" ht="15.0" customHeight="true">
      <c r="A18" t="s" s="13801">
        <v>548</v>
      </c>
      <c r="B18" t="s" s="13802">
        <v>549</v>
      </c>
      <c r="C18" t="s" s="13803">
        <v>550</v>
      </c>
      <c r="D18" t="s" s="13804">
        <v>551</v>
      </c>
      <c r="E18" t="s" s="13805">
        <v>55</v>
      </c>
      <c r="F18" t="s" s="13806">
        <v>552</v>
      </c>
      <c r="G18" t="s" s="13807">
        <v>516</v>
      </c>
      <c r="H18" t="s" s="13808">
        <v>517</v>
      </c>
      <c r="I18" t="n" s="13809">
        <v>43831.0</v>
      </c>
      <c r="J18" t="n" s="13810">
        <v>44196.0</v>
      </c>
      <c r="K18" t="s" s="13811">
        <v>0</v>
      </c>
      <c r="L18" t="n" s="13812">
        <v>1460.0</v>
      </c>
      <c r="M18" t="n" s="13813">
        <v>0.0</v>
      </c>
      <c r="N18" t="n" s="13814">
        <v>0.0</v>
      </c>
      <c r="O18" s="13815">
        <f>M18*N18</f>
      </c>
      <c r="P18" t="n" s="13816">
        <v>0.0</v>
      </c>
      <c r="Q18" t="n" s="13817">
        <v>0.0</v>
      </c>
      <c r="R18" s="13818">
        <f>P18*Q18</f>
      </c>
      <c r="S18" t="n" s="13819">
        <v>1460.0</v>
      </c>
      <c r="T18" t="n" s="13820">
        <v>0.0</v>
      </c>
      <c r="U18" t="n" s="13821">
        <v>0.0</v>
      </c>
      <c r="V18" s="13822">
        <f>L18+O18+R18</f>
      </c>
      <c r="W18" t="n" s="13823">
        <v>420.0</v>
      </c>
      <c r="X18" s="13824">
        <f>s18+t18+u18+w18</f>
      </c>
      <c r="Y18" t="n" s="13825">
        <v>2.0</v>
      </c>
      <c r="Z18" t="n" s="13826">
        <v>21.06</v>
      </c>
      <c r="AA18" t="n" s="13827">
        <v>0.0</v>
      </c>
      <c r="AB18" t="n" s="13828">
        <v>0.0</v>
      </c>
      <c r="AC18" t="n" s="13829">
        <v>0.0</v>
      </c>
      <c r="AD18" t="n" s="13830">
        <v>0.0</v>
      </c>
      <c r="AE18" s="13831">
        <f>y18+aa18+ac18</f>
      </c>
      <c r="AF18" s="13832">
        <f>z18+ab18+ad18</f>
      </c>
      <c r="AG18" t="n" s="13833">
        <v>266.0</v>
      </c>
      <c r="AH18" t="n" s="13834">
        <v>35.85</v>
      </c>
      <c r="AI18" t="n" s="13835">
        <v>4.1</v>
      </c>
      <c r="AJ18" s="13836">
        <f>x18+af18+ag18+ah18+ai18</f>
      </c>
      <c r="AK18" s="13837">
        <f>ROUND((l18+t18+af18+ag18+ah18+ai18+w18)*0.05,2)</f>
      </c>
      <c r="AL18" s="13838">
        <f>aj18+ak18</f>
      </c>
      <c r="AM18" s="13839">
        <f>80*0.06</f>
      </c>
      <c r="AN18" s="13840">
        <f>al18+am18</f>
      </c>
      <c r="AO18" t="s" s="13841">
        <v>0</v>
      </c>
    </row>
    <row r="19" ht="15.0" customHeight="true">
      <c r="A19" t="s" s="13842">
        <v>553</v>
      </c>
      <c r="B19" t="s" s="13843">
        <v>554</v>
      </c>
      <c r="C19" t="s" s="13844">
        <v>555</v>
      </c>
      <c r="D19" t="s" s="13845">
        <v>556</v>
      </c>
      <c r="E19" t="s" s="13846">
        <v>55</v>
      </c>
      <c r="F19" t="s" s="13847">
        <v>543</v>
      </c>
      <c r="G19" t="s" s="13848">
        <v>516</v>
      </c>
      <c r="H19" t="s" s="13849">
        <v>517</v>
      </c>
      <c r="I19" t="n" s="13850">
        <v>43831.0</v>
      </c>
      <c r="J19" t="n" s="13851">
        <v>44196.0</v>
      </c>
      <c r="K19" t="s" s="13852">
        <v>0</v>
      </c>
      <c r="L19" t="n" s="13853">
        <v>1220.0</v>
      </c>
      <c r="M19" t="n" s="13854">
        <v>0.0</v>
      </c>
      <c r="N19" t="n" s="13855">
        <v>0.0</v>
      </c>
      <c r="O19" s="13856">
        <f>M19*N19</f>
      </c>
      <c r="P19" t="n" s="13857">
        <v>0.0</v>
      </c>
      <c r="Q19" t="n" s="13858">
        <v>0.0</v>
      </c>
      <c r="R19" s="13859">
        <f>P19*Q19</f>
      </c>
      <c r="S19" t="n" s="13860">
        <v>1220.0</v>
      </c>
      <c r="T19" t="n" s="13861">
        <v>0.0</v>
      </c>
      <c r="U19" t="n" s="13862">
        <v>0.0</v>
      </c>
      <c r="V19" s="13863">
        <f>L19+O19+R19</f>
      </c>
      <c r="W19" t="n" s="13864">
        <v>850.0</v>
      </c>
      <c r="X19" s="13865">
        <f>s19+t19+u19+w19</f>
      </c>
      <c r="Y19" t="n" s="13866">
        <v>8.0</v>
      </c>
      <c r="Z19" t="n" s="13867">
        <v>70.4</v>
      </c>
      <c r="AA19" t="n" s="13868">
        <v>0.0</v>
      </c>
      <c r="AB19" t="n" s="13869">
        <v>0.0</v>
      </c>
      <c r="AC19" t="n" s="13870">
        <v>0.0</v>
      </c>
      <c r="AD19" t="n" s="13871">
        <v>0.0</v>
      </c>
      <c r="AE19" s="13872">
        <f>y19+aa19+ac19</f>
      </c>
      <c r="AF19" s="13873">
        <f>z19+ab19+ad19</f>
      </c>
      <c r="AG19" t="n" s="13874">
        <v>292.0</v>
      </c>
      <c r="AH19" t="n" s="13875">
        <v>41.15</v>
      </c>
      <c r="AI19" t="n" s="13876">
        <v>4.7</v>
      </c>
      <c r="AJ19" s="13877">
        <f>x19+af19+ag19+ah19+ai19</f>
      </c>
      <c r="AK19" s="13878">
        <f>ROUND((l19+t19+af19+ag19+ah19+ai19+w19)*0.05,2)</f>
      </c>
      <c r="AL19" s="13879">
        <f>aj19+ak19</f>
      </c>
      <c r="AM19" s="13880">
        <f>80*0.06</f>
      </c>
      <c r="AN19" s="13881">
        <f>al19+am19</f>
      </c>
      <c r="AO19" t="s" s="13882">
        <v>0</v>
      </c>
    </row>
    <row r="20" ht="15.0" customHeight="true">
      <c r="A20" t="s" s="13883">
        <v>557</v>
      </c>
      <c r="B20" t="s" s="13884">
        <v>558</v>
      </c>
      <c r="C20" t="s" s="13885">
        <v>559</v>
      </c>
      <c r="D20" t="s" s="13886">
        <v>560</v>
      </c>
      <c r="E20" t="s" s="13887">
        <v>55</v>
      </c>
      <c r="F20" t="s" s="13888">
        <v>561</v>
      </c>
      <c r="G20" t="s" s="13889">
        <v>516</v>
      </c>
      <c r="H20" t="s" s="13890">
        <v>517</v>
      </c>
      <c r="I20" t="n" s="13891">
        <v>43831.0</v>
      </c>
      <c r="J20" t="n" s="13892">
        <v>44196.0</v>
      </c>
      <c r="K20" t="s" s="13893">
        <v>0</v>
      </c>
      <c r="L20" t="n" s="13894">
        <v>1190.0</v>
      </c>
      <c r="M20" t="n" s="13895">
        <v>0.0</v>
      </c>
      <c r="N20" t="n" s="13896">
        <v>0.0</v>
      </c>
      <c r="O20" s="13897">
        <f>M20*N20</f>
      </c>
      <c r="P20" t="n" s="13898">
        <v>0.0</v>
      </c>
      <c r="Q20" t="n" s="13899">
        <v>0.0</v>
      </c>
      <c r="R20" s="13900">
        <f>P20*Q20</f>
      </c>
      <c r="S20" t="n" s="13901">
        <v>1190.0</v>
      </c>
      <c r="T20" t="n" s="13902">
        <v>0.0</v>
      </c>
      <c r="U20" t="n" s="13903">
        <v>0.0</v>
      </c>
      <c r="V20" s="13904">
        <f>L20+O20+R20</f>
      </c>
      <c r="W20" t="n" s="13905">
        <v>1000.0</v>
      </c>
      <c r="X20" s="13906">
        <f>s20+t20+u20+w20</f>
      </c>
      <c r="Y20" t="n" s="13907">
        <v>8.0</v>
      </c>
      <c r="Z20" t="n" s="13908">
        <v>68.64</v>
      </c>
      <c r="AA20" t="n" s="13909">
        <v>0.0</v>
      </c>
      <c r="AB20" t="n" s="13910">
        <v>0.0</v>
      </c>
      <c r="AC20" t="n" s="13911">
        <v>0.0</v>
      </c>
      <c r="AD20" t="n" s="13912">
        <v>0.0</v>
      </c>
      <c r="AE20" s="13913">
        <f>y20+aa20+ac20</f>
      </c>
      <c r="AF20" s="13914">
        <f>z20+ab20+ad20</f>
      </c>
      <c r="AG20" t="n" s="13915">
        <v>299.0</v>
      </c>
      <c r="AH20" t="n" s="13916">
        <v>41.15</v>
      </c>
      <c r="AI20" t="n" s="13917">
        <v>4.7</v>
      </c>
      <c r="AJ20" s="13918">
        <f>x20+af20+ag20+ah20+ai20</f>
      </c>
      <c r="AK20" s="13919">
        <f>ROUND((l20+t20+af20+ag20+ah20+ai20+w20)*0.05,2)</f>
      </c>
      <c r="AL20" s="13920">
        <f>aj20+ak20</f>
      </c>
      <c r="AM20" s="13921">
        <f>80*0.06</f>
      </c>
      <c r="AN20" s="13922">
        <f>al20+am20</f>
      </c>
      <c r="AO20" t="s" s="13923">
        <v>0</v>
      </c>
    </row>
    <row r="21" ht="15.0" customHeight="true">
      <c r="A21" t="s" s="13924">
        <v>562</v>
      </c>
      <c r="B21" t="s" s="13925">
        <v>563</v>
      </c>
      <c r="C21" t="s" s="13926">
        <v>564</v>
      </c>
      <c r="D21" t="s" s="13927">
        <v>565</v>
      </c>
      <c r="E21" t="s" s="13928">
        <v>55</v>
      </c>
      <c r="F21" t="s" s="13929">
        <v>566</v>
      </c>
      <c r="G21" t="s" s="13930">
        <v>516</v>
      </c>
      <c r="H21" t="s" s="13931">
        <v>517</v>
      </c>
      <c r="I21" t="n" s="13932">
        <v>43831.0</v>
      </c>
      <c r="J21" t="n" s="13933">
        <v>44196.0</v>
      </c>
      <c r="K21" t="s" s="13934">
        <v>0</v>
      </c>
      <c r="L21" t="n" s="13935">
        <v>1270.0</v>
      </c>
      <c r="M21" t="n" s="13936">
        <v>0.0</v>
      </c>
      <c r="N21" t="n" s="13937">
        <v>0.0</v>
      </c>
      <c r="O21" s="13938">
        <f>M21*N21</f>
      </c>
      <c r="P21" t="n" s="13939">
        <v>0.0</v>
      </c>
      <c r="Q21" t="n" s="13940">
        <v>0.0</v>
      </c>
      <c r="R21" s="13941">
        <f>P21*Q21</f>
      </c>
      <c r="S21" t="n" s="13942">
        <v>1270.0</v>
      </c>
      <c r="T21" t="n" s="13943">
        <v>0.0</v>
      </c>
      <c r="U21" t="n" s="13944">
        <v>0.0</v>
      </c>
      <c r="V21" s="13945">
        <f>L21+O21+R21</f>
      </c>
      <c r="W21" t="n" s="13946">
        <v>420.0</v>
      </c>
      <c r="X21" s="13947">
        <f>s21+t21+u21+w21</f>
      </c>
      <c r="Y21" t="n" s="13948">
        <v>8.0</v>
      </c>
      <c r="Z21" t="n" s="13949">
        <v>73.28</v>
      </c>
      <c r="AA21" t="n" s="13950">
        <v>0.0</v>
      </c>
      <c r="AB21" t="n" s="13951">
        <v>0.0</v>
      </c>
      <c r="AC21" t="n" s="13952">
        <v>0.0</v>
      </c>
      <c r="AD21" t="n" s="13953">
        <v>0.0</v>
      </c>
      <c r="AE21" s="13954">
        <f>y21+aa21+ac21</f>
      </c>
      <c r="AF21" s="13955">
        <f>z21+ab21+ad21</f>
      </c>
      <c r="AG21" t="n" s="13956">
        <v>242.0</v>
      </c>
      <c r="AH21" t="n" s="13957">
        <v>34.15</v>
      </c>
      <c r="AI21" t="n" s="13958">
        <v>3.9</v>
      </c>
      <c r="AJ21" s="13959">
        <f>x21+af21+ag21+ah21+ai21</f>
      </c>
      <c r="AK21" s="13960">
        <f>ROUND((l21+t21+af21+ag21+ah21+ai21+w21)*0.05,2)</f>
      </c>
      <c r="AL21" s="13961">
        <f>aj21+ak21</f>
      </c>
      <c r="AM21" s="13962">
        <f>80*0.06</f>
      </c>
      <c r="AN21" s="13963">
        <f>al21+am21</f>
      </c>
      <c r="AO21" t="s" s="13964">
        <v>0</v>
      </c>
    </row>
    <row r="22" ht="15.0" customHeight="true">
      <c r="A22" t="s" s="13965">
        <v>567</v>
      </c>
      <c r="B22" t="s" s="13966">
        <v>568</v>
      </c>
      <c r="C22" t="s" s="13967">
        <v>569</v>
      </c>
      <c r="D22" t="s" s="13968">
        <v>570</v>
      </c>
      <c r="E22" t="s" s="13969">
        <v>55</v>
      </c>
      <c r="F22" t="s" s="13970">
        <v>571</v>
      </c>
      <c r="G22" t="s" s="13971">
        <v>516</v>
      </c>
      <c r="H22" t="s" s="13972">
        <v>517</v>
      </c>
      <c r="I22" t="n" s="13973">
        <v>43831.0</v>
      </c>
      <c r="J22" t="n" s="13974">
        <v>44196.0</v>
      </c>
      <c r="K22" t="s" s="13975">
        <v>0</v>
      </c>
      <c r="L22" t="n" s="13976">
        <v>1250.0</v>
      </c>
      <c r="M22" t="n" s="13977">
        <v>0.0</v>
      </c>
      <c r="N22" t="n" s="13978">
        <v>0.0</v>
      </c>
      <c r="O22" s="13979">
        <f>M22*N22</f>
      </c>
      <c r="P22" t="n" s="13980">
        <v>0.0</v>
      </c>
      <c r="Q22" t="n" s="13981">
        <v>0.0</v>
      </c>
      <c r="R22" s="13982">
        <f>P22*Q22</f>
      </c>
      <c r="S22" t="n" s="13983">
        <v>1250.0</v>
      </c>
      <c r="T22" t="n" s="13984">
        <v>0.0</v>
      </c>
      <c r="U22" t="n" s="13985">
        <v>0.0</v>
      </c>
      <c r="V22" s="13986">
        <f>L22+O22+R22</f>
      </c>
      <c r="W22" t="n" s="13987">
        <v>1050.0</v>
      </c>
      <c r="X22" s="13988">
        <f>s22+t22+u22+w22</f>
      </c>
      <c r="Y22" t="n" s="13989">
        <v>8.0</v>
      </c>
      <c r="Z22" t="n" s="13990">
        <v>72.08</v>
      </c>
      <c r="AA22" t="n" s="13991">
        <v>0.0</v>
      </c>
      <c r="AB22" t="n" s="13992">
        <v>0.0</v>
      </c>
      <c r="AC22" t="n" s="13993">
        <v>0.0</v>
      </c>
      <c r="AD22" t="n" s="13994">
        <v>0.0</v>
      </c>
      <c r="AE22" s="13995">
        <f>y22+aa22+ac22</f>
      </c>
      <c r="AF22" s="13996">
        <f>z22+ab22+ad22</f>
      </c>
      <c r="AG22" t="n" s="13997">
        <v>320.0</v>
      </c>
      <c r="AH22" t="n" s="13998">
        <v>44.65</v>
      </c>
      <c r="AI22" t="n" s="13999">
        <v>5.1</v>
      </c>
      <c r="AJ22" s="14000">
        <f>x22+af22+ag22+ah22+ai22</f>
      </c>
      <c r="AK22" s="14001">
        <f>ROUND((l22+t22+af22+ag22+ah22+ai22+w22)*0.05,2)</f>
      </c>
      <c r="AL22" s="14002">
        <f>aj22+ak22</f>
      </c>
      <c r="AM22" s="14003">
        <f>80*0.06</f>
      </c>
      <c r="AN22" s="14004">
        <f>al22+am22</f>
      </c>
      <c r="AO22" t="s" s="14005">
        <v>0</v>
      </c>
    </row>
    <row r="23" ht="15.0" customHeight="true">
      <c r="A23" t="s" s="14006">
        <v>572</v>
      </c>
      <c r="B23" t="s" s="14007">
        <v>573</v>
      </c>
      <c r="C23" t="s" s="14008">
        <v>574</v>
      </c>
      <c r="D23" t="s" s="14009">
        <v>575</v>
      </c>
      <c r="E23" t="s" s="14010">
        <v>93</v>
      </c>
      <c r="F23" t="s" s="14011">
        <v>576</v>
      </c>
      <c r="G23" t="s" s="14012">
        <v>516</v>
      </c>
      <c r="H23" t="s" s="14013">
        <v>517</v>
      </c>
      <c r="I23" t="n" s="14014">
        <v>43831.0</v>
      </c>
      <c r="J23" t="n" s="14015">
        <v>44196.0</v>
      </c>
      <c r="K23" t="s" s="14016">
        <v>0</v>
      </c>
      <c r="L23" t="n" s="14017">
        <v>1670.0</v>
      </c>
      <c r="M23" t="n" s="14018">
        <v>0.0</v>
      </c>
      <c r="N23" t="n" s="14019">
        <v>0.0</v>
      </c>
      <c r="O23" s="14020">
        <f>M23*N23</f>
      </c>
      <c r="P23" t="n" s="14021">
        <v>0.0</v>
      </c>
      <c r="Q23" t="n" s="14022">
        <v>0.0</v>
      </c>
      <c r="R23" s="14023">
        <f>P23*Q23</f>
      </c>
      <c r="S23" t="n" s="14024">
        <v>1670.0</v>
      </c>
      <c r="T23" t="n" s="14025">
        <v>0.0</v>
      </c>
      <c r="U23" t="n" s="14026">
        <v>0.0</v>
      </c>
      <c r="V23" s="14027">
        <f>L23+O23+R23</f>
      </c>
      <c r="W23" t="n" s="14028">
        <v>100.0</v>
      </c>
      <c r="X23" s="14029">
        <f>s23+t23+u23+w23</f>
      </c>
      <c r="Y23" t="n" s="14030">
        <v>4.0</v>
      </c>
      <c r="Z23" t="n" s="14031">
        <v>48.16</v>
      </c>
      <c r="AA23" t="n" s="14032">
        <v>0.0</v>
      </c>
      <c r="AB23" t="n" s="14033">
        <v>0.0</v>
      </c>
      <c r="AC23" t="n" s="14034">
        <v>0.0</v>
      </c>
      <c r="AD23" t="n" s="14035">
        <v>0.0</v>
      </c>
      <c r="AE23" s="14036">
        <f>y23+aa23+ac23</f>
      </c>
      <c r="AF23" s="14037">
        <f>z23+ab23+ad23</f>
      </c>
      <c r="AG23" t="n" s="14038">
        <v>245.0</v>
      </c>
      <c r="AH23" t="n" s="14039">
        <v>34.15</v>
      </c>
      <c r="AI23" t="n" s="14040">
        <v>3.9</v>
      </c>
      <c r="AJ23" s="14041">
        <f>x23+af23+ag23+ah23+ai23</f>
      </c>
      <c r="AK23" s="14042">
        <f>ROUND((l23+t23+af23+ag23+ah23+ai23+w23)*0.05,2)</f>
      </c>
      <c r="AL23" s="14043">
        <f>aj23+ak23</f>
      </c>
      <c r="AM23" s="14044">
        <f>80*0.06</f>
      </c>
      <c r="AN23" s="14045">
        <f>al23+am23</f>
      </c>
      <c r="AO23" t="s" s="14046">
        <v>0</v>
      </c>
    </row>
    <row r="24" ht="15.0" customHeight="true">
      <c r="A24" t="s" s="14047">
        <v>577</v>
      </c>
      <c r="B24" t="s" s="14048">
        <v>578</v>
      </c>
      <c r="C24" t="s" s="14049">
        <v>579</v>
      </c>
      <c r="D24" t="s" s="14050">
        <v>580</v>
      </c>
      <c r="E24" t="s" s="14051">
        <v>55</v>
      </c>
      <c r="F24" t="s" s="14052">
        <v>581</v>
      </c>
      <c r="G24" t="s" s="14053">
        <v>516</v>
      </c>
      <c r="H24" t="s" s="14054">
        <v>517</v>
      </c>
      <c r="I24" t="n" s="14055">
        <v>43831.0</v>
      </c>
      <c r="J24" t="n" s="14056">
        <v>44196.0</v>
      </c>
      <c r="K24" t="s" s="14057">
        <v>0</v>
      </c>
      <c r="L24" t="n" s="14058">
        <v>1160.0</v>
      </c>
      <c r="M24" t="n" s="14059">
        <v>0.0</v>
      </c>
      <c r="N24" t="n" s="14060">
        <v>0.0</v>
      </c>
      <c r="O24" s="14061">
        <f>M24*N24</f>
      </c>
      <c r="P24" t="n" s="14062">
        <v>0.0</v>
      </c>
      <c r="Q24" t="n" s="14063">
        <v>0.0</v>
      </c>
      <c r="R24" s="14064">
        <f>P24*Q24</f>
      </c>
      <c r="S24" t="n" s="14065">
        <v>1160.0</v>
      </c>
      <c r="T24" t="n" s="14066">
        <v>0.0</v>
      </c>
      <c r="U24" t="n" s="14067">
        <v>0.0</v>
      </c>
      <c r="V24" s="14068">
        <f>L24+O24+R24</f>
      </c>
      <c r="W24" t="n" s="14069">
        <v>100.0</v>
      </c>
      <c r="X24" s="14070">
        <f>s24+t24+u24+w24</f>
      </c>
      <c r="Y24" t="n" s="14071">
        <v>8.0</v>
      </c>
      <c r="Z24" t="n" s="14072">
        <v>66.96</v>
      </c>
      <c r="AA24" t="n" s="14073">
        <v>0.0</v>
      </c>
      <c r="AB24" t="n" s="14074">
        <v>0.0</v>
      </c>
      <c r="AC24" t="n" s="14075">
        <v>0.0</v>
      </c>
      <c r="AD24" t="n" s="14076">
        <v>0.0</v>
      </c>
      <c r="AE24" s="14077">
        <f>y24+aa24+ac24</f>
      </c>
      <c r="AF24" s="14078">
        <f>z24+ab24+ad24</f>
      </c>
      <c r="AG24" t="n" s="14079">
        <v>185.0</v>
      </c>
      <c r="AH24" t="n" s="14080">
        <v>25.35</v>
      </c>
      <c r="AI24" t="n" s="14081">
        <v>2.9</v>
      </c>
      <c r="AJ24" s="14082">
        <f>x24+af24+ag24+ah24+ai24</f>
      </c>
      <c r="AK24" s="14083">
        <f>ROUND((l24+t24+af24+ag24+ah24+ai24+w24)*0.05,2)</f>
      </c>
      <c r="AL24" s="14084">
        <f>aj24+ak24</f>
      </c>
      <c r="AM24" s="14085">
        <f>80*0.06</f>
      </c>
      <c r="AN24" s="14086">
        <f>al24+am24</f>
      </c>
      <c r="AO24" t="s" s="14087">
        <v>0</v>
      </c>
    </row>
    <row r="25" ht="15.0" customHeight="true">
      <c r="A25" t="s" s="14088">
        <v>582</v>
      </c>
      <c r="B25" t="s" s="14089">
        <v>583</v>
      </c>
      <c r="C25" t="s" s="14090">
        <v>584</v>
      </c>
      <c r="D25" t="s" s="14091">
        <v>585</v>
      </c>
      <c r="E25" t="s" s="14092">
        <v>55</v>
      </c>
      <c r="F25" t="s" s="14093">
        <v>586</v>
      </c>
      <c r="G25" t="s" s="14094">
        <v>516</v>
      </c>
      <c r="H25" t="s" s="14095">
        <v>517</v>
      </c>
      <c r="I25" t="n" s="14096">
        <v>43831.0</v>
      </c>
      <c r="J25" t="n" s="14097">
        <v>44196.0</v>
      </c>
      <c r="K25" t="s" s="14098">
        <v>0</v>
      </c>
      <c r="L25" t="n" s="14099">
        <v>1380.0</v>
      </c>
      <c r="M25" t="n" s="14100">
        <v>0.0</v>
      </c>
      <c r="N25" t="n" s="14101">
        <v>0.0</v>
      </c>
      <c r="O25" s="14102">
        <f>M25*N25</f>
      </c>
      <c r="P25" t="n" s="14103">
        <v>0.0</v>
      </c>
      <c r="Q25" t="n" s="14104">
        <v>0.0</v>
      </c>
      <c r="R25" s="14105">
        <f>P25*Q25</f>
      </c>
      <c r="S25" t="n" s="14106">
        <v>1380.0</v>
      </c>
      <c r="T25" t="n" s="14107">
        <v>0.0</v>
      </c>
      <c r="U25" t="n" s="14108">
        <v>0.0</v>
      </c>
      <c r="V25" s="14109">
        <f>L25+O25+R25</f>
      </c>
      <c r="W25" t="n" s="14110">
        <v>1400.0</v>
      </c>
      <c r="X25" s="14111">
        <f>s25+t25+u25+w25</f>
      </c>
      <c r="Y25" t="n" s="14112">
        <v>8.0</v>
      </c>
      <c r="Z25" t="n" s="14113">
        <v>79.6</v>
      </c>
      <c r="AA25" t="n" s="14114">
        <v>0.0</v>
      </c>
      <c r="AB25" t="n" s="14115">
        <v>0.0</v>
      </c>
      <c r="AC25" t="n" s="14116">
        <v>0.0</v>
      </c>
      <c r="AD25" t="n" s="14117">
        <v>0.0</v>
      </c>
      <c r="AE25" s="14118">
        <f>y25+aa25+ac25</f>
      </c>
      <c r="AF25" s="14119">
        <f>z25+ab25+ad25</f>
      </c>
      <c r="AG25" t="n" s="14120">
        <v>375.0</v>
      </c>
      <c r="AH25" t="n" s="14121">
        <v>51.65</v>
      </c>
      <c r="AI25" t="n" s="14122">
        <v>5.9</v>
      </c>
      <c r="AJ25" s="14123">
        <f>x25+af25+ag25+ah25+ai25</f>
      </c>
      <c r="AK25" s="14124">
        <f>ROUND((l25+t25+af25+ag25+ah25+ai25+w25)*0.05,2)</f>
      </c>
      <c r="AL25" s="14125">
        <f>aj25+ak25</f>
      </c>
      <c r="AM25" s="14126">
        <f>80*0.06</f>
      </c>
      <c r="AN25" s="14127">
        <f>al25+am25</f>
      </c>
      <c r="AO25" t="s" s="14128">
        <v>0</v>
      </c>
    </row>
    <row r="26" ht="15.0" customHeight="true">
      <c r="A26" t="s" s="14129">
        <v>587</v>
      </c>
      <c r="B26" t="s" s="14130">
        <v>588</v>
      </c>
      <c r="C26" t="s" s="14131">
        <v>589</v>
      </c>
      <c r="D26" t="s" s="14132">
        <v>590</v>
      </c>
      <c r="E26" t="s" s="14133">
        <v>55</v>
      </c>
      <c r="F26" t="s" s="14134">
        <v>591</v>
      </c>
      <c r="G26" t="s" s="14135">
        <v>516</v>
      </c>
      <c r="H26" t="s" s="14136">
        <v>517</v>
      </c>
      <c r="I26" t="n" s="14137">
        <v>43831.0</v>
      </c>
      <c r="J26" t="n" s="14138">
        <v>44196.0</v>
      </c>
      <c r="K26" t="s" s="14139">
        <v>0</v>
      </c>
      <c r="L26" t="n" s="14140">
        <v>1450.0</v>
      </c>
      <c r="M26" t="n" s="14141">
        <v>0.0</v>
      </c>
      <c r="N26" t="n" s="14142">
        <v>0.0</v>
      </c>
      <c r="O26" s="14143">
        <f>M26*N26</f>
      </c>
      <c r="P26" t="n" s="14144">
        <v>0.0</v>
      </c>
      <c r="Q26" t="n" s="14145">
        <v>0.0</v>
      </c>
      <c r="R26" s="14146">
        <f>P26*Q26</f>
      </c>
      <c r="S26" t="n" s="14147">
        <v>1450.0</v>
      </c>
      <c r="T26" t="n" s="14148">
        <v>0.0</v>
      </c>
      <c r="U26" t="n" s="14149">
        <v>0.0</v>
      </c>
      <c r="V26" s="14150">
        <f>L26+O26+R26</f>
      </c>
      <c r="W26" t="n" s="14151">
        <v>0.0</v>
      </c>
      <c r="X26" s="14152">
        <f>s26+t26+u26+w26</f>
      </c>
      <c r="Y26" t="n" s="14153">
        <v>8.0</v>
      </c>
      <c r="Z26" t="n" s="14154">
        <v>83.68</v>
      </c>
      <c r="AA26" t="n" s="14155">
        <v>0.0</v>
      </c>
      <c r="AB26" t="n" s="14156">
        <v>0.0</v>
      </c>
      <c r="AC26" t="n" s="14157">
        <v>0.0</v>
      </c>
      <c r="AD26" t="n" s="14158">
        <v>0.0</v>
      </c>
      <c r="AE26" s="14159">
        <f>y26+aa26+ac26</f>
      </c>
      <c r="AF26" s="14160">
        <f>z26+ab26+ad26</f>
      </c>
      <c r="AG26" t="n" s="14161">
        <v>203.0</v>
      </c>
      <c r="AH26" t="n" s="14162">
        <v>28.85</v>
      </c>
      <c r="AI26" t="n" s="14163">
        <v>3.3</v>
      </c>
      <c r="AJ26" s="14164">
        <f>x26+af26+ag26+ah26+ai26</f>
      </c>
      <c r="AK26" s="14165">
        <f>ROUND((l26+t26+af26+ag26+ah26+ai26+w26)*0.05,2)</f>
      </c>
      <c r="AL26" s="14166">
        <f>aj26+ak26</f>
      </c>
      <c r="AM26" s="14167">
        <f>80*0.06</f>
      </c>
      <c r="AN26" s="14168">
        <f>al26+am26</f>
      </c>
      <c r="AO26" t="s" s="14169">
        <v>0</v>
      </c>
    </row>
    <row r="27" ht="15.0" customHeight="true">
      <c r="A27" t="s" s="14170">
        <v>592</v>
      </c>
      <c r="B27" t="s" s="14171">
        <v>593</v>
      </c>
      <c r="C27" t="s" s="14172">
        <v>594</v>
      </c>
      <c r="D27" t="s" s="14173">
        <v>595</v>
      </c>
      <c r="E27" t="s" s="14174">
        <v>55</v>
      </c>
      <c r="F27" t="s" s="14175">
        <v>596</v>
      </c>
      <c r="G27" t="s" s="14176">
        <v>516</v>
      </c>
      <c r="H27" t="s" s="14177">
        <v>517</v>
      </c>
      <c r="I27" t="n" s="14178">
        <v>43831.0</v>
      </c>
      <c r="J27" t="n" s="14179">
        <v>44196.0</v>
      </c>
      <c r="K27" t="s" s="14180">
        <v>0</v>
      </c>
      <c r="L27" t="n" s="14181">
        <v>1140.0</v>
      </c>
      <c r="M27" t="n" s="14182">
        <v>0.0</v>
      </c>
      <c r="N27" t="n" s="14183">
        <v>0.0</v>
      </c>
      <c r="O27" s="14184">
        <f>M27*N27</f>
      </c>
      <c r="P27" t="n" s="14185">
        <v>0.0</v>
      </c>
      <c r="Q27" t="n" s="14186">
        <v>0.0</v>
      </c>
      <c r="R27" s="14187">
        <f>P27*Q27</f>
      </c>
      <c r="S27" t="n" s="14188">
        <v>1140.0</v>
      </c>
      <c r="T27" t="n" s="14189">
        <v>0.0</v>
      </c>
      <c r="U27" t="n" s="14190">
        <v>0.0</v>
      </c>
      <c r="V27" s="14191">
        <f>L27+O27+R27</f>
      </c>
      <c r="W27" t="n" s="14192">
        <v>100.0</v>
      </c>
      <c r="X27" s="14193">
        <f>s27+t27+u27+w27</f>
      </c>
      <c r="Y27" t="n" s="14194">
        <v>8.0</v>
      </c>
      <c r="Z27" t="n" s="14195">
        <v>65.76</v>
      </c>
      <c r="AA27" t="n" s="14196">
        <v>0.0</v>
      </c>
      <c r="AB27" t="n" s="14197">
        <v>0.0</v>
      </c>
      <c r="AC27" t="n" s="14198">
        <v>0.0</v>
      </c>
      <c r="AD27" t="n" s="14199">
        <v>0.0</v>
      </c>
      <c r="AE27" s="14200">
        <f>y27+aa27+ac27</f>
      </c>
      <c r="AF27" s="14201">
        <f>z27+ab27+ad27</f>
      </c>
      <c r="AG27" t="n" s="14202">
        <v>182.0</v>
      </c>
      <c r="AH27" t="n" s="14203">
        <v>25.35</v>
      </c>
      <c r="AI27" t="n" s="14204">
        <v>2.9</v>
      </c>
      <c r="AJ27" s="14205">
        <f>x27+af27+ag27+ah27+ai27</f>
      </c>
      <c r="AK27" s="14206">
        <f>ROUND((l27+t27+af27+ag27+ah27+ai27+w27)*0.05,2)</f>
      </c>
      <c r="AL27" s="14207">
        <f>aj27+ak27</f>
      </c>
      <c r="AM27" s="14208">
        <f>80*0.06</f>
      </c>
      <c r="AN27" s="14209">
        <f>al27+am27</f>
      </c>
      <c r="AO27" t="s" s="14210">
        <v>0</v>
      </c>
    </row>
    <row r="28" ht="15.0" customHeight="true">
      <c r="L28" t="s" s="14211">
        <v>0</v>
      </c>
      <c r="M28" t="s" s="14212">
        <v>0</v>
      </c>
      <c r="N28" t="s" s="14213">
        <v>0</v>
      </c>
      <c r="O28" t="s" s="14214">
        <v>0</v>
      </c>
      <c r="P28" t="s" s="14215">
        <v>0</v>
      </c>
      <c r="Q28" t="s" s="14216">
        <v>0</v>
      </c>
      <c r="R28" t="s" s="14217">
        <v>0</v>
      </c>
      <c r="S28" t="s" s="14218">
        <v>0</v>
      </c>
      <c r="T28" t="s" s="14219">
        <v>0</v>
      </c>
      <c r="U28" t="s" s="14220">
        <v>0</v>
      </c>
      <c r="V28" t="s" s="14221">
        <v>0</v>
      </c>
      <c r="W28" t="s" s="14222">
        <v>0</v>
      </c>
      <c r="X28" t="s" s="14223">
        <v>0</v>
      </c>
      <c r="Y28" t="s" s="14224">
        <v>0</v>
      </c>
      <c r="Z28" t="s" s="14225">
        <v>0</v>
      </c>
      <c r="AA28" t="s" s="14226">
        <v>0</v>
      </c>
      <c r="AB28" t="s" s="14227">
        <v>0</v>
      </c>
      <c r="AC28" t="s" s="14228">
        <v>0</v>
      </c>
      <c r="AD28" t="s" s="14229">
        <v>0</v>
      </c>
      <c r="AE28" t="s" s="14230">
        <v>0</v>
      </c>
      <c r="AF28" t="s" s="14231">
        <v>0</v>
      </c>
      <c r="AG28" t="s" s="14232">
        <v>0</v>
      </c>
      <c r="AH28" t="s" s="14233">
        <v>0</v>
      </c>
      <c r="AI28" t="s" s="14234">
        <v>0</v>
      </c>
      <c r="AJ28" t="s" s="14235">
        <v>0</v>
      </c>
      <c r="AK28" t="s" s="14236">
        <v>0</v>
      </c>
      <c r="AL28" t="s" s="14237">
        <v>0</v>
      </c>
    </row>
    <row r="29" ht="15.0" customHeight="true"/>
    <row r="30" ht="15.0" customHeight="true">
      <c r="A30" t="s" s="14238">
        <v>0</v>
      </c>
      <c r="B30" t="s" s="14239">
        <v>649</v>
      </c>
      <c r="C30" s="14240">
        <f>COUNTA(A11:A27)</f>
      </c>
      <c r="L30" s="14241">
        <f>SUM(l11:l27)</f>
      </c>
      <c r="M30" s="14242">
        <f>SUM(m11:m27)</f>
      </c>
      <c r="N30" t="s" s="14243">
        <v>0</v>
      </c>
      <c r="O30" s="14244">
        <f>SUM(o11:o27)</f>
      </c>
      <c r="P30" s="14245">
        <f>SUM(p11:p27)</f>
      </c>
      <c r="Q30" t="s" s="14246">
        <v>0</v>
      </c>
      <c r="R30" s="14247">
        <f>SUM(r11:r27)</f>
      </c>
      <c r="S30" s="14248">
        <f>SUM(s11:s27)</f>
      </c>
      <c r="T30" s="14249">
        <f>SUM(t11:t27)</f>
      </c>
      <c r="U30" s="14250">
        <f>SUM(u11:u27)</f>
      </c>
      <c r="V30" s="14251">
        <f>SUM(v11:v27)</f>
      </c>
      <c r="W30" s="14252">
        <f>SUM(w11:w27)</f>
      </c>
      <c r="X30" s="14253">
        <f>SUM(x11:x27)</f>
      </c>
      <c r="Y30" s="14254">
        <f>SUM(y11:y27)</f>
      </c>
      <c r="Z30" s="14255">
        <f>SUM(z11:z27)</f>
      </c>
      <c r="AA30" s="14256">
        <f>SUM(aa11:aa27)</f>
      </c>
      <c r="AB30" s="14257">
        <f>SUM(ab11:ab27)</f>
      </c>
      <c r="AC30" s="14258">
        <f>SUM(ac11:ac27)</f>
      </c>
      <c r="AD30" s="14259">
        <f>SUM(ad11:ad27)</f>
      </c>
      <c r="AE30" s="14260">
        <f>SUM(ae11:ae27)</f>
      </c>
      <c r="AF30" s="14261">
        <f>SUM(af11:af27)</f>
      </c>
      <c r="AG30" s="14262">
        <f>SUM(ag11:ag27)</f>
      </c>
      <c r="AH30" s="14263">
        <f>SUM(ah11:ah27)</f>
      </c>
      <c r="AI30" s="14264">
        <f>SUM(ai11:ai27)</f>
      </c>
      <c r="AJ30" s="14265">
        <f>SUM(aj11:aj27)</f>
      </c>
      <c r="AK30" s="14266">
        <f>SUM(ak11:ak27)</f>
      </c>
      <c r="AL30" s="14267">
        <f>SUM(al11:al27)</f>
      </c>
      <c r="AM30" s="14268">
        <f>SUM(am11:am27)</f>
      </c>
      <c r="AN30" s="14269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4270">
        <v>0</v>
      </c>
      <c r="B1" t="s" s="14271">
        <v>1</v>
      </c>
      <c r="Y1" t="s" s="14272">
        <v>6</v>
      </c>
      <c r="Z1" t="n" s="14273">
        <v>2020.0</v>
      </c>
    </row>
    <row r="2" ht="15.0" customHeight="true">
      <c r="A2" t="s" s="14274">
        <v>0</v>
      </c>
      <c r="B2" t="s" s="14275">
        <v>2</v>
      </c>
      <c r="Y2" t="s" s="14276">
        <v>7</v>
      </c>
      <c r="Z2" t="n" s="14277">
        <v>2019.0</v>
      </c>
    </row>
    <row r="3" ht="15.0" customHeight="true">
      <c r="A3" t="s" s="14278">
        <v>0</v>
      </c>
      <c r="B3" t="s" s="14279">
        <v>3</v>
      </c>
    </row>
    <row r="4" ht="15.0" customHeight="true">
      <c r="A4" t="s" s="14280">
        <v>0</v>
      </c>
      <c r="B4" t="s" s="14281">
        <v>4</v>
      </c>
    </row>
    <row r="5" ht="15.0" customHeight="true">
      <c r="A5" t="s" s="14282">
        <v>0</v>
      </c>
      <c r="B5" t="s" s="14283">
        <v>5</v>
      </c>
    </row>
    <row r="6" ht="15.0" customHeight="true"/>
    <row r="7" ht="15.0" customHeight="true"/>
    <row r="8" ht="28.0" customHeight="true">
      <c r="A8" t="s" s="14284">
        <v>0</v>
      </c>
      <c r="B8" t="s" s="14285">
        <v>0</v>
      </c>
      <c r="C8" t="s" s="14286">
        <v>0</v>
      </c>
      <c r="D8" t="s" s="14287">
        <v>0</v>
      </c>
      <c r="E8" t="s" s="14288">
        <v>0</v>
      </c>
      <c r="F8" t="s" s="14289">
        <v>0</v>
      </c>
      <c r="G8" t="s" s="14290">
        <v>0</v>
      </c>
      <c r="H8" t="s" s="14291">
        <v>0</v>
      </c>
      <c r="I8" t="s" s="14292">
        <v>0</v>
      </c>
      <c r="J8" t="s" s="14293">
        <v>0</v>
      </c>
      <c r="K8" t="s" s="14294">
        <v>0</v>
      </c>
      <c r="L8" t="s" s="14295">
        <v>0</v>
      </c>
      <c r="M8" t="s" s="14296">
        <v>0</v>
      </c>
      <c r="N8" t="s" s="14297">
        <v>0</v>
      </c>
      <c r="O8" t="s" s="14298">
        <v>0</v>
      </c>
      <c r="P8" t="s" s="14299">
        <v>0</v>
      </c>
      <c r="Q8" t="s" s="14300">
        <v>0</v>
      </c>
      <c r="R8" t="s" s="14301">
        <v>0</v>
      </c>
      <c r="S8" t="s" s="14302">
        <v>0</v>
      </c>
      <c r="T8" t="s" s="14303">
        <v>0</v>
      </c>
      <c r="U8" t="s" s="14304">
        <v>0</v>
      </c>
      <c r="V8" t="s" s="14305">
        <v>0</v>
      </c>
      <c r="W8" t="s" s="14306">
        <v>0</v>
      </c>
      <c r="X8" t="s" s="14307">
        <v>0</v>
      </c>
      <c r="Y8" t="s" s="14308">
        <v>0</v>
      </c>
      <c r="Z8" t="s" s="14309">
        <v>0</v>
      </c>
      <c r="AA8" t="s" s="14310">
        <v>0</v>
      </c>
      <c r="AB8" t="s" s="14311">
        <v>0</v>
      </c>
      <c r="AC8" t="s" s="14312">
        <v>8</v>
      </c>
      <c r="AD8" t="s" s="14313">
        <v>0</v>
      </c>
      <c r="AE8" t="s" s="14314">
        <v>0</v>
      </c>
      <c r="AF8" t="s" s="14315">
        <v>0</v>
      </c>
      <c r="AG8" t="s" s="14316">
        <v>0</v>
      </c>
      <c r="AH8" t="s" s="14317">
        <v>0</v>
      </c>
      <c r="AI8" t="s" s="14318">
        <v>0</v>
      </c>
      <c r="AJ8" t="s" s="14319">
        <v>0</v>
      </c>
      <c r="AK8" t="s" s="14320">
        <v>0</v>
      </c>
      <c r="AL8" t="s" s="14321">
        <v>0</v>
      </c>
      <c r="AM8" t="s" s="14322">
        <v>0</v>
      </c>
      <c r="AN8" t="s" s="14323">
        <v>0</v>
      </c>
      <c r="AO8" t="s" s="14324">
        <v>0</v>
      </c>
    </row>
    <row r="9" ht="41.0" customHeight="true">
      <c r="A9" t="s" s="14325">
        <v>9</v>
      </c>
      <c r="B9" t="s" s="14326">
        <v>10</v>
      </c>
      <c r="C9" t="s" s="14327">
        <v>11</v>
      </c>
      <c r="D9" t="s" s="14328">
        <v>12</v>
      </c>
      <c r="E9" t="s" s="14329">
        <v>13</v>
      </c>
      <c r="F9" t="s" s="14330">
        <v>14</v>
      </c>
      <c r="G9" t="s" s="14331">
        <v>15</v>
      </c>
      <c r="H9" t="s" s="14332">
        <v>16</v>
      </c>
      <c r="I9" t="s" s="14333">
        <v>17</v>
      </c>
      <c r="J9" t="s" s="14334">
        <v>18</v>
      </c>
      <c r="K9" t="s" s="14335">
        <v>19</v>
      </c>
      <c r="L9" t="s" s="14336">
        <v>20</v>
      </c>
      <c r="M9" t="s" s="14337">
        <v>21</v>
      </c>
      <c r="N9" t="s" s="14338">
        <v>22</v>
      </c>
      <c r="O9" t="s" s="14339">
        <v>23</v>
      </c>
      <c r="P9" t="s" s="14340">
        <v>24</v>
      </c>
      <c r="Q9" t="s" s="14341">
        <v>25</v>
      </c>
      <c r="R9" t="s" s="14342">
        <v>26</v>
      </c>
      <c r="S9" t="s" s="14343">
        <v>27</v>
      </c>
      <c r="T9" t="s" s="14344">
        <v>28</v>
      </c>
      <c r="U9" t="s" s="14345">
        <v>29</v>
      </c>
      <c r="V9" t="s" s="14346">
        <v>30</v>
      </c>
      <c r="W9" t="s" s="14347">
        <v>31</v>
      </c>
      <c r="X9" t="s" s="14348">
        <v>32</v>
      </c>
      <c r="Y9" t="s" s="14349">
        <v>33</v>
      </c>
      <c r="Z9" t="s" s="14350">
        <v>34</v>
      </c>
      <c r="AA9" t="s" s="14351">
        <v>35</v>
      </c>
      <c r="AB9" t="s" s="14352">
        <v>36</v>
      </c>
      <c r="AC9" t="s" s="14353">
        <v>37</v>
      </c>
      <c r="AD9" t="s" s="14354">
        <v>38</v>
      </c>
      <c r="AE9" t="s" s="14355">
        <v>39</v>
      </c>
      <c r="AF9" t="s" s="14356">
        <v>40</v>
      </c>
      <c r="AG9" t="s" s="14357">
        <v>41</v>
      </c>
      <c r="AH9" t="s" s="14358">
        <v>42</v>
      </c>
      <c r="AI9" t="s" s="14359">
        <v>43</v>
      </c>
      <c r="AJ9" t="s" s="14360">
        <v>44</v>
      </c>
      <c r="AK9" t="s" s="14361">
        <v>45</v>
      </c>
      <c r="AL9" t="s" s="14362">
        <v>46</v>
      </c>
      <c r="AM9" t="s" s="14363">
        <v>47</v>
      </c>
      <c r="AN9" t="s" s="14364">
        <v>48</v>
      </c>
      <c r="AO9" t="s" s="14365">
        <v>49</v>
      </c>
    </row>
    <row r="10" ht="15.0" customHeight="true">
      <c r="A10" t="s" s="14366">
        <v>0</v>
      </c>
      <c r="B10" t="s" s="14367">
        <v>0</v>
      </c>
      <c r="C10" t="s" s="14368">
        <v>0</v>
      </c>
      <c r="D10" t="s" s="14369">
        <v>0</v>
      </c>
      <c r="E10" t="s" s="14370">
        <v>0</v>
      </c>
      <c r="F10" t="s" s="14371">
        <v>0</v>
      </c>
      <c r="G10" t="s" s="14372">
        <v>0</v>
      </c>
      <c r="H10" t="s" s="14373">
        <v>0</v>
      </c>
      <c r="I10" t="s" s="14374">
        <v>0</v>
      </c>
      <c r="J10" t="s" s="14375">
        <v>0</v>
      </c>
      <c r="K10" t="s" s="14376">
        <v>0</v>
      </c>
      <c r="L10" t="s" s="14377">
        <v>0</v>
      </c>
      <c r="M10" t="s" s="14378">
        <v>0</v>
      </c>
      <c r="N10" t="s" s="14379">
        <v>0</v>
      </c>
      <c r="O10" t="s" s="14380">
        <v>0</v>
      </c>
      <c r="P10" t="s" s="14381">
        <v>0</v>
      </c>
      <c r="Q10" t="s" s="14382">
        <v>0</v>
      </c>
      <c r="R10" t="s" s="14383">
        <v>0</v>
      </c>
      <c r="S10" t="s" s="14384">
        <v>0</v>
      </c>
      <c r="T10" t="s" s="14385">
        <v>0</v>
      </c>
      <c r="U10" t="s" s="14386">
        <v>0</v>
      </c>
      <c r="V10" t="s" s="14387">
        <v>0</v>
      </c>
      <c r="W10" t="s" s="14388">
        <v>0</v>
      </c>
      <c r="X10" t="s" s="14389">
        <v>0</v>
      </c>
      <c r="Y10" t="n" s="14390">
        <v>1.5</v>
      </c>
      <c r="Z10" t="n" s="14391">
        <v>1.5</v>
      </c>
      <c r="AA10" t="n" s="14392">
        <v>2.0</v>
      </c>
      <c r="AB10" t="n" s="14393">
        <v>2.0</v>
      </c>
      <c r="AC10" t="n" s="14394">
        <v>3.0</v>
      </c>
      <c r="AD10" t="n" s="14395">
        <v>3.0</v>
      </c>
      <c r="AE10" t="s" s="14396">
        <v>50</v>
      </c>
      <c r="AF10" t="s" s="14397">
        <v>50</v>
      </c>
      <c r="AG10" t="s" s="14398">
        <v>0</v>
      </c>
      <c r="AH10" t="s" s="14399">
        <v>0</v>
      </c>
      <c r="AI10" t="s" s="14400">
        <v>0</v>
      </c>
      <c r="AJ10" t="s" s="14401">
        <v>0</v>
      </c>
      <c r="AK10" t="s" s="14402">
        <v>0</v>
      </c>
      <c r="AL10" t="s" s="14403">
        <v>0</v>
      </c>
      <c r="AM10" t="s" s="14404">
        <v>0</v>
      </c>
      <c r="AN10" t="s" s="14405">
        <v>0</v>
      </c>
      <c r="AO10" t="s" s="14406">
        <v>0</v>
      </c>
    </row>
    <row r="11" ht="15.0" customHeight="true">
      <c r="A11" t="s" s="14407">
        <v>597</v>
      </c>
      <c r="B11" t="s" s="14408">
        <v>598</v>
      </c>
      <c r="C11" t="s" s="14409">
        <v>599</v>
      </c>
      <c r="D11" t="s" s="14410">
        <v>600</v>
      </c>
      <c r="E11" t="s" s="14411">
        <v>55</v>
      </c>
      <c r="F11" t="s" s="14412">
        <v>601</v>
      </c>
      <c r="G11" t="s" s="14413">
        <v>602</v>
      </c>
      <c r="H11" t="s" s="14414">
        <v>603</v>
      </c>
      <c r="I11" t="n" s="14415">
        <v>43831.0</v>
      </c>
      <c r="J11" t="n" s="14416">
        <v>44196.0</v>
      </c>
      <c r="K11" t="s" s="14417">
        <v>0</v>
      </c>
      <c r="L11" t="n" s="14418">
        <v>1430.0</v>
      </c>
      <c r="M11" t="n" s="14419">
        <v>0.0</v>
      </c>
      <c r="N11" t="n" s="14420">
        <v>0.0</v>
      </c>
      <c r="O11" s="14421">
        <f>M11*N11</f>
      </c>
      <c r="P11" t="n" s="14422">
        <v>0.0</v>
      </c>
      <c r="Q11" t="n" s="14423">
        <v>0.0</v>
      </c>
      <c r="R11" s="14424">
        <f>P11*Q11</f>
      </c>
      <c r="S11" t="n" s="14425">
        <v>1430.0</v>
      </c>
      <c r="T11" t="n" s="14426">
        <v>0.0</v>
      </c>
      <c r="U11" t="n" s="14427">
        <v>0.0</v>
      </c>
      <c r="V11" s="14428">
        <f>L11+O11+R11</f>
      </c>
      <c r="W11" t="n" s="14429">
        <v>1000.0</v>
      </c>
      <c r="X11" s="14430">
        <f>s11+t11+u11+w11</f>
      </c>
      <c r="Y11" t="n" s="14431">
        <v>7.0</v>
      </c>
      <c r="Z11" t="n" s="14432">
        <v>72.17</v>
      </c>
      <c r="AA11" t="n" s="14433">
        <v>0.0</v>
      </c>
      <c r="AB11" t="n" s="14434">
        <v>0.0</v>
      </c>
      <c r="AC11" t="n" s="14435">
        <v>0.0</v>
      </c>
      <c r="AD11" t="n" s="14436">
        <v>0.0</v>
      </c>
      <c r="AE11" s="14437">
        <f>y11+aa11+ac11</f>
      </c>
      <c r="AF11" s="14438">
        <f>z11+ab11+ad11</f>
      </c>
      <c r="AG11" t="n" s="14439">
        <v>331.0</v>
      </c>
      <c r="AH11" t="n" s="14440">
        <v>46.35</v>
      </c>
      <c r="AI11" t="n" s="14441">
        <v>5.3</v>
      </c>
      <c r="AJ11" s="14442">
        <f>x11+af11+ag11+ah11+ai11</f>
      </c>
      <c r="AK11" s="14443">
        <f>ROUND((l11+t11+af11+ag11+ah11+ai11+w11)*0.05,2)</f>
      </c>
      <c r="AL11" s="14444">
        <f>aj11+ak11</f>
      </c>
      <c r="AM11" s="14445">
        <f>80*0.06</f>
      </c>
      <c r="AN11" s="14446">
        <f>al11+am11</f>
      </c>
      <c r="AO11" t="s" s="14447">
        <v>0</v>
      </c>
    </row>
    <row r="12" ht="15.0" customHeight="true">
      <c r="A12" t="s" s="14448">
        <v>604</v>
      </c>
      <c r="B12" t="s" s="14449">
        <v>605</v>
      </c>
      <c r="C12" t="s" s="14450">
        <v>606</v>
      </c>
      <c r="D12" t="s" s="14451">
        <v>607</v>
      </c>
      <c r="E12" t="s" s="14452">
        <v>55</v>
      </c>
      <c r="F12" t="s" s="14453">
        <v>608</v>
      </c>
      <c r="G12" t="s" s="14454">
        <v>602</v>
      </c>
      <c r="H12" t="s" s="14455">
        <v>603</v>
      </c>
      <c r="I12" t="n" s="14456">
        <v>43831.0</v>
      </c>
      <c r="J12" t="n" s="14457">
        <v>44196.0</v>
      </c>
      <c r="K12" t="s" s="14458">
        <v>0</v>
      </c>
      <c r="L12" t="n" s="14459">
        <v>1300.0</v>
      </c>
      <c r="M12" t="n" s="14460">
        <v>0.0</v>
      </c>
      <c r="N12" t="n" s="14461">
        <v>0.0</v>
      </c>
      <c r="O12" s="14462">
        <f>M12*N12</f>
      </c>
      <c r="P12" t="n" s="14463">
        <v>0.0</v>
      </c>
      <c r="Q12" t="n" s="14464">
        <v>0.0</v>
      </c>
      <c r="R12" s="14465">
        <f>P12*Q12</f>
      </c>
      <c r="S12" t="n" s="14466">
        <v>1300.0</v>
      </c>
      <c r="T12" t="n" s="14467">
        <v>0.0</v>
      </c>
      <c r="U12" t="n" s="14468">
        <v>0.0</v>
      </c>
      <c r="V12" s="14469">
        <f>L12+O12+R12</f>
      </c>
      <c r="W12" t="n" s="14470">
        <v>1650.0</v>
      </c>
      <c r="X12" s="14471">
        <f>s12+t12+u12+w12</f>
      </c>
      <c r="Y12" t="n" s="14472">
        <v>5.0</v>
      </c>
      <c r="Z12" t="n" s="14473">
        <v>46.9</v>
      </c>
      <c r="AA12" t="n" s="14474">
        <v>0.0</v>
      </c>
      <c r="AB12" t="n" s="14475">
        <v>0.0</v>
      </c>
      <c r="AC12" t="n" s="14476">
        <v>0.0</v>
      </c>
      <c r="AD12" t="n" s="14477">
        <v>0.0</v>
      </c>
      <c r="AE12" s="14478">
        <f>y12+aa12+ac12</f>
      </c>
      <c r="AF12" s="14479">
        <f>z12+ab12+ad12</f>
      </c>
      <c r="AG12" t="n" s="14480">
        <v>406.0</v>
      </c>
      <c r="AH12" t="n" s="14481">
        <v>55.15</v>
      </c>
      <c r="AI12" t="n" s="14482">
        <v>6.3</v>
      </c>
      <c r="AJ12" s="14483">
        <f>x12+af12+ag12+ah12+ai12</f>
      </c>
      <c r="AK12" s="14484">
        <f>ROUND((l12+t12+af12+ag12+ah12+ai12+w12)*0.05,2)</f>
      </c>
      <c r="AL12" s="14485">
        <f>aj12+ak12</f>
      </c>
      <c r="AM12" s="14486">
        <f>80*0.06</f>
      </c>
      <c r="AN12" s="14487">
        <f>al12+am12</f>
      </c>
      <c r="AO12" t="s" s="14488">
        <v>0</v>
      </c>
    </row>
    <row r="13" ht="15.0" customHeight="true">
      <c r="A13" t="s" s="14489">
        <v>609</v>
      </c>
      <c r="B13" t="s" s="14490">
        <v>610</v>
      </c>
      <c r="C13" t="s" s="14491">
        <v>611</v>
      </c>
      <c r="D13" t="s" s="14492">
        <v>612</v>
      </c>
      <c r="E13" t="s" s="14493">
        <v>55</v>
      </c>
      <c r="F13" t="s" s="14494">
        <v>613</v>
      </c>
      <c r="G13" t="s" s="14495">
        <v>602</v>
      </c>
      <c r="H13" t="s" s="14496">
        <v>603</v>
      </c>
      <c r="I13" t="n" s="14497">
        <v>43831.0</v>
      </c>
      <c r="J13" t="n" s="14498">
        <v>44196.0</v>
      </c>
      <c r="K13" t="s" s="14499">
        <v>0</v>
      </c>
      <c r="L13" t="n" s="14500">
        <v>1420.0</v>
      </c>
      <c r="M13" t="n" s="14501">
        <v>0.0</v>
      </c>
      <c r="N13" t="n" s="14502">
        <v>0.0</v>
      </c>
      <c r="O13" s="14503">
        <f>M13*N13</f>
      </c>
      <c r="P13" t="n" s="14504">
        <v>0.0</v>
      </c>
      <c r="Q13" t="n" s="14505">
        <v>0.0</v>
      </c>
      <c r="R13" s="14506">
        <f>P13*Q13</f>
      </c>
      <c r="S13" t="n" s="14507">
        <v>1420.0</v>
      </c>
      <c r="T13" t="n" s="14508">
        <v>0.0</v>
      </c>
      <c r="U13" t="n" s="14509">
        <v>0.0</v>
      </c>
      <c r="V13" s="14510">
        <f>L13+O13+R13</f>
      </c>
      <c r="W13" t="n" s="14511">
        <v>2200.0</v>
      </c>
      <c r="X13" s="14512">
        <f>s13+t13+u13+w13</f>
      </c>
      <c r="Y13" t="n" s="14513">
        <v>7.0</v>
      </c>
      <c r="Z13" t="n" s="14514">
        <v>71.68</v>
      </c>
      <c r="AA13" t="n" s="14515">
        <v>0.0</v>
      </c>
      <c r="AB13" t="n" s="14516">
        <v>0.0</v>
      </c>
      <c r="AC13" t="n" s="14517">
        <v>0.0</v>
      </c>
      <c r="AD13" t="n" s="14518">
        <v>0.0</v>
      </c>
      <c r="AE13" s="14519">
        <f>y13+aa13+ac13</f>
      </c>
      <c r="AF13" s="14520">
        <f>z13+ab13+ad13</f>
      </c>
      <c r="AG13" t="n" s="14521">
        <v>492.0</v>
      </c>
      <c r="AH13" t="n" s="14522">
        <v>67.35</v>
      </c>
      <c r="AI13" t="n" s="14523">
        <v>7.7</v>
      </c>
      <c r="AJ13" s="14524">
        <f>x13+af13+ag13+ah13+ai13</f>
      </c>
      <c r="AK13" s="14525">
        <f>ROUND((l13+t13+af13+ag13+ah13+ai13+w13)*0.05,2)</f>
      </c>
      <c r="AL13" s="14526">
        <f>aj13+ak13</f>
      </c>
      <c r="AM13" s="14527">
        <f>80*0.06</f>
      </c>
      <c r="AN13" s="14528">
        <f>al13+am13</f>
      </c>
      <c r="AO13" t="s" s="14529">
        <v>0</v>
      </c>
    </row>
    <row r="14" ht="15.0" customHeight="true">
      <c r="A14" t="s" s="14530">
        <v>614</v>
      </c>
      <c r="B14" t="s" s="14531">
        <v>615</v>
      </c>
      <c r="C14" t="s" s="14532">
        <v>616</v>
      </c>
      <c r="D14" t="s" s="14533">
        <v>617</v>
      </c>
      <c r="E14" t="s" s="14534">
        <v>55</v>
      </c>
      <c r="F14" t="s" s="14535">
        <v>618</v>
      </c>
      <c r="G14" t="s" s="14536">
        <v>602</v>
      </c>
      <c r="H14" t="s" s="14537">
        <v>603</v>
      </c>
      <c r="I14" t="n" s="14538">
        <v>43831.0</v>
      </c>
      <c r="J14" t="n" s="14539">
        <v>44196.0</v>
      </c>
      <c r="K14" t="s" s="14540">
        <v>0</v>
      </c>
      <c r="L14" t="n" s="14541">
        <v>1600.0</v>
      </c>
      <c r="M14" t="n" s="14542">
        <v>0.0</v>
      </c>
      <c r="N14" t="n" s="14543">
        <v>0.0</v>
      </c>
      <c r="O14" s="14544">
        <f>M14*N14</f>
      </c>
      <c r="P14" t="n" s="14545">
        <v>0.0</v>
      </c>
      <c r="Q14" t="n" s="14546">
        <v>0.0</v>
      </c>
      <c r="R14" s="14547">
        <f>P14*Q14</f>
      </c>
      <c r="S14" t="n" s="14548">
        <v>1600.0</v>
      </c>
      <c r="T14" t="n" s="14549">
        <v>0.0</v>
      </c>
      <c r="U14" t="n" s="14550">
        <v>0.0</v>
      </c>
      <c r="V14" s="14551">
        <f>L14+O14+R14</f>
      </c>
      <c r="W14" t="n" s="14552">
        <v>2400.0</v>
      </c>
      <c r="X14" s="14553">
        <f>s14+t14+u14+w14</f>
      </c>
      <c r="Y14" t="n" s="14554">
        <v>6.5</v>
      </c>
      <c r="Z14" t="n" s="14555">
        <v>75.01</v>
      </c>
      <c r="AA14" t="n" s="14556">
        <v>0.0</v>
      </c>
      <c r="AB14" t="n" s="14557">
        <v>0.0</v>
      </c>
      <c r="AC14" t="n" s="14558">
        <v>0.0</v>
      </c>
      <c r="AD14" t="n" s="14559">
        <v>0.0</v>
      </c>
      <c r="AE14" s="14560">
        <f>y14+aa14+ac14</f>
      </c>
      <c r="AF14" s="14561">
        <f>z14+ab14+ad14</f>
      </c>
      <c r="AG14" t="n" s="14562">
        <v>533.0</v>
      </c>
      <c r="AH14" t="n" s="14563">
        <v>69.05</v>
      </c>
      <c r="AI14" t="n" s="14564">
        <v>7.9</v>
      </c>
      <c r="AJ14" s="14565">
        <f>x14+af14+ag14+ah14+ai14</f>
      </c>
      <c r="AK14" s="14566">
        <f>ROUND((l14+t14+af14+ag14+ah14+ai14+w14)*0.05,2)</f>
      </c>
      <c r="AL14" s="14567">
        <f>aj14+ak14</f>
      </c>
      <c r="AM14" s="14568">
        <f>80*0.06</f>
      </c>
      <c r="AN14" s="14569">
        <f>al14+am14</f>
      </c>
      <c r="AO14" t="s" s="14570">
        <v>0</v>
      </c>
    </row>
    <row r="15" ht="15.0" customHeight="true">
      <c r="A15" t="s" s="14571">
        <v>619</v>
      </c>
      <c r="B15" t="s" s="14572">
        <v>620</v>
      </c>
      <c r="C15" t="s" s="14573">
        <v>621</v>
      </c>
      <c r="D15" t="s" s="14574">
        <v>622</v>
      </c>
      <c r="E15" t="s" s="14575">
        <v>55</v>
      </c>
      <c r="F15" t="s" s="14576">
        <v>623</v>
      </c>
      <c r="G15" t="s" s="14577">
        <v>602</v>
      </c>
      <c r="H15" t="s" s="14578">
        <v>603</v>
      </c>
      <c r="I15" t="n" s="14579">
        <v>43466.0</v>
      </c>
      <c r="J15" t="n" s="14580">
        <v>43830.0</v>
      </c>
      <c r="K15" t="s" s="14581">
        <v>0</v>
      </c>
      <c r="L15" t="n" s="14582">
        <v>0.0</v>
      </c>
      <c r="M15" t="n" s="14583">
        <v>0.0</v>
      </c>
      <c r="N15" t="n" s="14584">
        <v>0.0</v>
      </c>
      <c r="O15" s="14585">
        <f>M15*N15</f>
      </c>
      <c r="P15" t="n" s="14586">
        <v>0.0</v>
      </c>
      <c r="Q15" t="n" s="14587">
        <v>0.0</v>
      </c>
      <c r="R15" s="14588">
        <f>P15*Q15</f>
      </c>
      <c r="S15" t="n" s="14589">
        <v>0.0</v>
      </c>
      <c r="T15" t="n" s="14590">
        <v>0.0</v>
      </c>
      <c r="U15" t="n" s="14591">
        <v>0.0</v>
      </c>
      <c r="V15" s="14592">
        <f>L15+O15+R15</f>
      </c>
      <c r="W15" t="n" s="14593">
        <v>2400.0</v>
      </c>
      <c r="X15" s="14594">
        <f>s15+t15+u15+w15</f>
      </c>
      <c r="Y15" t="n" s="14595">
        <v>5.0</v>
      </c>
      <c r="Z15" t="n" s="14596">
        <v>47.6</v>
      </c>
      <c r="AA15" t="n" s="14597">
        <v>0.0</v>
      </c>
      <c r="AB15" t="n" s="14598">
        <v>0.0</v>
      </c>
      <c r="AC15" t="n" s="14599">
        <v>0.0</v>
      </c>
      <c r="AD15" t="n" s="14600">
        <v>0.0</v>
      </c>
      <c r="AE15" s="14601">
        <f>y15+aa15+ac15</f>
      </c>
      <c r="AF15" s="14602">
        <f>z15+ab15+ad15</f>
      </c>
      <c r="AG15" t="n" s="14603">
        <v>325.0</v>
      </c>
      <c r="AH15" t="n" s="14604">
        <v>44.65</v>
      </c>
      <c r="AI15" t="n" s="14605">
        <v>5.1</v>
      </c>
      <c r="AJ15" s="14606">
        <f>x15+af15+ag15+ah15+ai15</f>
      </c>
      <c r="AK15" s="14607">
        <f>ROUND((l15+t15+af15+ag15+ah15+ai15+w15)*0.05,2)</f>
      </c>
      <c r="AL15" s="14608">
        <f>aj15+ak15</f>
      </c>
      <c r="AM15" s="14609">
        <f>80*0.06</f>
      </c>
      <c r="AN15" s="14610">
        <f>al15+am15</f>
      </c>
      <c r="AO15" t="s" s="14611">
        <v>0</v>
      </c>
    </row>
    <row r="16" ht="15.0" customHeight="true">
      <c r="A16" t="s" s="14612">
        <v>624</v>
      </c>
      <c r="B16" t="s" s="14613">
        <v>625</v>
      </c>
      <c r="C16" t="s" s="14614">
        <v>626</v>
      </c>
      <c r="D16" t="s" s="14615">
        <v>627</v>
      </c>
      <c r="E16" t="s" s="14616">
        <v>55</v>
      </c>
      <c r="F16" t="s" s="14617">
        <v>628</v>
      </c>
      <c r="G16" t="s" s="14618">
        <v>602</v>
      </c>
      <c r="H16" t="s" s="14619">
        <v>603</v>
      </c>
      <c r="I16" t="n" s="14620">
        <v>43831.0</v>
      </c>
      <c r="J16" t="n" s="14621">
        <v>44196.0</v>
      </c>
      <c r="K16" t="s" s="14622">
        <v>0</v>
      </c>
      <c r="L16" t="n" s="14623">
        <v>1250.0</v>
      </c>
      <c r="M16" t="n" s="14624">
        <v>0.0</v>
      </c>
      <c r="N16" t="n" s="14625">
        <v>0.0</v>
      </c>
      <c r="O16" s="14626">
        <f>M16*N16</f>
      </c>
      <c r="P16" t="n" s="14627">
        <v>0.0</v>
      </c>
      <c r="Q16" t="n" s="14628">
        <v>0.0</v>
      </c>
      <c r="R16" s="14629">
        <f>P16*Q16</f>
      </c>
      <c r="S16" t="n" s="14630">
        <v>1250.0</v>
      </c>
      <c r="T16" t="n" s="14631">
        <v>0.0</v>
      </c>
      <c r="U16" t="n" s="14632">
        <v>3.0</v>
      </c>
      <c r="V16" s="14633">
        <f>L16+O16+R16</f>
      </c>
      <c r="W16" t="n" s="14634">
        <v>1080.0</v>
      </c>
      <c r="X16" s="14635">
        <f>s16+t16+u16+w16</f>
      </c>
      <c r="Y16" t="n" s="14636">
        <v>6.0</v>
      </c>
      <c r="Z16" t="n" s="14637">
        <v>54.06</v>
      </c>
      <c r="AA16" t="n" s="14638">
        <v>0.0</v>
      </c>
      <c r="AB16" t="n" s="14639">
        <v>0.0</v>
      </c>
      <c r="AC16" t="n" s="14640">
        <v>0.0</v>
      </c>
      <c r="AD16" t="n" s="14641">
        <v>0.0</v>
      </c>
      <c r="AE16" s="14642">
        <f>y16+aa16+ac16</f>
      </c>
      <c r="AF16" s="14643">
        <f>z16+ab16+ad16</f>
      </c>
      <c r="AG16" t="n" s="14644">
        <v>318.0</v>
      </c>
      <c r="AH16" t="n" s="14645">
        <v>42.85</v>
      </c>
      <c r="AI16" t="n" s="14646">
        <v>4.9</v>
      </c>
      <c r="AJ16" s="14647">
        <f>x16+af16+ag16+ah16+ai16</f>
      </c>
      <c r="AK16" s="14648">
        <f>ROUND((l16+t16+af16+ag16+ah16+ai16+w16)*0.05,2)</f>
      </c>
      <c r="AL16" s="14649">
        <f>aj16+ak16</f>
      </c>
      <c r="AM16" s="14650">
        <f>83*0.06</f>
      </c>
      <c r="AN16" s="14651">
        <f>al16+am16</f>
      </c>
      <c r="AO16" t="s" s="14652">
        <v>0</v>
      </c>
    </row>
    <row r="17" ht="15.0" customHeight="true">
      <c r="A17" t="s" s="14653">
        <v>629</v>
      </c>
      <c r="B17" t="s" s="14654">
        <v>630</v>
      </c>
      <c r="C17" t="s" s="14655">
        <v>631</v>
      </c>
      <c r="D17" t="s" s="14656">
        <v>632</v>
      </c>
      <c r="E17" t="s" s="14657">
        <v>55</v>
      </c>
      <c r="F17" t="s" s="14658">
        <v>633</v>
      </c>
      <c r="G17" t="s" s="14659">
        <v>602</v>
      </c>
      <c r="H17" t="s" s="14660">
        <v>603</v>
      </c>
      <c r="I17" t="n" s="14661">
        <v>43831.0</v>
      </c>
      <c r="J17" t="n" s="14662">
        <v>44196.0</v>
      </c>
      <c r="K17" t="s" s="14663">
        <v>0</v>
      </c>
      <c r="L17" t="n" s="14664">
        <v>1450.0</v>
      </c>
      <c r="M17" t="n" s="14665">
        <v>0.0</v>
      </c>
      <c r="N17" t="n" s="14666">
        <v>0.0</v>
      </c>
      <c r="O17" s="14667">
        <f>M17*N17</f>
      </c>
      <c r="P17" t="n" s="14668">
        <v>0.0</v>
      </c>
      <c r="Q17" t="n" s="14669">
        <v>0.0</v>
      </c>
      <c r="R17" s="14670">
        <f>P17*Q17</f>
      </c>
      <c r="S17" t="n" s="14671">
        <v>1450.0</v>
      </c>
      <c r="T17" t="n" s="14672">
        <v>0.0</v>
      </c>
      <c r="U17" t="n" s="14673">
        <v>8.0</v>
      </c>
      <c r="V17" s="14674">
        <f>L17+O17+R17</f>
      </c>
      <c r="W17" t="n" s="14675">
        <v>1400.0</v>
      </c>
      <c r="X17" s="14676">
        <f>s17+t17+u17+w17</f>
      </c>
      <c r="Y17" t="n" s="14677">
        <v>0.0</v>
      </c>
      <c r="Z17" t="n" s="14678">
        <v>0.0</v>
      </c>
      <c r="AA17" t="n" s="14679">
        <v>0.0</v>
      </c>
      <c r="AB17" t="n" s="14680">
        <v>0.0</v>
      </c>
      <c r="AC17" t="n" s="14681">
        <v>0.0</v>
      </c>
      <c r="AD17" t="n" s="14682">
        <v>0.0</v>
      </c>
      <c r="AE17" s="14683">
        <f>y17+aa17+ac17</f>
      </c>
      <c r="AF17" s="14684">
        <f>z17+ab17+ad17</f>
      </c>
      <c r="AG17" t="n" s="14685">
        <v>393.0</v>
      </c>
      <c r="AH17" t="n" s="14686">
        <v>53.35</v>
      </c>
      <c r="AI17" t="n" s="14687">
        <v>6.1</v>
      </c>
      <c r="AJ17" s="14688">
        <f>x17+af17+ag17+ah17+ai17</f>
      </c>
      <c r="AK17" s="14689">
        <f>ROUND((l17+t17+af17+ag17+ah17+ai17+w17)*0.05,2)</f>
      </c>
      <c r="AL17" s="14690">
        <f>aj17+ak17</f>
      </c>
      <c r="AM17" s="14691">
        <f>88*0.06</f>
      </c>
      <c r="AN17" s="14692">
        <f>al17+am17</f>
      </c>
      <c r="AO17" t="s" s="14693">
        <v>0</v>
      </c>
    </row>
    <row r="18" ht="15.0" customHeight="true">
      <c r="A18" t="s" s="14694">
        <v>634</v>
      </c>
      <c r="B18" t="s" s="14695">
        <v>635</v>
      </c>
      <c r="C18" t="s" s="14696">
        <v>636</v>
      </c>
      <c r="D18" t="s" s="14697">
        <v>637</v>
      </c>
      <c r="E18" t="s" s="14698">
        <v>55</v>
      </c>
      <c r="F18" t="s" s="14699">
        <v>638</v>
      </c>
      <c r="G18" t="s" s="14700">
        <v>602</v>
      </c>
      <c r="H18" t="s" s="14701">
        <v>603</v>
      </c>
      <c r="I18" t="n" s="14702">
        <v>43831.0</v>
      </c>
      <c r="J18" t="n" s="14703">
        <v>44196.0</v>
      </c>
      <c r="K18" t="s" s="14704">
        <v>0</v>
      </c>
      <c r="L18" t="n" s="14705">
        <v>1160.0</v>
      </c>
      <c r="M18" t="n" s="14706">
        <v>0.0</v>
      </c>
      <c r="N18" t="n" s="14707">
        <v>0.0</v>
      </c>
      <c r="O18" s="14708">
        <f>M18*N18</f>
      </c>
      <c r="P18" t="n" s="14709">
        <v>0.0</v>
      </c>
      <c r="Q18" t="n" s="14710">
        <v>0.0</v>
      </c>
      <c r="R18" s="14711">
        <f>P18*Q18</f>
      </c>
      <c r="S18" t="n" s="14712">
        <v>1160.0</v>
      </c>
      <c r="T18" t="n" s="14713">
        <v>0.0</v>
      </c>
      <c r="U18" t="n" s="14714">
        <v>0.0</v>
      </c>
      <c r="V18" s="14715">
        <f>L18+O18+R18</f>
      </c>
      <c r="W18" t="n" s="14716">
        <v>1000.0</v>
      </c>
      <c r="X18" s="14717">
        <f>s18+t18+u18+w18</f>
      </c>
      <c r="Y18" t="n" s="14718">
        <v>7.0</v>
      </c>
      <c r="Z18" t="n" s="14719">
        <v>58.59</v>
      </c>
      <c r="AA18" t="n" s="14720">
        <v>0.0</v>
      </c>
      <c r="AB18" t="n" s="14721">
        <v>0.0</v>
      </c>
      <c r="AC18" t="n" s="14722">
        <v>0.0</v>
      </c>
      <c r="AD18" t="n" s="14723">
        <v>0.0</v>
      </c>
      <c r="AE18" s="14724">
        <f>y18+aa18+ac18</f>
      </c>
      <c r="AF18" s="14725">
        <f>z18+ab18+ad18</f>
      </c>
      <c r="AG18" t="n" s="14726">
        <v>302.0</v>
      </c>
      <c r="AH18" t="n" s="14727">
        <v>41.15</v>
      </c>
      <c r="AI18" t="n" s="14728">
        <v>4.7</v>
      </c>
      <c r="AJ18" s="14729">
        <f>x18+af18+ag18+ah18+ai18</f>
      </c>
      <c r="AK18" s="14730">
        <f>ROUND((l18+t18+af18+ag18+ah18+ai18+w18)*0.05,2)</f>
      </c>
      <c r="AL18" s="14731">
        <f>aj18+ak18</f>
      </c>
      <c r="AM18" s="14732">
        <f>80*0.06</f>
      </c>
      <c r="AN18" s="14733">
        <f>al18+am18</f>
      </c>
      <c r="AO18" t="s" s="14734">
        <v>0</v>
      </c>
    </row>
    <row r="19" ht="15.0" customHeight="true">
      <c r="A19" t="s" s="14735">
        <v>639</v>
      </c>
      <c r="B19" t="s" s="14736">
        <v>640</v>
      </c>
      <c r="C19" t="s" s="14737">
        <v>641</v>
      </c>
      <c r="D19" t="s" s="14738">
        <v>642</v>
      </c>
      <c r="E19" t="s" s="14739">
        <v>542</v>
      </c>
      <c r="F19" t="s" s="14740">
        <v>0</v>
      </c>
      <c r="G19" t="s" s="14741">
        <v>643</v>
      </c>
      <c r="H19" t="s" s="14742">
        <v>603</v>
      </c>
      <c r="I19" t="n" s="14743">
        <v>43831.0</v>
      </c>
      <c r="J19" t="n" s="14744">
        <v>44196.0</v>
      </c>
      <c r="K19" t="s" s="14745">
        <v>0</v>
      </c>
      <c r="L19" t="n" s="14746">
        <v>3770.0</v>
      </c>
      <c r="M19" t="n" s="14747">
        <v>0.0</v>
      </c>
      <c r="N19" t="n" s="14748">
        <v>0.0</v>
      </c>
      <c r="O19" s="14749">
        <f>M19*N19</f>
      </c>
      <c r="P19" t="n" s="14750">
        <v>0.0</v>
      </c>
      <c r="Q19" t="n" s="14751">
        <v>0.0</v>
      </c>
      <c r="R19" s="14752">
        <f>P19*Q19</f>
      </c>
      <c r="S19" t="n" s="14753">
        <v>3770.0</v>
      </c>
      <c r="T19" t="n" s="14754">
        <v>0.0</v>
      </c>
      <c r="U19" t="n" s="14755">
        <v>0.0</v>
      </c>
      <c r="V19" s="14756">
        <f>L19+O19+R19</f>
      </c>
      <c r="W19" t="n" s="14757">
        <v>1900.0</v>
      </c>
      <c r="X19" s="14758">
        <f>s19+t19+u19+w19</f>
      </c>
      <c r="Y19" t="n" s="14759">
        <v>0.0</v>
      </c>
      <c r="Z19" t="n" s="14760">
        <v>0.0</v>
      </c>
      <c r="AA19" t="n" s="14761">
        <v>0.0</v>
      </c>
      <c r="AB19" t="n" s="14762">
        <v>0.0</v>
      </c>
      <c r="AC19" t="n" s="14763">
        <v>0.0</v>
      </c>
      <c r="AD19" t="n" s="14764">
        <v>0.0</v>
      </c>
      <c r="AE19" s="14765">
        <f>y19+aa19+ac19</f>
      </c>
      <c r="AF19" s="14766">
        <f>z19+ab19+ad19</f>
      </c>
      <c r="AG19" t="n" s="14767">
        <v>780.0</v>
      </c>
      <c r="AH19" t="n" s="14768">
        <v>69.05</v>
      </c>
      <c r="AI19" t="n" s="14769">
        <v>7.9</v>
      </c>
      <c r="AJ19" s="14770">
        <f>x19+af19+ag19+ah19+ai19</f>
      </c>
      <c r="AK19" s="14771">
        <f>ROUND((l19+t19+af19+ag19+ah19+ai19+w19)*0.05,2)</f>
      </c>
      <c r="AL19" s="14772">
        <f>aj19+ak19</f>
      </c>
      <c r="AM19" s="14773">
        <f>80*0.06</f>
      </c>
      <c r="AN19" s="14774">
        <f>al19+am19</f>
      </c>
      <c r="AO19" t="s" s="14775">
        <v>0</v>
      </c>
    </row>
    <row r="20" ht="15.0" customHeight="true">
      <c r="A20" t="s" s="14776">
        <v>644</v>
      </c>
      <c r="B20" t="s" s="14777">
        <v>645</v>
      </c>
      <c r="C20" t="s" s="14778">
        <v>646</v>
      </c>
      <c r="D20" t="s" s="14779">
        <v>647</v>
      </c>
      <c r="E20" t="s" s="14780">
        <v>55</v>
      </c>
      <c r="F20" t="s" s="14781">
        <v>648</v>
      </c>
      <c r="G20" t="s" s="14782">
        <v>602</v>
      </c>
      <c r="H20" t="s" s="14783">
        <v>603</v>
      </c>
      <c r="I20" t="n" s="14784">
        <v>43845.0</v>
      </c>
      <c r="J20" t="n" s="14785">
        <v>44196.0</v>
      </c>
      <c r="K20" t="s" s="14786">
        <v>0</v>
      </c>
      <c r="L20" t="n" s="14787">
        <v>658.06</v>
      </c>
      <c r="M20" t="n" s="14788">
        <v>0.0</v>
      </c>
      <c r="N20" t="n" s="14789">
        <v>0.0</v>
      </c>
      <c r="O20" s="14790">
        <f>M20*N20</f>
      </c>
      <c r="P20" t="n" s="14791">
        <v>0.0</v>
      </c>
      <c r="Q20" t="n" s="14792">
        <v>0.0</v>
      </c>
      <c r="R20" s="14793">
        <f>P20*Q20</f>
      </c>
      <c r="S20" t="n" s="14794">
        <v>658.06</v>
      </c>
      <c r="T20" t="n" s="14795">
        <v>0.0</v>
      </c>
      <c r="U20" t="n" s="14796">
        <v>0.0</v>
      </c>
      <c r="V20" s="14797">
        <f>L20+O20+R20</f>
      </c>
      <c r="W20" t="n" s="14798">
        <v>0.0</v>
      </c>
      <c r="X20" s="14799">
        <f>s20+t20+u20+w20</f>
      </c>
      <c r="Y20" t="n" s="14800">
        <v>0.0</v>
      </c>
      <c r="Z20" t="n" s="14801">
        <v>0.0</v>
      </c>
      <c r="AA20" t="n" s="14802">
        <v>0.0</v>
      </c>
      <c r="AB20" t="n" s="14803">
        <v>0.0</v>
      </c>
      <c r="AC20" t="n" s="14804">
        <v>0.0</v>
      </c>
      <c r="AD20" t="n" s="14805">
        <v>0.0</v>
      </c>
      <c r="AE20" s="14806">
        <f>y20+aa20+ac20</f>
      </c>
      <c r="AF20" s="14807">
        <f>z20+ab20+ad20</f>
      </c>
      <c r="AG20" t="n" s="14808">
        <v>94.0</v>
      </c>
      <c r="AH20" t="n" s="14809">
        <v>13.15</v>
      </c>
      <c r="AI20" t="n" s="14810">
        <v>1.5</v>
      </c>
      <c r="AJ20" s="14811">
        <f>x20+af20+ag20+ah20+ai20</f>
      </c>
      <c r="AK20" s="14812">
        <f>ROUND((l20+t20+af20+ag20+ah20+ai20+w20)*0.05,2)</f>
      </c>
      <c r="AL20" s="14813">
        <f>aj20+ak20</f>
      </c>
      <c r="AM20" s="14814">
        <f>80*0.06</f>
      </c>
      <c r="AN20" s="14815">
        <f>al20+am20</f>
      </c>
      <c r="AO20" t="s" s="14816">
        <v>0</v>
      </c>
    </row>
    <row r="21" ht="15.0" customHeight="true">
      <c r="L21" t="s" s="14817">
        <v>0</v>
      </c>
      <c r="M21" t="s" s="14818">
        <v>0</v>
      </c>
      <c r="N21" t="s" s="14819">
        <v>0</v>
      </c>
      <c r="O21" t="s" s="14820">
        <v>0</v>
      </c>
      <c r="P21" t="s" s="14821">
        <v>0</v>
      </c>
      <c r="Q21" t="s" s="14822">
        <v>0</v>
      </c>
      <c r="R21" t="s" s="14823">
        <v>0</v>
      </c>
      <c r="S21" t="s" s="14824">
        <v>0</v>
      </c>
      <c r="T21" t="s" s="14825">
        <v>0</v>
      </c>
      <c r="U21" t="s" s="14826">
        <v>0</v>
      </c>
      <c r="V21" t="s" s="14827">
        <v>0</v>
      </c>
      <c r="W21" t="s" s="14828">
        <v>0</v>
      </c>
      <c r="X21" t="s" s="14829">
        <v>0</v>
      </c>
      <c r="Y21" t="s" s="14830">
        <v>0</v>
      </c>
      <c r="Z21" t="s" s="14831">
        <v>0</v>
      </c>
      <c r="AA21" t="s" s="14832">
        <v>0</v>
      </c>
      <c r="AB21" t="s" s="14833">
        <v>0</v>
      </c>
      <c r="AC21" t="s" s="14834">
        <v>0</v>
      </c>
      <c r="AD21" t="s" s="14835">
        <v>0</v>
      </c>
      <c r="AE21" t="s" s="14836">
        <v>0</v>
      </c>
      <c r="AF21" t="s" s="14837">
        <v>0</v>
      </c>
      <c r="AG21" t="s" s="14838">
        <v>0</v>
      </c>
      <c r="AH21" t="s" s="14839">
        <v>0</v>
      </c>
      <c r="AI21" t="s" s="14840">
        <v>0</v>
      </c>
      <c r="AJ21" t="s" s="14841">
        <v>0</v>
      </c>
      <c r="AK21" t="s" s="14842">
        <v>0</v>
      </c>
      <c r="AL21" t="s" s="14843">
        <v>0</v>
      </c>
    </row>
    <row r="22" ht="15.0" customHeight="true"/>
    <row r="23" ht="15.0" customHeight="true">
      <c r="A23" t="s" s="14844">
        <v>0</v>
      </c>
      <c r="B23" t="s" s="14845">
        <v>649</v>
      </c>
      <c r="C23" s="14846">
        <f>COUNTA(A11:A20)</f>
      </c>
      <c r="L23" s="14847">
        <f>SUM(l11:l20)</f>
      </c>
      <c r="M23" s="14848">
        <f>SUM(m11:m20)</f>
      </c>
      <c r="N23" t="s" s="14849">
        <v>0</v>
      </c>
      <c r="O23" s="14850">
        <f>SUM(o11:o20)</f>
      </c>
      <c r="P23" s="14851">
        <f>SUM(p11:p20)</f>
      </c>
      <c r="Q23" t="s" s="14852">
        <v>0</v>
      </c>
      <c r="R23" s="14853">
        <f>SUM(r11:r20)</f>
      </c>
      <c r="S23" s="14854">
        <f>SUM(s11:s20)</f>
      </c>
      <c r="T23" s="14855">
        <f>SUM(t11:t20)</f>
      </c>
      <c r="U23" s="14856">
        <f>SUM(u11:u20)</f>
      </c>
      <c r="V23" s="14857">
        <f>SUM(v11:v20)</f>
      </c>
      <c r="W23" s="14858">
        <f>SUM(w11:w20)</f>
      </c>
      <c r="X23" s="14859">
        <f>SUM(x11:x20)</f>
      </c>
      <c r="Y23" s="14860">
        <f>SUM(y11:y20)</f>
      </c>
      <c r="Z23" s="14861">
        <f>SUM(z11:z20)</f>
      </c>
      <c r="AA23" s="14862">
        <f>SUM(aa11:aa20)</f>
      </c>
      <c r="AB23" s="14863">
        <f>SUM(ab11:ab20)</f>
      </c>
      <c r="AC23" s="14864">
        <f>SUM(ac11:ac20)</f>
      </c>
      <c r="AD23" s="14865">
        <f>SUM(ad11:ad20)</f>
      </c>
      <c r="AE23" s="14866">
        <f>SUM(ae11:ae20)</f>
      </c>
      <c r="AF23" s="14867">
        <f>SUM(af11:af20)</f>
      </c>
      <c r="AG23" s="14868">
        <f>SUM(ag11:ag20)</f>
      </c>
      <c r="AH23" s="14869">
        <f>SUM(ah11:ah20)</f>
      </c>
      <c r="AI23" s="14870">
        <f>SUM(ai11:ai20)</f>
      </c>
      <c r="AJ23" s="14871">
        <f>SUM(aj11:aj20)</f>
      </c>
      <c r="AK23" s="14872">
        <f>SUM(ak11:ak20)</f>
      </c>
      <c r="AL23" s="14873">
        <f>SUM(al11:al20)</f>
      </c>
      <c r="AM23" s="14874">
        <f>SUM(am11:am20)</f>
      </c>
      <c r="AN23" s="14875">
        <f>SUM(an11:an20)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2020-01-14T16:52:35Z</dcterms:created>
  <dc:creator>Apache POI</dc:creator>
</coreProperties>
</file>