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<sst xmlns="http://schemas.openxmlformats.org/spreadsheetml/2006/main" count="3880" uniqueCount="265">
  <si>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</si>
  <si>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</si>
  <si>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</si>
  <si>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</si>
  <si>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</si>
  <si>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</si>
  <si>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</si>
  <si>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</si>
  <si>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</si>
  <si>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</si>
  <si>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</si>
  <si>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</si>
  <si>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</si>
  <si>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</si>
  <si>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</si>
  <si>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</si>
  <si>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</si>
  <si>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</si>
  <si>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</si>
  <si>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</si>
  <si>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</si>
  <si>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</si>
  <si>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</si>
  <si>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</si>
  <si>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</si>
  <si>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</si>
  <si>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</si>
  <si>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</si>
  <si>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</si>
  <si>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</si>
  <si>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</si>
  <si>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</si>
  <si>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</si>
  <si>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</si>
  <si>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</si>
  <si>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</si>
  <si>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</si>
  <si>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</si>
  <si>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</si>
  <si>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</si>
  <si>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</si>
  <si>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</si>
  <si>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</si>
  <si>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</si>
  <si>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</si>
  <si>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</si>
  <si>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</si>
  <si>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</si>
  <si>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</si>
  <si>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</si>
  <si>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</si>
  <si>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200165811</t>
  </si>
  <si>
    <t>100121633</t>
  </si>
  <si>
    <t>Sri Wahyuni Binti Safruddin</t>
  </si>
  <si>
    <t>840917-71-5000</t>
  </si>
  <si>
    <t>Beauty Advisor</t>
  </si>
  <si>
    <t>GUARDIAN MID VALLEY</t>
  </si>
  <si>
    <t>Ng, Ann-G</t>
  </si>
  <si>
    <t>CPD Central</t>
  </si>
  <si>
    <t>200165813</t>
  </si>
  <si>
    <t>100127792</t>
  </si>
  <si>
    <t>Teh Rosliza Binti Hairi</t>
  </si>
  <si>
    <t>820202-08-6564</t>
  </si>
  <si>
    <t>Senior Beauty Advisor</t>
  </si>
  <si>
    <t>MYDIN MASJID INDIA</t>
  </si>
  <si>
    <t>200165747</t>
  </si>
  <si>
    <t>100133435</t>
  </si>
  <si>
    <t>Mariah Atiqah Binti Md Rosazian</t>
  </si>
  <si>
    <t>991126-14-5994</t>
  </si>
  <si>
    <t>WATSONS  CHERAS SELATAN</t>
  </si>
  <si>
    <t>200165807</t>
  </si>
  <si>
    <t>100133738</t>
  </si>
  <si>
    <t>Rosanida Binti Sulaiman</t>
  </si>
  <si>
    <t>891101-03-5010</t>
  </si>
  <si>
    <t>SOGO  KL</t>
  </si>
  <si>
    <t>200165828</t>
  </si>
  <si>
    <t>100121463</t>
  </si>
  <si>
    <t>Rusmazila Binti Hassan</t>
  </si>
  <si>
    <t>781026-03-5768</t>
  </si>
  <si>
    <t>SHOPPING CENTRAL 1 KB &amp; TESCO KB</t>
  </si>
  <si>
    <t>Chow, Samantha</t>
  </si>
  <si>
    <t>CPD East Region</t>
  </si>
  <si>
    <t>200165867</t>
  </si>
  <si>
    <t>100141069</t>
  </si>
  <si>
    <t>Fazieyatul Nazierra Binti Mohd Faizal</t>
  </si>
  <si>
    <t>960427-06-5240</t>
  </si>
  <si>
    <t>WATSONS BERJAYA MALL</t>
  </si>
  <si>
    <t>200165880</t>
  </si>
  <si>
    <t>100121488</t>
  </si>
  <si>
    <t>Rohana Binti Jamain</t>
  </si>
  <si>
    <t>860315-52-5830</t>
  </si>
  <si>
    <t>WATSONS BUKIT INDAH</t>
  </si>
  <si>
    <t>Teng , Irene</t>
  </si>
  <si>
    <t>CPD Johor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</si>
  <si>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</si>
  <si>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</si>
  <si>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</si>
  <si>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</si>
  <si>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</si>
  <si>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</si>
  <si>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</si>
  <si>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</si>
  <si>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</si>
  <si>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</si>
  <si>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</si>
  <si>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</si>
  <si>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</si>
  <si>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</si>
  <si>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</si>
  <si>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</si>
  <si>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</si>
  <si>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</si>
  <si>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</si>
  <si>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</si>
  <si>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</si>
  <si>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</si>
  <si>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</si>
  <si>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</si>
  <si>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</si>
  <si>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</si>
  <si>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</si>
  <si>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</si>
  <si>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</si>
  <si>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</si>
  <si>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</si>
  <si>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</si>
  <si>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</si>
  <si>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</si>
  <si>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</si>
  <si>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200165892</t>
  </si>
  <si>
    <t>100121489</t>
  </si>
  <si>
    <t>Tan Toh Wah</t>
  </si>
  <si>
    <t>650320-01-5792</t>
  </si>
  <si>
    <t>GUARDIAN PACIFIC</t>
  </si>
  <si>
    <t>Wong, Sarah</t>
  </si>
  <si>
    <t>CPD Melaka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</si>
  <si>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</si>
  <si>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</si>
  <si>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</si>
  <si>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</si>
  <si>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</si>
  <si>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</si>
  <si>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</si>
  <si>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</si>
  <si>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</si>
  <si>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</si>
  <si>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</si>
  <si>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</si>
  <si>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</si>
  <si>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</si>
  <si>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</si>
  <si>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200165888</t>
  </si>
  <si>
    <t>100134956</t>
  </si>
  <si>
    <t>Ng Hui Yen</t>
  </si>
  <si>
    <t>890516-04-5304</t>
  </si>
  <si>
    <t>WATSON  DATARAN PAHLAWAN  &amp; WATSON 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</si>
  <si>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</si>
  <si>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</si>
  <si>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</si>
  <si>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</si>
  <si>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</si>
  <si>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</si>
  <si>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</si>
  <si>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</si>
  <si>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</si>
  <si>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</si>
  <si>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</si>
  <si>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</si>
  <si>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</si>
  <si>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</si>
  <si>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</si>
  <si>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</si>
  <si>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</si>
  <si>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</si>
  <si>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</si>
  <si>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</si>
  <si>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</si>
  <si>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</si>
  <si>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</si>
  <si>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</si>
  <si>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</si>
  <si>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</si>
  <si>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</si>
  <si>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</si>
  <si>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</si>
  <si>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</si>
  <si>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</si>
  <si>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</si>
  <si>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</si>
  <si>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</si>
  <si>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</si>
  <si>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</si>
  <si>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</si>
  <si>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</si>
  <si>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</si>
  <si>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</si>
  <si>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</si>
  <si>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</si>
  <si>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</si>
  <si>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</si>
  <si>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</si>
  <si>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</si>
  <si>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</si>
  <si>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</si>
  <si>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200165842</t>
  </si>
  <si>
    <t>100129591</t>
  </si>
  <si>
    <t>Nor Hayati Binti Ishak</t>
  </si>
  <si>
    <t>830710-08-6308</t>
  </si>
  <si>
    <t>MYDIN MERU JAYA IPOH</t>
  </si>
  <si>
    <t>200165849</t>
  </si>
  <si>
    <t>100121792</t>
  </si>
  <si>
    <t>Eulalia Dosuil</t>
  </si>
  <si>
    <t>730501-12-5878</t>
  </si>
  <si>
    <t>SERVAY PENAMPANG &amp; WATSONS TAIPAN, KK</t>
  </si>
  <si>
    <t>Anna, Laina</t>
  </si>
  <si>
    <t>CPD Sabah</t>
  </si>
  <si>
    <t>200165856</t>
  </si>
  <si>
    <t>100121807</t>
  </si>
  <si>
    <t>Sarifah Binti Rahmin</t>
  </si>
  <si>
    <t>920615-12-5988</t>
  </si>
  <si>
    <t>LFA KOLOMBONG, KK</t>
  </si>
  <si>
    <t>200165901</t>
  </si>
  <si>
    <t>100121808</t>
  </si>
  <si>
    <t>Siti Rozainah Binti Abdul Wahap</t>
  </si>
  <si>
    <t>871223-12-5016</t>
  </si>
  <si>
    <t>LFA LAHAD DATU</t>
  </si>
  <si>
    <t>200165902</t>
  </si>
  <si>
    <t>100128456</t>
  </si>
  <si>
    <t>Zaliha Binti Hassan @ Ritus</t>
  </si>
  <si>
    <t>731122-12-5274</t>
  </si>
  <si>
    <t>WATSONS  SEMPORNA  &amp; GUARDIAN SEMPORNA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</si>
  <si>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</si>
  <si>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</si>
  <si>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</si>
  <si>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</si>
  <si>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</si>
  <si>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</si>
  <si>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</si>
  <si>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</si>
  <si>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</si>
  <si>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</si>
  <si>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</si>
  <si>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</si>
  <si>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</si>
  <si>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</si>
  <si>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</si>
  <si>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</si>
  <si>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</si>
  <si>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</si>
  <si>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</si>
  <si>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</si>
  <si>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</si>
  <si>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</si>
  <si>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</si>
  <si>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</si>
  <si>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</si>
  <si>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</si>
  <si>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</si>
  <si>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200165860</t>
  </si>
  <si>
    <t>100123876</t>
  </si>
  <si>
    <t>Yeo Hui Hua</t>
  </si>
  <si>
    <t>880506-52-5292</t>
  </si>
  <si>
    <t>Supervisor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</si>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</sst>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61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2887">
        <v>6</v>
      </c>
      <c r="Z1" t="n" s="2888">
        <v>2020.0</v>
      </c>
    </row>
    <row r="2">
      <c r="A2" t="s">
        <v>0</v>
      </c>
      <c r="B2" t="s">
        <v>2</v>
      </c>
      <c r="Y2" t="s" s="2889">
        <v>7</v>
      </c>
      <c r="Z2" t="n" s="289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748">
        <v>0</v>
      </c>
      <c r="B8" t="s" s="2749">
        <v>0</v>
      </c>
      <c r="C8" t="s" s="2750">
        <v>0</v>
      </c>
      <c r="D8" t="s" s="2751">
        <v>0</v>
      </c>
      <c r="E8" t="s" s="2752">
        <v>0</v>
      </c>
      <c r="F8" t="s" s="2753">
        <v>0</v>
      </c>
      <c r="G8" t="s" s="2754">
        <v>0</v>
      </c>
      <c r="H8" t="s" s="2755">
        <v>0</v>
      </c>
      <c r="I8" t="s" s="2756">
        <v>0</v>
      </c>
      <c r="J8" t="s" s="2757">
        <v>0</v>
      </c>
      <c r="K8" t="s" s="2758">
        <v>0</v>
      </c>
      <c r="L8" t="s" s="2759">
        <v>0</v>
      </c>
      <c r="M8" t="s" s="2760">
        <v>0</v>
      </c>
      <c r="N8" t="s" s="2761">
        <v>0</v>
      </c>
      <c r="O8" t="s" s="2762">
        <v>0</v>
      </c>
      <c r="P8" t="s" s="2763">
        <v>0</v>
      </c>
      <c r="Q8" t="s" s="2764">
        <v>0</v>
      </c>
      <c r="R8" t="s" s="2765">
        <v>0</v>
      </c>
      <c r="S8" t="s" s="2766">
        <v>0</v>
      </c>
      <c r="T8" t="s" s="2767">
        <v>0</v>
      </c>
      <c r="U8" t="s" s="2768">
        <v>0</v>
      </c>
      <c r="V8" t="s" s="2769">
        <v>0</v>
      </c>
      <c r="W8" t="s" s="2770">
        <v>0</v>
      </c>
      <c r="X8" t="s" s="2771">
        <v>0</v>
      </c>
      <c r="Y8" t="s" s="2781">
        <v>0</v>
      </c>
      <c r="Z8" t="s" s="2782">
        <v>0</v>
      </c>
      <c r="AA8" t="s" s="2783">
        <v>0</v>
      </c>
      <c r="AB8" t="s" s="2784">
        <v>0</v>
      </c>
      <c r="AC8" t="s" s="2785">
        <v>8</v>
      </c>
      <c r="AD8" s="2786"/>
      <c r="AE8" s="2787"/>
      <c r="AF8" s="2788"/>
      <c r="AG8" s="2772"/>
      <c r="AH8" s="2773"/>
      <c r="AI8" s="2774"/>
      <c r="AJ8" s="2775"/>
      <c r="AK8" s="2776"/>
      <c r="AL8" s="2777"/>
      <c r="AM8" s="2778"/>
      <c r="AN8" s="2779"/>
      <c r="AO8" s="2780"/>
    </row>
    <row r="9" ht="41.0" customHeight="true">
      <c r="A9" t="s" s="2805">
        <v>9</v>
      </c>
      <c r="B9" t="s" s="2806">
        <v>10</v>
      </c>
      <c r="C9" t="s" s="2807">
        <v>11</v>
      </c>
      <c r="D9" t="s" s="2808">
        <v>12</v>
      </c>
      <c r="E9" t="s" s="2809">
        <v>13</v>
      </c>
      <c r="F9" t="s" s="2810">
        <v>14</v>
      </c>
      <c r="G9" t="s" s="2811">
        <v>15</v>
      </c>
      <c r="H9" t="s" s="2812">
        <v>16</v>
      </c>
      <c r="I9" t="s" s="2891">
        <v>17</v>
      </c>
      <c r="J9" t="s" s="2892">
        <v>18</v>
      </c>
      <c r="K9" t="s" s="2815">
        <v>19</v>
      </c>
      <c r="L9" t="s" s="2816">
        <v>20</v>
      </c>
      <c r="M9" t="s" s="2817">
        <v>21</v>
      </c>
      <c r="N9" t="s" s="2818">
        <v>22</v>
      </c>
      <c r="O9" t="s" s="2819">
        <v>23</v>
      </c>
      <c r="P9" t="s" s="2820">
        <v>24</v>
      </c>
      <c r="Q9" t="s" s="2821">
        <v>25</v>
      </c>
      <c r="R9" t="s" s="2822">
        <v>26</v>
      </c>
      <c r="S9" t="s" s="2823">
        <v>27</v>
      </c>
      <c r="T9" t="s" s="2824">
        <v>28</v>
      </c>
      <c r="U9" t="s" s="2825">
        <v>29</v>
      </c>
      <c r="V9" t="s" s="2826">
        <v>30</v>
      </c>
      <c r="W9" t="s" s="2827">
        <v>31</v>
      </c>
      <c r="X9" t="s" s="2828">
        <v>32</v>
      </c>
      <c r="Y9" t="s" s="2829">
        <v>33</v>
      </c>
      <c r="Z9" t="s" s="2830">
        <v>34</v>
      </c>
      <c r="AA9" t="s" s="2831">
        <v>35</v>
      </c>
      <c r="AB9" t="s" s="2832">
        <v>36</v>
      </c>
      <c r="AC9" t="s" s="2833">
        <v>37</v>
      </c>
      <c r="AD9" t="s" s="2834">
        <v>38</v>
      </c>
      <c r="AE9" t="s" s="2835">
        <v>39</v>
      </c>
      <c r="AF9" t="s" s="2836">
        <v>40</v>
      </c>
      <c r="AG9" t="s" s="2837">
        <v>41</v>
      </c>
      <c r="AH9" t="s" s="2838">
        <v>42</v>
      </c>
      <c r="AI9" t="s" s="2839">
        <v>43</v>
      </c>
      <c r="AJ9" t="s" s="2840">
        <v>44</v>
      </c>
      <c r="AK9" t="s" s="2841">
        <v>45</v>
      </c>
      <c r="AL9" t="s" s="2842">
        <v>46</v>
      </c>
      <c r="AM9" t="s" s="2843">
        <v>47</v>
      </c>
      <c r="AN9" t="s" s="2844">
        <v>48</v>
      </c>
      <c r="AO9" t="s" s="2845">
        <v>49</v>
      </c>
    </row>
    <row r="10">
      <c r="A10" t="s" s="2846">
        <v>0</v>
      </c>
      <c r="B10" t="s" s="2847">
        <v>0</v>
      </c>
      <c r="C10" t="s" s="2848">
        <v>0</v>
      </c>
      <c r="D10" t="s" s="2849">
        <v>0</v>
      </c>
      <c r="E10" t="s" s="2850">
        <v>0</v>
      </c>
      <c r="F10" t="s" s="2851">
        <v>0</v>
      </c>
      <c r="G10" t="s" s="2852">
        <v>0</v>
      </c>
      <c r="H10" t="s" s="2853">
        <v>0</v>
      </c>
      <c r="I10" t="s" s="2893">
        <v>0</v>
      </c>
      <c r="J10" t="s" s="2894">
        <v>0</v>
      </c>
      <c r="K10" t="s" s="2856">
        <v>0</v>
      </c>
      <c r="L10" t="s" s="2857">
        <v>0</v>
      </c>
      <c r="M10" t="s" s="2858">
        <v>0</v>
      </c>
      <c r="N10" t="s" s="2859">
        <v>0</v>
      </c>
      <c r="O10" t="s" s="2860">
        <v>0</v>
      </c>
      <c r="P10" t="s" s="2861">
        <v>0</v>
      </c>
      <c r="Q10" t="s" s="2862">
        <v>0</v>
      </c>
      <c r="R10" t="s" s="2863">
        <v>0</v>
      </c>
      <c r="S10" t="s" s="2864">
        <v>0</v>
      </c>
      <c r="T10" t="s" s="2865">
        <v>0</v>
      </c>
      <c r="U10" t="s" s="2866">
        <v>0</v>
      </c>
      <c r="V10" t="s" s="2867">
        <v>0</v>
      </c>
      <c r="W10" t="s" s="2868">
        <v>0</v>
      </c>
      <c r="X10" t="s" s="2869">
        <v>0</v>
      </c>
      <c r="Y10" t="n" s="2870">
        <v>1.5</v>
      </c>
      <c r="Z10" t="n" s="2871">
        <v>1.5</v>
      </c>
      <c r="AA10" t="n" s="2872">
        <v>2.0</v>
      </c>
      <c r="AB10" t="n" s="2873">
        <v>2.0</v>
      </c>
      <c r="AC10" t="n" s="2874">
        <v>3.0</v>
      </c>
      <c r="AD10" t="n" s="2875">
        <v>3.0</v>
      </c>
      <c r="AE10" t="s" s="2876">
        <v>50</v>
      </c>
      <c r="AF10" t="s" s="2877">
        <v>50</v>
      </c>
      <c r="AG10" s="2878"/>
      <c r="AH10" s="2879"/>
      <c r="AI10" s="2880"/>
      <c r="AJ10" s="2881"/>
      <c r="AK10" s="2882"/>
      <c r="AL10" s="2883"/>
      <c r="AM10" s="2884"/>
      <c r="AN10" s="2885"/>
      <c r="AO10" s="2886"/>
    </row>
    <row r="11">
      <c r="A11" t="s" s="1110">
        <v>51</v>
      </c>
      <c r="B11" t="s" s="1111">
        <v>52</v>
      </c>
      <c r="C11" t="s" s="1112">
        <v>53</v>
      </c>
      <c r="D11" t="s" s="1113">
        <v>54</v>
      </c>
      <c r="E11" t="s" s="1114">
        <v>55</v>
      </c>
      <c r="F11" t="s" s="2709">
        <v>56</v>
      </c>
      <c r="G11" t="s" s="1116">
        <v>57</v>
      </c>
      <c r="H11" t="s" s="1117">
        <v>58</v>
      </c>
      <c r="I11" t="n" s="2895">
        <v>43952.0</v>
      </c>
      <c r="J11" t="n" s="2896">
        <v>44104.0</v>
      </c>
      <c r="K11" t="s" s="1120">
        <v>0</v>
      </c>
      <c r="L11" t="n" s="1121">
        <v>0.0</v>
      </c>
      <c r="M11" t="n" s="1122">
        <v>0.0</v>
      </c>
      <c r="N11" t="n" s="1123">
        <v>0.0</v>
      </c>
      <c r="O11" t="n" s="1124">
        <f>M11*N11</f>
      </c>
      <c r="P11" t="n" s="1125">
        <v>0.0</v>
      </c>
      <c r="Q11" t="n" s="1126">
        <v>0.0</v>
      </c>
      <c r="R11" t="n" s="1127">
        <f>P11*Q11</f>
      </c>
      <c r="S11" t="n" s="1128">
        <f>L11+O11+R11</f>
      </c>
      <c r="T11" t="n" s="1129">
        <v>0.0</v>
      </c>
      <c r="U11" t="n" s="1130">
        <v>53.18</v>
      </c>
      <c r="V11" t="n" s="1131">
        <v>0.0</v>
      </c>
      <c r="W11" t="n" s="1132">
        <v>2550.0</v>
      </c>
      <c r="X11" t="n" s="1133">
        <f>s11+t11+u11+w11</f>
      </c>
      <c r="Y11" t="n" s="1134">
        <v>0.0</v>
      </c>
      <c r="Z11" t="n" s="1135">
        <v>0.0</v>
      </c>
      <c r="AA11" t="n" s="1136">
        <v>0.0</v>
      </c>
      <c r="AB11" t="n" s="1137">
        <v>0.0</v>
      </c>
      <c r="AC11" t="n" s="1138">
        <v>0.0</v>
      </c>
      <c r="AD11" t="n" s="1139">
        <v>0.0</v>
      </c>
      <c r="AE11" t="n" s="1140">
        <f>y11+aa11+ac11</f>
      </c>
      <c r="AF11" t="n" s="1141">
        <f>z11+ab11+ad11</f>
      </c>
      <c r="AG11" t="n" s="1142">
        <v>333.0</v>
      </c>
      <c r="AH11" t="n" s="1143">
        <v>44.65</v>
      </c>
      <c r="AI11" t="n" s="1144">
        <v>5.1</v>
      </c>
      <c r="AJ11" t="n" s="1145">
        <f>x11+af11+ag11+ah11+ai11</f>
      </c>
      <c r="AK11" t="n" s="1146">
        <f>ROUND((l11+t11+af11+ag11+ah11+ai11+w11)*0.05,2)</f>
      </c>
      <c r="AL11" t="n" s="1147">
        <f>aj11+ak11</f>
      </c>
      <c r="AM11" t="n" s="1148">
        <f>233.18*0.06</f>
      </c>
      <c r="AN11" t="n" s="1149">
        <f>al11+am11</f>
      </c>
      <c r="AO11" t="s" s="1150">
        <v>0</v>
      </c>
    </row>
    <row r="12">
      <c r="A12" t="s" s="1151">
        <v>59</v>
      </c>
      <c r="B12" t="s" s="1152">
        <v>60</v>
      </c>
      <c r="C12" t="s" s="1153">
        <v>61</v>
      </c>
      <c r="D12" t="s" s="1154">
        <v>62</v>
      </c>
      <c r="E12" t="s" s="1155">
        <v>63</v>
      </c>
      <c r="F12" t="s" s="2710">
        <v>64</v>
      </c>
      <c r="G12" t="s" s="1157">
        <v>57</v>
      </c>
      <c r="H12" t="s" s="1158">
        <v>58</v>
      </c>
      <c r="I12" t="n" s="2897">
        <v>43952.0</v>
      </c>
      <c r="J12" t="n" s="2898">
        <v>44094.0</v>
      </c>
      <c r="K12" t="s" s="1161">
        <v>0</v>
      </c>
      <c r="L12" t="n" s="1162">
        <v>0.0</v>
      </c>
      <c r="M12" t="n" s="1163">
        <v>0.0</v>
      </c>
      <c r="N12" t="n" s="1164">
        <v>0.0</v>
      </c>
      <c r="O12" t="n" s="1165">
        <f>M12*N12</f>
      </c>
      <c r="P12" t="n" s="1166">
        <v>0.0</v>
      </c>
      <c r="Q12" t="n" s="1167">
        <v>0.0</v>
      </c>
      <c r="R12" t="n" s="1168">
        <f>P12*Q12</f>
      </c>
      <c r="S12" t="n" s="1169">
        <f>L12+O12+R12</f>
      </c>
      <c r="T12" t="n" s="1170">
        <v>0.0</v>
      </c>
      <c r="U12" t="n" s="1171">
        <v>0.0</v>
      </c>
      <c r="V12" t="n" s="1172">
        <v>0.0</v>
      </c>
      <c r="W12" t="n" s="1173">
        <v>2550.0</v>
      </c>
      <c r="X12" t="n" s="1174">
        <f>s12+t12+u12+w12</f>
      </c>
      <c r="Y12" t="n" s="1175">
        <v>0.0</v>
      </c>
      <c r="Z12" t="n" s="1176">
        <v>0.0</v>
      </c>
      <c r="AA12" t="n" s="1177">
        <v>0.0</v>
      </c>
      <c r="AB12" t="n" s="1178">
        <v>0.0</v>
      </c>
      <c r="AC12" t="n" s="1179">
        <v>0.0</v>
      </c>
      <c r="AD12" t="n" s="1180">
        <v>0.0</v>
      </c>
      <c r="AE12" t="n" s="1181">
        <f>y12+aa12+ac12</f>
      </c>
      <c r="AF12" t="n" s="1182">
        <f>z12+ab12+ad12</f>
      </c>
      <c r="AG12" t="n" s="1183">
        <v>333.0</v>
      </c>
      <c r="AH12" t="n" s="1184">
        <v>46.35</v>
      </c>
      <c r="AI12" t="n" s="1185">
        <v>5.3</v>
      </c>
      <c r="AJ12" t="n" s="1186">
        <f>x12+af12+ag12+ah12+ai12</f>
      </c>
      <c r="AK12" t="n" s="1187">
        <f>ROUND((l12+t12+af12+ag12+ah12+ai12+w12)*0.05,2)</f>
      </c>
      <c r="AL12" t="n" s="1188">
        <f>aj12+ak12</f>
      </c>
      <c r="AM12" t="n" s="1189">
        <f>180*0.06</f>
      </c>
      <c r="AN12" t="n" s="1190">
        <f>al12+am12</f>
      </c>
      <c r="AO12" t="s" s="1191">
        <v>0</v>
      </c>
    </row>
    <row r="13">
      <c r="A13" t="s" s="1192">
        <v>65</v>
      </c>
      <c r="B13" t="s" s="1193">
        <v>66</v>
      </c>
      <c r="C13" t="s" s="1194">
        <v>67</v>
      </c>
      <c r="D13" t="s" s="1195">
        <v>68</v>
      </c>
      <c r="E13" t="s" s="1196">
        <v>55</v>
      </c>
      <c r="F13" t="s" s="2711">
        <v>69</v>
      </c>
      <c r="G13" t="s" s="1198">
        <v>57</v>
      </c>
      <c r="H13" t="s" s="1199">
        <v>58</v>
      </c>
      <c r="I13" t="n" s="2899">
        <v>43952.0</v>
      </c>
      <c r="J13" t="n" s="2900">
        <v>44104.0</v>
      </c>
      <c r="K13" t="s" s="1202">
        <v>0</v>
      </c>
      <c r="L13" t="n" s="1203">
        <v>0.0</v>
      </c>
      <c r="M13" t="n" s="1204">
        <v>0.0</v>
      </c>
      <c r="N13" t="n" s="1205">
        <v>0.0</v>
      </c>
      <c r="O13" t="n" s="1206">
        <f>M13*N13</f>
      </c>
      <c r="P13" t="n" s="1207">
        <v>0.0</v>
      </c>
      <c r="Q13" t="n" s="1208">
        <v>0.0</v>
      </c>
      <c r="R13" t="n" s="1209">
        <f>P13*Q13</f>
      </c>
      <c r="S13" t="n" s="1210">
        <f>L13+O13+R13</f>
      </c>
      <c r="T13" t="n" s="1211">
        <v>0.0</v>
      </c>
      <c r="U13" t="n" s="1212">
        <v>0.0</v>
      </c>
      <c r="V13" t="n" s="1213">
        <v>0.0</v>
      </c>
      <c r="W13" t="n" s="1214">
        <v>2550.0</v>
      </c>
      <c r="X13" t="n" s="1215">
        <f>s13+t13+u13+w13</f>
      </c>
      <c r="Y13" t="n" s="1216">
        <v>0.0</v>
      </c>
      <c r="Z13" t="n" s="1217">
        <v>0.0</v>
      </c>
      <c r="AA13" t="n" s="1218">
        <v>0.0</v>
      </c>
      <c r="AB13" t="n" s="1219">
        <v>0.0</v>
      </c>
      <c r="AC13" t="n" s="1220">
        <v>0.0</v>
      </c>
      <c r="AD13" t="n" s="1221">
        <v>0.0</v>
      </c>
      <c r="AE13" t="n" s="1222">
        <f>y13+aa13+ac13</f>
      </c>
      <c r="AF13" t="n" s="1223">
        <f>z13+ab13+ad13</f>
      </c>
      <c r="AG13" t="n" s="1224">
        <v>333.0</v>
      </c>
      <c r="AH13" t="n" s="1225">
        <v>44.65</v>
      </c>
      <c r="AI13" t="n" s="1226">
        <v>5.1</v>
      </c>
      <c r="AJ13" t="n" s="1227">
        <f>x13+af13+ag13+ah13+ai13</f>
      </c>
      <c r="AK13" t="n" s="1228">
        <f>ROUND((l13+t13+af13+ag13+ah13+ai13+w13)*0.05,2)</f>
      </c>
      <c r="AL13" t="n" s="1229">
        <f>aj13+ak13</f>
      </c>
      <c r="AM13" t="n" s="1230">
        <f>180*0.06</f>
      </c>
      <c r="AN13" t="n" s="1231">
        <f>al13+am13</f>
      </c>
      <c r="AO13" t="s" s="1232">
        <v>0</v>
      </c>
    </row>
    <row r="14">
      <c r="A14" t="s" s="1233">
        <v>70</v>
      </c>
      <c r="B14" t="s" s="1234">
        <v>71</v>
      </c>
      <c r="C14" t="s" s="1235">
        <v>72</v>
      </c>
      <c r="D14" t="s" s="1236">
        <v>73</v>
      </c>
      <c r="E14" t="s" s="1237">
        <v>55</v>
      </c>
      <c r="F14" t="s" s="2712">
        <v>74</v>
      </c>
      <c r="G14" t="s" s="1239">
        <v>57</v>
      </c>
      <c r="H14" t="s" s="1240">
        <v>58</v>
      </c>
      <c r="I14" t="n" s="2901">
        <v>43952.0</v>
      </c>
      <c r="J14" t="n" s="2902">
        <v>44104.0</v>
      </c>
      <c r="K14" t="s" s="1243">
        <v>0</v>
      </c>
      <c r="L14" t="n" s="1244">
        <v>0.0</v>
      </c>
      <c r="M14" t="n" s="1245">
        <v>0.0</v>
      </c>
      <c r="N14" t="n" s="1246">
        <v>0.0</v>
      </c>
      <c r="O14" t="n" s="1247">
        <f>M14*N14</f>
      </c>
      <c r="P14" t="n" s="1248">
        <v>0.0</v>
      </c>
      <c r="Q14" t="n" s="1249">
        <v>0.0</v>
      </c>
      <c r="R14" t="n" s="1250">
        <f>P14*Q14</f>
      </c>
      <c r="S14" t="n" s="1251">
        <f>L14+O14+R14</f>
      </c>
      <c r="T14" t="n" s="1252">
        <v>0.0</v>
      </c>
      <c r="U14" t="n" s="1253">
        <v>10.0</v>
      </c>
      <c r="V14" t="n" s="1254">
        <v>0.0</v>
      </c>
      <c r="W14" t="n" s="1255">
        <v>650.0</v>
      </c>
      <c r="X14" t="n" s="1256">
        <f>s14+t14+u14+w14</f>
      </c>
      <c r="Y14" t="n" s="1257">
        <v>0.0</v>
      </c>
      <c r="Z14" t="n" s="1258">
        <v>0.0</v>
      </c>
      <c r="AA14" t="n" s="1259">
        <v>0.0</v>
      </c>
      <c r="AB14" t="n" s="1260">
        <v>0.0</v>
      </c>
      <c r="AC14" t="n" s="1261">
        <v>0.0</v>
      </c>
      <c r="AD14" t="n" s="1262">
        <v>0.0</v>
      </c>
      <c r="AE14" t="n" s="1263">
        <f>y14+aa14+ac14</f>
      </c>
      <c r="AF14" t="n" s="1264">
        <f>z14+ab14+ad14</f>
      </c>
      <c r="AG14" t="n" s="1265">
        <v>86.0</v>
      </c>
      <c r="AH14" t="n" s="1266">
        <v>13.15</v>
      </c>
      <c r="AI14" t="n" s="1267">
        <v>1.5</v>
      </c>
      <c r="AJ14" t="n" s="1268">
        <f>x14+af14+ag14+ah14+ai14</f>
      </c>
      <c r="AK14" t="n" s="1269">
        <f>ROUND((l14+t14+af14+ag14+ah14+ai14+w14)*0.05,2)</f>
      </c>
      <c r="AL14" t="n" s="1270">
        <f>aj14+ak14</f>
      </c>
      <c r="AM14" t="n" s="1271">
        <f>190*0.06</f>
      </c>
      <c r="AN14" t="n" s="1272">
        <f>al14+am14</f>
      </c>
      <c r="AO14" t="s" s="1273">
        <v>0</v>
      </c>
    </row>
    <row r="15">
      <c r="A15" t="s" s="1274">
        <v>75</v>
      </c>
      <c r="B15" t="s" s="1275">
        <v>76</v>
      </c>
      <c r="C15" t="s" s="1276">
        <v>77</v>
      </c>
      <c r="D15" t="s" s="1277">
        <v>78</v>
      </c>
      <c r="E15" t="s" s="1278">
        <v>55</v>
      </c>
      <c r="F15" t="s" s="2713">
        <v>79</v>
      </c>
      <c r="G15" t="s" s="1280">
        <v>80</v>
      </c>
      <c r="H15" t="s" s="1281">
        <v>81</v>
      </c>
      <c r="I15" t="n" s="2903">
        <v>43952.0</v>
      </c>
      <c r="J15" t="n" s="2904">
        <v>44104.0</v>
      </c>
      <c r="K15" t="s" s="1284">
        <v>0</v>
      </c>
      <c r="L15" t="n" s="1285">
        <v>0.0</v>
      </c>
      <c r="M15" t="n" s="1286">
        <v>0.0</v>
      </c>
      <c r="N15" t="n" s="1287">
        <v>0.0</v>
      </c>
      <c r="O15" t="n" s="1288">
        <f>M15*N15</f>
      </c>
      <c r="P15" t="n" s="1289">
        <v>0.0</v>
      </c>
      <c r="Q15" t="n" s="1290">
        <v>0.0</v>
      </c>
      <c r="R15" t="n" s="1291">
        <f>P15*Q15</f>
      </c>
      <c r="S15" t="n" s="1292">
        <f>L15+O15+R15</f>
      </c>
      <c r="T15" t="n" s="1293">
        <v>0.0</v>
      </c>
      <c r="U15" t="n" s="1294">
        <v>0.0</v>
      </c>
      <c r="V15" t="n" s="1295">
        <v>0.0</v>
      </c>
      <c r="W15" t="n" s="1296">
        <v>1800.0</v>
      </c>
      <c r="X15" t="n" s="1297">
        <f>s15+t15+u15+w15</f>
      </c>
      <c r="Y15" t="n" s="1298">
        <v>0.0</v>
      </c>
      <c r="Z15" t="n" s="1299">
        <v>0.0</v>
      </c>
      <c r="AA15" t="n" s="1300">
        <v>0.0</v>
      </c>
      <c r="AB15" t="n" s="1301">
        <v>0.0</v>
      </c>
      <c r="AC15" t="n" s="1302">
        <v>0.0</v>
      </c>
      <c r="AD15" t="n" s="1303">
        <v>0.0</v>
      </c>
      <c r="AE15" t="n" s="1304">
        <f>y15+aa15+ac15</f>
      </c>
      <c r="AF15" t="n" s="1305">
        <f>z15+ab15+ad15</f>
      </c>
      <c r="AG15" t="n" s="1306">
        <v>253.0</v>
      </c>
      <c r="AH15" t="n" s="1307">
        <v>35.85</v>
      </c>
      <c r="AI15" t="n" s="1308">
        <v>4.1</v>
      </c>
      <c r="AJ15" t="n" s="1309">
        <f>x15+af15+ag15+ah15+ai15</f>
      </c>
      <c r="AK15" t="n" s="1310">
        <f>ROUND((l15+t15+af15+ag15+ah15+ai15+w15)*0.05,2)</f>
      </c>
      <c r="AL15" t="n" s="1311">
        <f>aj15+ak15</f>
      </c>
      <c r="AM15" t="n" s="1312">
        <f>180*0.06</f>
      </c>
      <c r="AN15" t="n" s="1313">
        <f>al15+am15</f>
      </c>
      <c r="AO15" t="s" s="1314">
        <v>0</v>
      </c>
    </row>
    <row r="16">
      <c r="A16" t="s" s="1315">
        <v>82</v>
      </c>
      <c r="B16" t="s" s="1316">
        <v>83</v>
      </c>
      <c r="C16" t="s" s="1317">
        <v>84</v>
      </c>
      <c r="D16" t="s" s="1318">
        <v>85</v>
      </c>
      <c r="E16" t="s" s="1319">
        <v>55</v>
      </c>
      <c r="F16" t="s" s="2714">
        <v>86</v>
      </c>
      <c r="G16" t="s" s="1321">
        <v>80</v>
      </c>
      <c r="H16" t="s" s="1322">
        <v>81</v>
      </c>
      <c r="I16" t="n" s="2905">
        <v>43952.0</v>
      </c>
      <c r="J16" t="n" s="2906">
        <v>44104.0</v>
      </c>
      <c r="K16" t="s" s="1325">
        <v>0</v>
      </c>
      <c r="L16" t="n" s="1326">
        <v>0.0</v>
      </c>
      <c r="M16" t="n" s="1327">
        <v>0.0</v>
      </c>
      <c r="N16" t="n" s="1328">
        <v>0.0</v>
      </c>
      <c r="O16" t="n" s="1329">
        <f>M16*N16</f>
      </c>
      <c r="P16" t="n" s="1330">
        <v>0.0</v>
      </c>
      <c r="Q16" t="n" s="1331">
        <v>0.0</v>
      </c>
      <c r="R16" t="n" s="1332">
        <f>P16*Q16</f>
      </c>
      <c r="S16" t="n" s="1333">
        <f>L16+O16+R16</f>
      </c>
      <c r="T16" t="n" s="1334">
        <v>0.0</v>
      </c>
      <c r="U16" t="n" s="1335">
        <v>0.0</v>
      </c>
      <c r="V16" t="n" s="1336">
        <v>0.0</v>
      </c>
      <c r="W16" t="n" s="1337">
        <v>1800.0</v>
      </c>
      <c r="X16" t="n" s="1338">
        <f>s16+t16+u16+w16</f>
      </c>
      <c r="Y16" t="n" s="1339">
        <v>0.0</v>
      </c>
      <c r="Z16" t="n" s="1340">
        <v>0.0</v>
      </c>
      <c r="AA16" t="n" s="1341">
        <v>0.0</v>
      </c>
      <c r="AB16" t="n" s="1342">
        <v>0.0</v>
      </c>
      <c r="AC16" t="n" s="1343">
        <v>0.0</v>
      </c>
      <c r="AD16" t="n" s="1344">
        <v>0.0</v>
      </c>
      <c r="AE16" t="n" s="1345">
        <f>y16+aa16+ac16</f>
      </c>
      <c r="AF16" t="n" s="1346">
        <f>z16+ab16+ad16</f>
      </c>
      <c r="AG16" t="n" s="1347">
        <v>234.0</v>
      </c>
      <c r="AH16" t="n" s="1348">
        <v>32.35</v>
      </c>
      <c r="AI16" t="n" s="1349">
        <v>3.7</v>
      </c>
      <c r="AJ16" t="n" s="1350">
        <f>x16+af16+ag16+ah16+ai16</f>
      </c>
      <c r="AK16" t="n" s="1351">
        <f>ROUND((l16+t16+af16+ag16+ah16+ai16+w16)*0.05,2)</f>
      </c>
      <c r="AL16" t="n" s="1352">
        <f>aj16+ak16</f>
      </c>
      <c r="AM16" t="n" s="1353">
        <f>180*0.06</f>
      </c>
      <c r="AN16" t="n" s="1354">
        <f>al16+am16</f>
      </c>
      <c r="AO16" t="s" s="1355">
        <v>0</v>
      </c>
    </row>
    <row r="17">
      <c r="A17" t="s" s="1356">
        <v>87</v>
      </c>
      <c r="B17" t="s" s="1357">
        <v>88</v>
      </c>
      <c r="C17" t="s" s="1358">
        <v>89</v>
      </c>
      <c r="D17" t="s" s="1359">
        <v>90</v>
      </c>
      <c r="E17" t="s" s="1360">
        <v>63</v>
      </c>
      <c r="F17" t="s" s="2715">
        <v>91</v>
      </c>
      <c r="G17" t="s" s="1362">
        <v>92</v>
      </c>
      <c r="H17" t="s" s="1363">
        <v>93</v>
      </c>
      <c r="I17" t="n" s="2907">
        <v>43952.0</v>
      </c>
      <c r="J17" t="n" s="2908">
        <v>44104.0</v>
      </c>
      <c r="K17" t="s" s="1366">
        <v>0</v>
      </c>
      <c r="L17" t="n" s="1367">
        <v>0.0</v>
      </c>
      <c r="M17" t="n" s="1368">
        <v>0.0</v>
      </c>
      <c r="N17" t="n" s="1369">
        <v>0.0</v>
      </c>
      <c r="O17" t="n" s="1370">
        <f>M17*N17</f>
      </c>
      <c r="P17" t="n" s="1371">
        <v>0.0</v>
      </c>
      <c r="Q17" t="n" s="1372">
        <v>0.0</v>
      </c>
      <c r="R17" t="n" s="1373">
        <f>P17*Q17</f>
      </c>
      <c r="S17" t="n" s="1374">
        <f>L17+O17+R17</f>
      </c>
      <c r="T17" t="n" s="1375">
        <v>0.0</v>
      </c>
      <c r="U17" t="n" s="1376">
        <v>0.0</v>
      </c>
      <c r="V17" t="n" s="1377">
        <v>0.0</v>
      </c>
      <c r="W17" t="n" s="1378">
        <v>1150.0</v>
      </c>
      <c r="X17" t="n" s="1379">
        <f>s17+t17+u17+w17</f>
      </c>
      <c r="Y17" t="n" s="1380">
        <v>0.0</v>
      </c>
      <c r="Z17" t="n" s="1381">
        <v>0.0</v>
      </c>
      <c r="AA17" t="n" s="1382">
        <v>8.0</v>
      </c>
      <c r="AB17" t="n" s="1383">
        <v>114.64</v>
      </c>
      <c r="AC17" t="n" s="1384">
        <v>0.0</v>
      </c>
      <c r="AD17" t="n" s="1385">
        <v>0.0</v>
      </c>
      <c r="AE17" t="n" s="1386">
        <f>y17+aa17+ac17</f>
      </c>
      <c r="AF17" t="n" s="1387">
        <f>z17+ab17+ad17</f>
      </c>
      <c r="AG17" t="n" s="1388">
        <v>193.0</v>
      </c>
      <c r="AH17" t="n" s="1389">
        <v>27.15</v>
      </c>
      <c r="AI17" t="n" s="1390">
        <v>3.1</v>
      </c>
      <c r="AJ17" t="n" s="1391">
        <f>x17+af17+ag17+ah17+ai17</f>
      </c>
      <c r="AK17" t="n" s="1392">
        <f>ROUND((l17+t17+af17+ag17+ah17+ai17+w17)*0.05,2)</f>
      </c>
      <c r="AL17" t="n" s="1393">
        <f>aj17+ak17</f>
      </c>
      <c r="AM17" t="n" s="1394">
        <f>180*0.06</f>
      </c>
      <c r="AN17" t="n" s="1395">
        <f>al17+am17</f>
      </c>
      <c r="AO17" t="s" s="1396">
        <v>0</v>
      </c>
    </row>
    <row r="18">
      <c r="A18" t="s" s="1397">
        <v>94</v>
      </c>
      <c r="B18" t="s" s="1398">
        <v>95</v>
      </c>
      <c r="C18" t="s" s="1399">
        <v>96</v>
      </c>
      <c r="D18" t="s" s="1400">
        <v>97</v>
      </c>
      <c r="E18" t="s" s="1401">
        <v>55</v>
      </c>
      <c r="F18" t="s" s="2716">
        <v>98</v>
      </c>
      <c r="G18" t="s" s="1403">
        <v>92</v>
      </c>
      <c r="H18" t="s" s="1404">
        <v>93</v>
      </c>
      <c r="I18" t="n" s="2909">
        <v>43952.0</v>
      </c>
      <c r="J18" t="n" s="2910">
        <v>44104.0</v>
      </c>
      <c r="K18" t="s" s="1407">
        <v>0</v>
      </c>
      <c r="L18" t="n" s="1408">
        <v>0.0</v>
      </c>
      <c r="M18" t="n" s="1409">
        <v>0.0</v>
      </c>
      <c r="N18" t="n" s="1410">
        <v>0.0</v>
      </c>
      <c r="O18" t="n" s="1411">
        <f>M18*N18</f>
      </c>
      <c r="P18" t="n" s="1412">
        <v>0.0</v>
      </c>
      <c r="Q18" t="n" s="1413">
        <v>0.0</v>
      </c>
      <c r="R18" t="n" s="1414">
        <f>P18*Q18</f>
      </c>
      <c r="S18" t="n" s="1415">
        <f>L18+O18+R18</f>
      </c>
      <c r="T18" t="n" s="1416">
        <v>0.0</v>
      </c>
      <c r="U18" t="n" s="1417">
        <v>31.4</v>
      </c>
      <c r="V18" t="n" s="1418">
        <v>0.0</v>
      </c>
      <c r="W18" t="n" s="1419">
        <v>2550.0</v>
      </c>
      <c r="X18" t="n" s="1420">
        <f>s18+t18+u18+w18</f>
      </c>
      <c r="Y18" t="n" s="1421">
        <v>0.0</v>
      </c>
      <c r="Z18" t="n" s="1422">
        <v>0.0</v>
      </c>
      <c r="AA18" t="n" s="1423">
        <v>8.0</v>
      </c>
      <c r="AB18" t="n" s="1424">
        <v>112.32</v>
      </c>
      <c r="AC18" t="n" s="1425">
        <v>0.0</v>
      </c>
      <c r="AD18" t="n" s="1426">
        <v>0.0</v>
      </c>
      <c r="AE18" t="n" s="1427">
        <f>y18+aa18+ac18</f>
      </c>
      <c r="AF18" t="n" s="1428">
        <f>z18+ab18+ad18</f>
      </c>
      <c r="AG18" t="n" s="1429">
        <v>362.0</v>
      </c>
      <c r="AH18" t="n" s="1430">
        <v>49.85</v>
      </c>
      <c r="AI18" t="n" s="1431">
        <v>5.7</v>
      </c>
      <c r="AJ18" t="n" s="1432">
        <f>x18+af18+ag18+ah18+ai18</f>
      </c>
      <c r="AK18" t="n" s="1433">
        <f>ROUND((l18+t18+af18+ag18+ah18+ai18+w18)*0.05,2)</f>
      </c>
      <c r="AL18" t="n" s="1434">
        <f>aj18+ak18</f>
      </c>
      <c r="AM18" t="n" s="1435">
        <f>211.4*0.06</f>
      </c>
      <c r="AN18" t="n" s="1436">
        <f>al18+am18</f>
      </c>
      <c r="AO18" t="s" s="1437">
        <v>0</v>
      </c>
    </row>
    <row r="19">
      <c r="A19" t="s" s="1438">
        <v>99</v>
      </c>
      <c r="B19" t="s" s="1439">
        <v>100</v>
      </c>
      <c r="C19" t="s" s="1440">
        <v>101</v>
      </c>
      <c r="D19" t="s" s="1441">
        <v>102</v>
      </c>
      <c r="E19" t="s" s="1442">
        <v>55</v>
      </c>
      <c r="F19" t="s" s="2717">
        <v>103</v>
      </c>
      <c r="G19" t="s" s="1444">
        <v>92</v>
      </c>
      <c r="H19" t="s" s="1445">
        <v>93</v>
      </c>
      <c r="I19" t="n" s="2911">
        <v>43952.0</v>
      </c>
      <c r="J19" t="n" s="2912">
        <v>44104.0</v>
      </c>
      <c r="K19" t="s" s="1448">
        <v>0</v>
      </c>
      <c r="L19" t="n" s="1449">
        <v>0.0</v>
      </c>
      <c r="M19" t="n" s="1450">
        <v>0.0</v>
      </c>
      <c r="N19" t="n" s="1451">
        <v>0.0</v>
      </c>
      <c r="O19" t="n" s="1452">
        <f>M19*N19</f>
      </c>
      <c r="P19" t="n" s="1453">
        <v>0.0</v>
      </c>
      <c r="Q19" t="n" s="1454">
        <v>0.0</v>
      </c>
      <c r="R19" t="n" s="1455">
        <f>P19*Q19</f>
      </c>
      <c r="S19" t="n" s="1456">
        <f>L19+O19+R19</f>
      </c>
      <c r="T19" t="n" s="1457">
        <v>0.0</v>
      </c>
      <c r="U19" t="n" s="1458">
        <v>39.6</v>
      </c>
      <c r="V19" t="n" s="1459">
        <v>0.0</v>
      </c>
      <c r="W19" t="n" s="1460">
        <v>254.0</v>
      </c>
      <c r="X19" t="n" s="1461">
        <f>s19+t19+u19+w19</f>
      </c>
      <c r="Y19" t="n" s="1462">
        <v>0.0</v>
      </c>
      <c r="Z19" t="n" s="1463">
        <v>0.0</v>
      </c>
      <c r="AA19" t="n" s="1464">
        <v>8.0</v>
      </c>
      <c r="AB19" t="n" s="1465">
        <v>109.2</v>
      </c>
      <c r="AC19" t="n" s="1466">
        <v>0.0</v>
      </c>
      <c r="AD19" t="n" s="1467">
        <v>0.0</v>
      </c>
      <c r="AE19" t="n" s="1468">
        <f>y19+aa19+ac19</f>
      </c>
      <c r="AF19" t="n" s="1469">
        <f>z19+ab19+ad19</f>
      </c>
      <c r="AG19" t="n" s="1470">
        <v>34.0</v>
      </c>
      <c r="AH19" t="n" s="1471">
        <v>6.15</v>
      </c>
      <c r="AI19" t="n" s="1472">
        <v>0.7</v>
      </c>
      <c r="AJ19" t="n" s="1473">
        <f>x19+af19+ag19+ah19+ai19</f>
      </c>
      <c r="AK19" t="n" s="1474">
        <f>ROUND((l19+t19+af19+ag19+ah19+ai19+w19)*0.05,2)</f>
      </c>
      <c r="AL19" t="n" s="1475">
        <f>aj19+ak19</f>
      </c>
      <c r="AM19" t="n" s="1476">
        <f>219.6*0.06</f>
      </c>
      <c r="AN19" t="n" s="1477">
        <f>al19+am19</f>
      </c>
      <c r="AO19" t="s" s="1478">
        <v>0</v>
      </c>
    </row>
    <row r="20">
      <c r="A20" t="s" s="1479">
        <v>104</v>
      </c>
      <c r="B20" t="s" s="1480">
        <v>105</v>
      </c>
      <c r="C20" t="s" s="1481">
        <v>106</v>
      </c>
      <c r="D20" t="s" s="1482">
        <v>107</v>
      </c>
      <c r="E20" t="s" s="1483">
        <v>55</v>
      </c>
      <c r="F20" t="s" s="2718">
        <v>108</v>
      </c>
      <c r="G20" t="s" s="1485">
        <v>92</v>
      </c>
      <c r="H20" t="s" s="1486">
        <v>93</v>
      </c>
      <c r="I20" t="n" s="2913">
        <v>43952.0</v>
      </c>
      <c r="J20" t="n" s="2914">
        <v>44104.0</v>
      </c>
      <c r="K20" t="s" s="1489">
        <v>0</v>
      </c>
      <c r="L20" t="n" s="1490">
        <v>0.0</v>
      </c>
      <c r="M20" t="n" s="1491">
        <v>0.0</v>
      </c>
      <c r="N20" t="n" s="1492">
        <v>0.0</v>
      </c>
      <c r="O20" t="n" s="1493">
        <f>M20*N20</f>
      </c>
      <c r="P20" t="n" s="1494">
        <v>0.0</v>
      </c>
      <c r="Q20" t="n" s="1495">
        <v>0.0</v>
      </c>
      <c r="R20" t="n" s="1496">
        <f>P20*Q20</f>
      </c>
      <c r="S20" t="n" s="1497">
        <f>L20+O20+R20</f>
      </c>
      <c r="T20" t="n" s="1498">
        <v>0.0</v>
      </c>
      <c r="U20" t="n" s="1499">
        <v>0.0</v>
      </c>
      <c r="V20" t="n" s="1500">
        <v>0.0</v>
      </c>
      <c r="W20" t="n" s="1501">
        <v>0.0</v>
      </c>
      <c r="X20" t="n" s="1502">
        <f>s20+t20+u20+w20</f>
      </c>
      <c r="Y20" t="n" s="1503">
        <v>0.0</v>
      </c>
      <c r="Z20" t="n" s="1504">
        <v>0.0</v>
      </c>
      <c r="AA20" t="n" s="1505">
        <v>8.0</v>
      </c>
      <c r="AB20" t="n" s="1506">
        <v>99.2</v>
      </c>
      <c r="AC20" t="n" s="1507">
        <v>0.0</v>
      </c>
      <c r="AD20" t="n" s="1508">
        <v>0.0</v>
      </c>
      <c r="AE20" t="n" s="1509">
        <f>y20+aa20+ac20</f>
      </c>
      <c r="AF20" t="n" s="1510">
        <f>z20+ab20+ad20</f>
      </c>
      <c r="AG20" t="n" s="1511">
        <v>0.0</v>
      </c>
      <c r="AH20" t="n" s="1512">
        <v>1.5</v>
      </c>
      <c r="AI20" t="n" s="1513">
        <v>0.2</v>
      </c>
      <c r="AJ20" t="n" s="1514">
        <f>x20+af20+ag20+ah20+ai20</f>
      </c>
      <c r="AK20" t="n" s="1515">
        <f>ROUND((l20+t20+af20+ag20+ah20+ai20+w20)*0.05,2)</f>
      </c>
      <c r="AL20" t="n" s="1516">
        <f>aj20+ak20</f>
      </c>
      <c r="AM20" t="n" s="1517">
        <f>180*0.06</f>
      </c>
      <c r="AN20" t="n" s="1518">
        <f>al20+am20</f>
      </c>
      <c r="AO20" t="s" s="1519">
        <v>0</v>
      </c>
    </row>
    <row r="21">
      <c r="A21" t="s" s="1520">
        <v>109</v>
      </c>
      <c r="B21" t="s" s="1521">
        <v>110</v>
      </c>
      <c r="C21" t="s" s="1522">
        <v>111</v>
      </c>
      <c r="D21" t="s" s="1523">
        <v>112</v>
      </c>
      <c r="E21" t="s" s="1524">
        <v>55</v>
      </c>
      <c r="F21" t="s" s="2719">
        <v>113</v>
      </c>
      <c r="G21" t="s" s="1526">
        <v>92</v>
      </c>
      <c r="H21" t="s" s="1527">
        <v>93</v>
      </c>
      <c r="I21" t="n" s="2915">
        <v>43952.0</v>
      </c>
      <c r="J21" t="n" s="2916">
        <v>44104.0</v>
      </c>
      <c r="K21" t="s" s="1530">
        <v>0</v>
      </c>
      <c r="L21" t="n" s="1531">
        <v>0.0</v>
      </c>
      <c r="M21" t="n" s="1532">
        <v>0.0</v>
      </c>
      <c r="N21" t="n" s="1533">
        <v>0.0</v>
      </c>
      <c r="O21" t="n" s="1534">
        <f>M21*N21</f>
      </c>
      <c r="P21" t="n" s="1535">
        <v>0.0</v>
      </c>
      <c r="Q21" t="n" s="1536">
        <v>0.0</v>
      </c>
      <c r="R21" t="n" s="1537">
        <f>P21*Q21</f>
      </c>
      <c r="S21" t="n" s="1538">
        <f>L21+O21+R21</f>
      </c>
      <c r="T21" t="n" s="1539">
        <v>0.0</v>
      </c>
      <c r="U21" t="n" s="1540">
        <v>0.0</v>
      </c>
      <c r="V21" t="n" s="1541">
        <v>0.0</v>
      </c>
      <c r="W21" t="n" s="1542">
        <v>950.0</v>
      </c>
      <c r="X21" t="n" s="1543">
        <f>s21+t21+u21+w21</f>
      </c>
      <c r="Y21" t="n" s="1544">
        <v>0.0</v>
      </c>
      <c r="Z21" t="n" s="1545">
        <v>0.0</v>
      </c>
      <c r="AA21" t="n" s="1546">
        <v>0.0</v>
      </c>
      <c r="AB21" t="n" s="1547">
        <v>0.0</v>
      </c>
      <c r="AC21" t="n" s="1548">
        <v>0.0</v>
      </c>
      <c r="AD21" t="n" s="1549">
        <v>0.0</v>
      </c>
      <c r="AE21" t="n" s="1550">
        <f>y21+aa21+ac21</f>
      </c>
      <c r="AF21" t="n" s="1551">
        <f>z21+ab21+ad21</f>
      </c>
      <c r="AG21" t="n" s="1552">
        <v>143.0</v>
      </c>
      <c r="AH21" t="n" s="1553">
        <v>18.35</v>
      </c>
      <c r="AI21" t="n" s="1554">
        <v>2.1</v>
      </c>
      <c r="AJ21" t="n" s="1555">
        <f>x21+af21+ag21+ah21+ai21</f>
      </c>
      <c r="AK21" t="n" s="1556">
        <f>ROUND((l21+t21+af21+ag21+ah21+ai21+w21)*0.05,2)</f>
      </c>
      <c r="AL21" t="n" s="1557">
        <f>aj21+ak21</f>
      </c>
      <c r="AM21" t="n" s="1558">
        <f>180*0.06</f>
      </c>
      <c r="AN21" t="n" s="1559">
        <f>al21+am21</f>
      </c>
      <c r="AO21" t="s" s="1560">
        <v>0</v>
      </c>
    </row>
    <row r="22">
      <c r="A22" t="s" s="1561">
        <v>114</v>
      </c>
      <c r="B22" t="s" s="1562">
        <v>115</v>
      </c>
      <c r="C22" t="s" s="1563">
        <v>116</v>
      </c>
      <c r="D22" t="s" s="1564">
        <v>117</v>
      </c>
      <c r="E22" t="s" s="1565">
        <v>55</v>
      </c>
      <c r="F22" t="s" s="2720">
        <v>118</v>
      </c>
      <c r="G22" t="s" s="1567">
        <v>92</v>
      </c>
      <c r="H22" t="s" s="1568">
        <v>93</v>
      </c>
      <c r="I22" t="n" s="2917">
        <v>43952.0</v>
      </c>
      <c r="J22" t="n" s="2918">
        <v>44104.0</v>
      </c>
      <c r="K22" t="s" s="1571">
        <v>0</v>
      </c>
      <c r="L22" t="n" s="1572">
        <v>0.0</v>
      </c>
      <c r="M22" t="n" s="1573">
        <v>0.0</v>
      </c>
      <c r="N22" t="n" s="1574">
        <v>0.0</v>
      </c>
      <c r="O22" t="n" s="1575">
        <f>M22*N22</f>
      </c>
      <c r="P22" t="n" s="1576">
        <v>0.0</v>
      </c>
      <c r="Q22" t="n" s="1577">
        <v>0.0</v>
      </c>
      <c r="R22" t="n" s="1578">
        <f>P22*Q22</f>
      </c>
      <c r="S22" t="n" s="1579">
        <f>L22+O22+R22</f>
      </c>
      <c r="T22" t="n" s="1580">
        <v>0.0</v>
      </c>
      <c r="U22" t="n" s="1581">
        <v>0.0</v>
      </c>
      <c r="V22" t="n" s="1582">
        <v>0.0</v>
      </c>
      <c r="W22" t="n" s="1583">
        <v>2550.0</v>
      </c>
      <c r="X22" t="n" s="1584">
        <f>s22+t22+u22+w22</f>
      </c>
      <c r="Y22" t="n" s="1585">
        <v>0.0</v>
      </c>
      <c r="Z22" t="n" s="1586">
        <v>0.0</v>
      </c>
      <c r="AA22" t="n" s="1587">
        <v>8.0</v>
      </c>
      <c r="AB22" t="n" s="1588">
        <v>120.0</v>
      </c>
      <c r="AC22" t="n" s="1589">
        <v>0.0</v>
      </c>
      <c r="AD22" t="n" s="1590">
        <v>0.0</v>
      </c>
      <c r="AE22" t="n" s="1591">
        <f>y22+aa22+ac22</f>
      </c>
      <c r="AF22" t="n" s="1592">
        <f>z22+ab22+ad22</f>
      </c>
      <c r="AG22" t="n" s="1593">
        <v>359.0</v>
      </c>
      <c r="AH22" t="n" s="1594">
        <v>49.85</v>
      </c>
      <c r="AI22" t="n" s="1595">
        <v>5.7</v>
      </c>
      <c r="AJ22" t="n" s="1596">
        <f>x22+af22+ag22+ah22+ai22</f>
      </c>
      <c r="AK22" t="n" s="1597">
        <f>ROUND((l22+t22+af22+ag22+ah22+ai22+w22)*0.05,2)</f>
      </c>
      <c r="AL22" t="n" s="1598">
        <f>aj22+ak22</f>
      </c>
      <c r="AM22" t="n" s="1599">
        <f>180*0.06</f>
      </c>
      <c r="AN22" t="n" s="1600">
        <f>al22+am22</f>
      </c>
      <c r="AO22" t="s" s="1601">
        <v>0</v>
      </c>
    </row>
    <row r="23">
      <c r="A23" t="s" s="1602">
        <v>119</v>
      </c>
      <c r="B23" t="s" s="1603">
        <v>120</v>
      </c>
      <c r="C23" t="s" s="1604">
        <v>121</v>
      </c>
      <c r="D23" t="s" s="1605">
        <v>122</v>
      </c>
      <c r="E23" t="s" s="1606">
        <v>55</v>
      </c>
      <c r="F23" t="s" s="2721">
        <v>123</v>
      </c>
      <c r="G23" t="s" s="1608">
        <v>92</v>
      </c>
      <c r="H23" t="s" s="1609">
        <v>93</v>
      </c>
      <c r="I23" t="n" s="2919">
        <v>43952.0</v>
      </c>
      <c r="J23" t="n" s="2920">
        <v>44104.0</v>
      </c>
      <c r="K23" t="s" s="1612">
        <v>0</v>
      </c>
      <c r="L23" t="n" s="1613">
        <v>0.0</v>
      </c>
      <c r="M23" t="n" s="1614">
        <v>0.0</v>
      </c>
      <c r="N23" t="n" s="1615">
        <v>0.0</v>
      </c>
      <c r="O23" t="n" s="1616">
        <f>M23*N23</f>
      </c>
      <c r="P23" t="n" s="1617">
        <v>0.0</v>
      </c>
      <c r="Q23" t="n" s="1618">
        <v>0.0</v>
      </c>
      <c r="R23" t="n" s="1619">
        <f>P23*Q23</f>
      </c>
      <c r="S23" t="n" s="1620">
        <f>L23+O23+R23</f>
      </c>
      <c r="T23" t="n" s="1621">
        <v>0.0</v>
      </c>
      <c r="U23" t="n" s="1622">
        <v>0.0</v>
      </c>
      <c r="V23" t="n" s="1623">
        <v>0.0</v>
      </c>
      <c r="W23" t="n" s="1624">
        <v>2011.0</v>
      </c>
      <c r="X23" t="n" s="1625">
        <f>s23+t23+u23+w23</f>
      </c>
      <c r="Y23" t="n" s="1626">
        <v>0.0</v>
      </c>
      <c r="Z23" t="n" s="1627">
        <v>0.0</v>
      </c>
      <c r="AA23" t="n" s="1628">
        <v>8.0</v>
      </c>
      <c r="AB23" t="n" s="1629">
        <v>92.32</v>
      </c>
      <c r="AC23" t="n" s="1630">
        <v>0.0</v>
      </c>
      <c r="AD23" t="n" s="1631">
        <v>0.0</v>
      </c>
      <c r="AE23" t="n" s="1632">
        <f>y23+aa23+ac23</f>
      </c>
      <c r="AF23" t="n" s="1633">
        <f>z23+ab23+ad23</f>
      </c>
      <c r="AG23" t="n" s="1634">
        <v>279.0</v>
      </c>
      <c r="AH23" t="n" s="1635">
        <v>39.35</v>
      </c>
      <c r="AI23" t="n" s="1636">
        <v>4.5</v>
      </c>
      <c r="AJ23" t="n" s="1637">
        <f>x23+af23+ag23+ah23+ai23</f>
      </c>
      <c r="AK23" t="n" s="1638">
        <f>ROUND((l23+t23+af23+ag23+ah23+ai23+w23)*0.05,2)</f>
      </c>
      <c r="AL23" t="n" s="1639">
        <f>aj23+ak23</f>
      </c>
      <c r="AM23" t="n" s="1640">
        <f>180*0.06</f>
      </c>
      <c r="AN23" t="n" s="1641">
        <f>al23+am23</f>
      </c>
      <c r="AO23" t="s" s="1642">
        <v>0</v>
      </c>
    </row>
    <row r="24">
      <c r="A24" t="s" s="1643">
        <v>124</v>
      </c>
      <c r="B24" t="s" s="1644">
        <v>125</v>
      </c>
      <c r="C24" t="s" s="1645">
        <v>126</v>
      </c>
      <c r="D24" t="s" s="1646">
        <v>127</v>
      </c>
      <c r="E24" t="s" s="1647">
        <v>55</v>
      </c>
      <c r="F24" t="s" s="2722">
        <v>128</v>
      </c>
      <c r="G24" t="s" s="1649">
        <v>92</v>
      </c>
      <c r="H24" t="s" s="1650">
        <v>93</v>
      </c>
      <c r="I24" t="n" s="2921">
        <v>43952.0</v>
      </c>
      <c r="J24" t="n" s="2922">
        <v>44104.0</v>
      </c>
      <c r="K24" t="s" s="1653">
        <v>0</v>
      </c>
      <c r="L24" t="n" s="1654">
        <v>0.0</v>
      </c>
      <c r="M24" t="n" s="1655">
        <v>0.0</v>
      </c>
      <c r="N24" t="n" s="1656">
        <v>0.0</v>
      </c>
      <c r="O24" t="n" s="1657">
        <f>M24*N24</f>
      </c>
      <c r="P24" t="n" s="1658">
        <v>0.0</v>
      </c>
      <c r="Q24" t="n" s="1659">
        <v>0.0</v>
      </c>
      <c r="R24" t="n" s="1660">
        <f>P24*Q24</f>
      </c>
      <c r="S24" t="n" s="1661">
        <f>L24+O24+R24</f>
      </c>
      <c r="T24" t="n" s="1662">
        <v>0.0</v>
      </c>
      <c r="U24" t="n" s="1663">
        <v>0.0</v>
      </c>
      <c r="V24" t="n" s="1664">
        <v>0.0</v>
      </c>
      <c r="W24" t="n" s="1665">
        <v>2550.0</v>
      </c>
      <c r="X24" t="n" s="1666">
        <f>s24+t24+u24+w24</f>
      </c>
      <c r="Y24" t="n" s="1667">
        <v>0.0</v>
      </c>
      <c r="Z24" t="n" s="1668">
        <v>0.0</v>
      </c>
      <c r="AA24" t="n" s="1669">
        <v>8.0</v>
      </c>
      <c r="AB24" t="n" s="1670">
        <v>96.16</v>
      </c>
      <c r="AC24" t="n" s="1671">
        <v>0.0</v>
      </c>
      <c r="AD24" t="n" s="1672">
        <v>0.0</v>
      </c>
      <c r="AE24" t="n" s="1673">
        <f>y24+aa24+ac24</f>
      </c>
      <c r="AF24" t="n" s="1674">
        <f>z24+ab24+ad24</f>
      </c>
      <c r="AG24" t="n" s="1675">
        <v>333.0</v>
      </c>
      <c r="AH24" t="n" s="1676">
        <v>46.35</v>
      </c>
      <c r="AI24" t="n" s="1677">
        <v>5.3</v>
      </c>
      <c r="AJ24" t="n" s="1678">
        <f>x24+af24+ag24+ah24+ai24</f>
      </c>
      <c r="AK24" t="n" s="1679">
        <f>ROUND((l24+t24+af24+ag24+ah24+ai24+w24)*0.05,2)</f>
      </c>
      <c r="AL24" t="n" s="1680">
        <f>aj24+ak24</f>
      </c>
      <c r="AM24" t="n" s="1681">
        <f>180*0.06</f>
      </c>
      <c r="AN24" t="n" s="1682">
        <f>al24+am24</f>
      </c>
      <c r="AO24" t="s" s="1683">
        <v>0</v>
      </c>
    </row>
    <row r="25">
      <c r="A25" t="s" s="1684">
        <v>129</v>
      </c>
      <c r="B25" t="s" s="1685">
        <v>130</v>
      </c>
      <c r="C25" t="s" s="1686">
        <v>131</v>
      </c>
      <c r="D25" t="s" s="1687">
        <v>132</v>
      </c>
      <c r="E25" t="s" s="1688">
        <v>55</v>
      </c>
      <c r="F25" t="s" s="2723">
        <v>133</v>
      </c>
      <c r="G25" t="s" s="1690">
        <v>134</v>
      </c>
      <c r="H25" t="s" s="1691">
        <v>135</v>
      </c>
      <c r="I25" t="n" s="2923">
        <v>43952.0</v>
      </c>
      <c r="J25" t="n" s="2924">
        <v>44104.0</v>
      </c>
      <c r="K25" t="s" s="1694">
        <v>0</v>
      </c>
      <c r="L25" t="n" s="1695">
        <v>0.0</v>
      </c>
      <c r="M25" t="n" s="1696">
        <v>0.0</v>
      </c>
      <c r="N25" t="n" s="1697">
        <v>0.0</v>
      </c>
      <c r="O25" t="n" s="1698">
        <f>M25*N25</f>
      </c>
      <c r="P25" t="n" s="1699">
        <v>0.0</v>
      </c>
      <c r="Q25" t="n" s="1700">
        <v>0.0</v>
      </c>
      <c r="R25" t="n" s="1701">
        <f>P25*Q25</f>
      </c>
      <c r="S25" t="n" s="1702">
        <f>L25+O25+R25</f>
      </c>
      <c r="T25" t="n" s="1703">
        <v>0.0</v>
      </c>
      <c r="U25" t="n" s="1704">
        <v>0.0</v>
      </c>
      <c r="V25" t="n" s="1705">
        <v>0.0</v>
      </c>
      <c r="W25" t="n" s="1706">
        <v>2000.0</v>
      </c>
      <c r="X25" t="n" s="1707">
        <f>s25+t25+u25+w25</f>
      </c>
      <c r="Y25" t="n" s="1708">
        <v>0.0</v>
      </c>
      <c r="Z25" t="n" s="1709">
        <v>0.0</v>
      </c>
      <c r="AA25" t="n" s="1710">
        <v>0.0</v>
      </c>
      <c r="AB25" t="n" s="1711">
        <v>0.0</v>
      </c>
      <c r="AC25" t="n" s="1712">
        <v>0.0</v>
      </c>
      <c r="AD25" t="n" s="1713">
        <v>0.0</v>
      </c>
      <c r="AE25" t="n" s="1714">
        <f>y25+aa25+ac25</f>
      </c>
      <c r="AF25" t="n" s="1715">
        <f>z25+ab25+ad25</f>
      </c>
      <c r="AG25" t="n" s="1716">
        <v>260.0</v>
      </c>
      <c r="AH25" t="n" s="1717">
        <v>34.15</v>
      </c>
      <c r="AI25" t="n" s="1718">
        <v>3.9</v>
      </c>
      <c r="AJ25" t="n" s="1719">
        <f>x25+af25+ag25+ah25+ai25</f>
      </c>
      <c r="AK25" t="n" s="1720">
        <f>ROUND((l25+t25+af25+ag25+ah25+ai25+w25)*0.05,2)</f>
      </c>
      <c r="AL25" t="n" s="1721">
        <f>aj25+ak25</f>
      </c>
      <c r="AM25" t="n" s="1722">
        <f>180*0.06</f>
      </c>
      <c r="AN25" t="n" s="1723">
        <f>al25+am25</f>
      </c>
      <c r="AO25" t="s" s="1724">
        <v>0</v>
      </c>
    </row>
    <row r="26">
      <c r="A26" t="s" s="1725">
        <v>136</v>
      </c>
      <c r="B26" t="s" s="1726">
        <v>137</v>
      </c>
      <c r="C26" t="s" s="1727">
        <v>138</v>
      </c>
      <c r="D26" t="s" s="1728">
        <v>139</v>
      </c>
      <c r="E26" t="s" s="1729">
        <v>55</v>
      </c>
      <c r="F26" t="s" s="2724">
        <v>140</v>
      </c>
      <c r="G26" t="s" s="1731">
        <v>134</v>
      </c>
      <c r="H26" t="s" s="1732">
        <v>135</v>
      </c>
      <c r="I26" t="n" s="2925">
        <v>43952.0</v>
      </c>
      <c r="J26" t="n" s="2926">
        <v>44104.0</v>
      </c>
      <c r="K26" t="s" s="1735">
        <v>0</v>
      </c>
      <c r="L26" t="n" s="1736">
        <v>0.0</v>
      </c>
      <c r="M26" t="n" s="1737">
        <v>0.0</v>
      </c>
      <c r="N26" t="n" s="1738">
        <v>0.0</v>
      </c>
      <c r="O26" t="n" s="1739">
        <f>M26*N26</f>
      </c>
      <c r="P26" t="n" s="1740">
        <v>0.0</v>
      </c>
      <c r="Q26" t="n" s="1741">
        <v>0.0</v>
      </c>
      <c r="R26" t="n" s="1742">
        <f>P26*Q26</f>
      </c>
      <c r="S26" t="n" s="1743">
        <f>L26+O26+R26</f>
      </c>
      <c r="T26" t="n" s="1744">
        <v>0.0</v>
      </c>
      <c r="U26" t="n" s="1745">
        <v>0.0</v>
      </c>
      <c r="V26" t="n" s="1746">
        <v>0.0</v>
      </c>
      <c r="W26" t="n" s="1747">
        <v>2010.0</v>
      </c>
      <c r="X26" t="n" s="1748">
        <f>s26+t26+u26+w26</f>
      </c>
      <c r="Y26" t="n" s="1749">
        <v>0.0</v>
      </c>
      <c r="Z26" t="n" s="1750">
        <v>0.0</v>
      </c>
      <c r="AA26" t="n" s="1751">
        <v>8.0</v>
      </c>
      <c r="AB26" t="n" s="1752">
        <v>104.64</v>
      </c>
      <c r="AC26" t="n" s="1753">
        <v>0.0</v>
      </c>
      <c r="AD26" t="n" s="1754">
        <v>0.0</v>
      </c>
      <c r="AE26" t="n" s="1755">
        <f>y26+aa26+ac26</f>
      </c>
      <c r="AF26" t="n" s="1756">
        <f>z26+ab26+ad26</f>
      </c>
      <c r="AG26" t="n" s="1757">
        <v>263.0</v>
      </c>
      <c r="AH26" t="n" s="1758">
        <v>37.65</v>
      </c>
      <c r="AI26" t="n" s="1759">
        <v>4.3</v>
      </c>
      <c r="AJ26" t="n" s="1760">
        <f>x26+af26+ag26+ah26+ai26</f>
      </c>
      <c r="AK26" t="n" s="1761">
        <f>ROUND((l26+t26+af26+ag26+ah26+ai26+w26)*0.05,2)</f>
      </c>
      <c r="AL26" t="n" s="1762">
        <f>aj26+ak26</f>
      </c>
      <c r="AM26" t="n" s="1763">
        <f>180*0.06</f>
      </c>
      <c r="AN26" t="n" s="1764">
        <f>al26+am26</f>
      </c>
      <c r="AO26" t="s" s="1765">
        <v>0</v>
      </c>
    </row>
    <row r="27">
      <c r="A27" t="s" s="1766">
        <v>141</v>
      </c>
      <c r="B27" t="s" s="1767">
        <v>142</v>
      </c>
      <c r="C27" t="s" s="1768">
        <v>143</v>
      </c>
      <c r="D27" t="s" s="1769">
        <v>144</v>
      </c>
      <c r="E27" t="s" s="1770">
        <v>55</v>
      </c>
      <c r="F27" t="s" s="2725">
        <v>145</v>
      </c>
      <c r="G27" t="s" s="1772">
        <v>134</v>
      </c>
      <c r="H27" t="s" s="1773">
        <v>135</v>
      </c>
      <c r="I27" t="n" s="2927">
        <v>43952.0</v>
      </c>
      <c r="J27" t="n" s="2928">
        <v>44104.0</v>
      </c>
      <c r="K27" t="s" s="1776">
        <v>0</v>
      </c>
      <c r="L27" t="n" s="1777">
        <v>0.0</v>
      </c>
      <c r="M27" t="n" s="1778">
        <v>0.0</v>
      </c>
      <c r="N27" t="n" s="1779">
        <v>0.0</v>
      </c>
      <c r="O27" t="n" s="1780">
        <f>M27*N27</f>
      </c>
      <c r="P27" t="n" s="1781">
        <v>0.0</v>
      </c>
      <c r="Q27" t="n" s="1782">
        <v>0.0</v>
      </c>
      <c r="R27" t="n" s="1783">
        <f>P27*Q27</f>
      </c>
      <c r="S27" t="n" s="1784">
        <f>L27+O27+R27</f>
      </c>
      <c r="T27" t="n" s="1785">
        <v>0.0</v>
      </c>
      <c r="U27" t="n" s="1786">
        <v>10.9</v>
      </c>
      <c r="V27" t="n" s="1787">
        <v>0.0</v>
      </c>
      <c r="W27" t="n" s="1788">
        <v>400.0</v>
      </c>
      <c r="X27" t="n" s="1789">
        <f>s27+t27+u27+w27</f>
      </c>
      <c r="Y27" t="n" s="1790">
        <v>0.0</v>
      </c>
      <c r="Z27" t="n" s="1791">
        <v>0.0</v>
      </c>
      <c r="AA27" t="n" s="1792">
        <v>8.0</v>
      </c>
      <c r="AB27" t="n" s="1793">
        <v>109.2</v>
      </c>
      <c r="AC27" t="n" s="1794">
        <v>0.0</v>
      </c>
      <c r="AD27" t="n" s="1795">
        <v>0.0</v>
      </c>
      <c r="AE27" t="n" s="1796">
        <f>y27+aa27+ac27</f>
      </c>
      <c r="AF27" t="n" s="1797">
        <f>z27+ab27+ad27</f>
      </c>
      <c r="AG27" t="n" s="1798">
        <v>68.0</v>
      </c>
      <c r="AH27" t="n" s="1799">
        <v>11.35</v>
      </c>
      <c r="AI27" t="n" s="1800">
        <v>1.3</v>
      </c>
      <c r="AJ27" t="n" s="1801">
        <f>x27+af27+ag27+ah27+ai27</f>
      </c>
      <c r="AK27" t="n" s="1802">
        <f>ROUND((l27+t27+af27+ag27+ah27+ai27+w27)*0.05,2)</f>
      </c>
      <c r="AL27" t="n" s="1803">
        <f>aj27+ak27</f>
      </c>
      <c r="AM27" t="n" s="1804">
        <f>190.9*0.06</f>
      </c>
      <c r="AN27" t="n" s="1805">
        <f>al27+am27</f>
      </c>
      <c r="AO27" t="s" s="1806">
        <v>0</v>
      </c>
    </row>
    <row r="28">
      <c r="A28" t="s" s="1807">
        <v>146</v>
      </c>
      <c r="B28" t="s" s="1808">
        <v>147</v>
      </c>
      <c r="C28" t="s" s="1809">
        <v>148</v>
      </c>
      <c r="D28" t="s" s="1810">
        <v>149</v>
      </c>
      <c r="E28" t="s" s="1811">
        <v>55</v>
      </c>
      <c r="F28" t="s" s="2726">
        <v>150</v>
      </c>
      <c r="G28" t="s" s="1813">
        <v>134</v>
      </c>
      <c r="H28" t="s" s="1814">
        <v>135</v>
      </c>
      <c r="I28" t="n" s="2929">
        <v>43952.0</v>
      </c>
      <c r="J28" t="n" s="2930">
        <v>44104.0</v>
      </c>
      <c r="K28" t="s" s="1817">
        <v>0</v>
      </c>
      <c r="L28" t="n" s="1818">
        <v>0.0</v>
      </c>
      <c r="M28" t="n" s="1819">
        <v>0.0</v>
      </c>
      <c r="N28" t="n" s="1820">
        <v>0.0</v>
      </c>
      <c r="O28" t="n" s="1821">
        <f>M28*N28</f>
      </c>
      <c r="P28" t="n" s="1822">
        <v>0.0</v>
      </c>
      <c r="Q28" t="n" s="1823">
        <v>0.0</v>
      </c>
      <c r="R28" t="n" s="1824">
        <f>P28*Q28</f>
      </c>
      <c r="S28" t="n" s="1825">
        <f>L28+O28+R28</f>
      </c>
      <c r="T28" t="n" s="1826">
        <v>0.0</v>
      </c>
      <c r="U28" t="n" s="1827">
        <v>78.7</v>
      </c>
      <c r="V28" t="n" s="1828">
        <v>0.0</v>
      </c>
      <c r="W28" t="n" s="1829">
        <v>2550.0</v>
      </c>
      <c r="X28" t="n" s="1830">
        <f>s28+t28+u28+w28</f>
      </c>
      <c r="Y28" t="n" s="1831">
        <v>0.0</v>
      </c>
      <c r="Z28" t="n" s="1832">
        <v>0.0</v>
      </c>
      <c r="AA28" t="n" s="1833">
        <v>8.0</v>
      </c>
      <c r="AB28" t="n" s="1834">
        <v>104.64</v>
      </c>
      <c r="AC28" t="n" s="1835">
        <v>0.0</v>
      </c>
      <c r="AD28" t="n" s="1836">
        <v>0.0</v>
      </c>
      <c r="AE28" t="n" s="1837">
        <f>y28+aa28+ac28</f>
      </c>
      <c r="AF28" t="n" s="1838">
        <f>z28+ab28+ad28</f>
      </c>
      <c r="AG28" t="n" s="1839">
        <v>333.0</v>
      </c>
      <c r="AH28" t="n" s="1840">
        <v>46.35</v>
      </c>
      <c r="AI28" t="n" s="1841">
        <v>5.3</v>
      </c>
      <c r="AJ28" t="n" s="1842">
        <f>x28+af28+ag28+ah28+ai28</f>
      </c>
      <c r="AK28" t="n" s="1843">
        <f>ROUND((l28+t28+af28+ag28+ah28+ai28+w28)*0.05,2)</f>
      </c>
      <c r="AL28" t="n" s="1844">
        <f>aj28+ak28</f>
      </c>
      <c r="AM28" t="n" s="1845">
        <f>258.7*0.06</f>
      </c>
      <c r="AN28" t="n" s="1846">
        <f>al28+am28</f>
      </c>
      <c r="AO28" t="s" s="1847">
        <v>0</v>
      </c>
    </row>
    <row r="29">
      <c r="A29" t="s" s="1848">
        <v>151</v>
      </c>
      <c r="B29" t="s" s="1849">
        <v>152</v>
      </c>
      <c r="C29" t="s" s="1850">
        <v>153</v>
      </c>
      <c r="D29" t="s" s="1851">
        <v>154</v>
      </c>
      <c r="E29" t="s" s="1852">
        <v>55</v>
      </c>
      <c r="F29" t="s" s="2727">
        <v>155</v>
      </c>
      <c r="G29" t="s" s="1854">
        <v>134</v>
      </c>
      <c r="H29" t="s" s="1855">
        <v>135</v>
      </c>
      <c r="I29" t="n" s="2931">
        <v>43952.0</v>
      </c>
      <c r="J29" t="n" s="2932">
        <v>44104.0</v>
      </c>
      <c r="K29" t="s" s="1858">
        <v>0</v>
      </c>
      <c r="L29" t="n" s="1859">
        <v>0.0</v>
      </c>
      <c r="M29" t="n" s="1860">
        <v>0.0</v>
      </c>
      <c r="N29" t="n" s="1861">
        <v>0.0</v>
      </c>
      <c r="O29" t="n" s="1862">
        <f>M29*N29</f>
      </c>
      <c r="P29" t="n" s="1863">
        <v>0.0</v>
      </c>
      <c r="Q29" t="n" s="1864">
        <v>0.0</v>
      </c>
      <c r="R29" t="n" s="1865">
        <f>P29*Q29</f>
      </c>
      <c r="S29" t="n" s="1866">
        <f>L29+O29+R29</f>
      </c>
      <c r="T29" t="n" s="1867">
        <v>0.0</v>
      </c>
      <c r="U29" t="n" s="1868">
        <v>67.8</v>
      </c>
      <c r="V29" t="n" s="1869">
        <v>0.0</v>
      </c>
      <c r="W29" t="n" s="1870">
        <v>2000.0</v>
      </c>
      <c r="X29" t="n" s="1871">
        <f>s29+t29+u29+w29</f>
      </c>
      <c r="Y29" t="n" s="1872">
        <v>0.0</v>
      </c>
      <c r="Z29" t="n" s="1873">
        <v>0.0</v>
      </c>
      <c r="AA29" t="n" s="1874">
        <v>8.0</v>
      </c>
      <c r="AB29" t="n" s="1875">
        <v>98.48</v>
      </c>
      <c r="AC29" t="n" s="1876">
        <v>0.0</v>
      </c>
      <c r="AD29" t="n" s="1877">
        <v>0.0</v>
      </c>
      <c r="AE29" t="n" s="1878">
        <f>y29+aa29+ac29</f>
      </c>
      <c r="AF29" t="n" s="1879">
        <f>z29+ab29+ad29</f>
      </c>
      <c r="AG29" t="n" s="1880">
        <v>260.0</v>
      </c>
      <c r="AH29" t="n" s="1881">
        <v>35.85</v>
      </c>
      <c r="AI29" t="n" s="1882">
        <v>4.1</v>
      </c>
      <c r="AJ29" t="n" s="1883">
        <f>x29+af29+ag29+ah29+ai29</f>
      </c>
      <c r="AK29" t="n" s="1884">
        <f>ROUND((l29+t29+af29+ag29+ah29+ai29+w29)*0.05,2)</f>
      </c>
      <c r="AL29" t="n" s="1885">
        <f>aj29+ak29</f>
      </c>
      <c r="AM29" t="n" s="1886">
        <f>247.8*0.06</f>
      </c>
      <c r="AN29" t="n" s="1887">
        <f>al29+am29</f>
      </c>
      <c r="AO29" t="s" s="1888">
        <v>0</v>
      </c>
    </row>
    <row r="30">
      <c r="A30" t="s" s="1889">
        <v>156</v>
      </c>
      <c r="B30" t="s" s="1890">
        <v>157</v>
      </c>
      <c r="C30" t="s" s="1891">
        <v>158</v>
      </c>
      <c r="D30" t="s" s="1892">
        <v>159</v>
      </c>
      <c r="E30" t="s" s="1893">
        <v>55</v>
      </c>
      <c r="F30" t="s" s="2728">
        <v>160</v>
      </c>
      <c r="G30" t="s" s="1895">
        <v>161</v>
      </c>
      <c r="H30" t="s" s="1896">
        <v>162</v>
      </c>
      <c r="I30" t="n" s="2933">
        <v>43952.0</v>
      </c>
      <c r="J30" t="n" s="2934">
        <v>44104.0</v>
      </c>
      <c r="K30" t="s" s="1899">
        <v>0</v>
      </c>
      <c r="L30" t="n" s="1900">
        <v>0.0</v>
      </c>
      <c r="M30" t="n" s="1901">
        <v>0.0</v>
      </c>
      <c r="N30" t="n" s="1902">
        <v>0.0</v>
      </c>
      <c r="O30" t="n" s="1903">
        <f>M30*N30</f>
      </c>
      <c r="P30" t="n" s="1904">
        <v>0.0</v>
      </c>
      <c r="Q30" t="n" s="1905">
        <v>0.0</v>
      </c>
      <c r="R30" t="n" s="1906">
        <f>P30*Q30</f>
      </c>
      <c r="S30" t="n" s="1907">
        <f>L30+O30+R30</f>
      </c>
      <c r="T30" t="n" s="1908">
        <v>0.0</v>
      </c>
      <c r="U30" t="n" s="1909">
        <v>0.0</v>
      </c>
      <c r="V30" t="n" s="1910">
        <v>0.0</v>
      </c>
      <c r="W30" t="n" s="1911">
        <v>7.0</v>
      </c>
      <c r="X30" t="n" s="1912">
        <f>s30+t30+u30+w30</f>
      </c>
      <c r="Y30" t="n" s="1913">
        <v>0.0</v>
      </c>
      <c r="Z30" t="n" s="1914">
        <v>0.0</v>
      </c>
      <c r="AA30" t="n" s="1915">
        <v>0.0</v>
      </c>
      <c r="AB30" t="n" s="1916">
        <v>0.0</v>
      </c>
      <c r="AC30" t="n" s="1917">
        <v>0.0</v>
      </c>
      <c r="AD30" t="n" s="1918">
        <v>0.0</v>
      </c>
      <c r="AE30" t="n" s="1919">
        <f>y30+aa30+ac30</f>
      </c>
      <c r="AF30" t="n" s="1920">
        <f>z30+ab30+ad30</f>
      </c>
      <c r="AG30" t="n" s="1921">
        <v>0.0</v>
      </c>
      <c r="AH30" t="n" s="1922">
        <v>2.1</v>
      </c>
      <c r="AI30" t="n" s="1923">
        <v>0.25</v>
      </c>
      <c r="AJ30" t="n" s="1924">
        <f>x30+af30+ag30+ah30+ai30</f>
      </c>
      <c r="AK30" t="n" s="1925">
        <f>ROUND((l30+t30+af30+ag30+ah30+ai30+w30)*0.05,2)</f>
      </c>
      <c r="AL30" t="n" s="1926">
        <f>aj30+ak30</f>
      </c>
      <c r="AM30" t="n" s="1927">
        <f>180*0.06</f>
      </c>
      <c r="AN30" t="n" s="1928">
        <f>al30+am30</f>
      </c>
      <c r="AO30" t="s" s="1929">
        <v>0</v>
      </c>
    </row>
    <row r="31">
      <c r="A31" t="s" s="1930">
        <v>163</v>
      </c>
      <c r="B31" t="s" s="1931">
        <v>164</v>
      </c>
      <c r="C31" t="s" s="1932">
        <v>165</v>
      </c>
      <c r="D31" t="s" s="1933">
        <v>166</v>
      </c>
      <c r="E31" t="s" s="1934">
        <v>55</v>
      </c>
      <c r="F31" t="s" s="2729">
        <v>167</v>
      </c>
      <c r="G31" t="s" s="1936">
        <v>161</v>
      </c>
      <c r="H31" t="s" s="1937">
        <v>162</v>
      </c>
      <c r="I31" t="n" s="2935">
        <v>43952.0</v>
      </c>
      <c r="J31" t="n" s="2936">
        <v>44104.0</v>
      </c>
      <c r="K31" t="s" s="1940">
        <v>0</v>
      </c>
      <c r="L31" t="n" s="1941">
        <v>0.0</v>
      </c>
      <c r="M31" t="n" s="1942">
        <v>0.0</v>
      </c>
      <c r="N31" t="n" s="1943">
        <v>0.0</v>
      </c>
      <c r="O31" t="n" s="1944">
        <f>M31*N31</f>
      </c>
      <c r="P31" t="n" s="1945">
        <v>0.0</v>
      </c>
      <c r="Q31" t="n" s="1946">
        <v>0.0</v>
      </c>
      <c r="R31" t="n" s="1947">
        <f>P31*Q31</f>
      </c>
      <c r="S31" t="n" s="1948">
        <f>L31+O31+R31</f>
      </c>
      <c r="T31" t="n" s="1949">
        <v>0.0</v>
      </c>
      <c r="U31" t="n" s="1950">
        <v>17.8</v>
      </c>
      <c r="V31" t="n" s="1951">
        <v>0.0</v>
      </c>
      <c r="W31" t="n" s="1952">
        <v>2000.0</v>
      </c>
      <c r="X31" t="n" s="1953">
        <f>s31+t31+u31+w31</f>
      </c>
      <c r="Y31" t="n" s="1954">
        <v>0.0</v>
      </c>
      <c r="Z31" t="n" s="1955">
        <v>0.0</v>
      </c>
      <c r="AA31" t="n" s="1956">
        <v>0.0</v>
      </c>
      <c r="AB31" t="n" s="1957">
        <v>0.0</v>
      </c>
      <c r="AC31" t="n" s="1958">
        <v>0.0</v>
      </c>
      <c r="AD31" t="n" s="1959">
        <v>0.0</v>
      </c>
      <c r="AE31" t="n" s="1960">
        <f>y31+aa31+ac31</f>
      </c>
      <c r="AF31" t="n" s="1961">
        <f>z31+ab31+ad31</f>
      </c>
      <c r="AG31" t="n" s="1962">
        <v>268.0</v>
      </c>
      <c r="AH31" t="n" s="1963">
        <v>37.65</v>
      </c>
      <c r="AI31" t="n" s="1964">
        <v>4.3</v>
      </c>
      <c r="AJ31" t="n" s="1965">
        <f>x31+af31+ag31+ah31+ai31</f>
      </c>
      <c r="AK31" t="n" s="1966">
        <f>ROUND((l31+t31+af31+ag31+ah31+ai31+w31)*0.05,2)</f>
      </c>
      <c r="AL31" t="n" s="1967">
        <f>aj31+ak31</f>
      </c>
      <c r="AM31" t="n" s="1968">
        <f>197.8*0.06</f>
      </c>
      <c r="AN31" t="n" s="1969">
        <f>al31+am31</f>
      </c>
      <c r="AO31" t="s" s="1970">
        <v>0</v>
      </c>
    </row>
    <row r="32">
      <c r="A32" t="s" s="1971">
        <v>168</v>
      </c>
      <c r="B32" t="s" s="1972">
        <v>169</v>
      </c>
      <c r="C32" t="s" s="1973">
        <v>170</v>
      </c>
      <c r="D32" t="s" s="1974">
        <v>171</v>
      </c>
      <c r="E32" t="s" s="1975">
        <v>55</v>
      </c>
      <c r="F32" t="s" s="2730">
        <v>160</v>
      </c>
      <c r="G32" t="s" s="1977">
        <v>161</v>
      </c>
      <c r="H32" t="s" s="1978">
        <v>162</v>
      </c>
      <c r="I32" t="n" s="2937">
        <v>43952.0</v>
      </c>
      <c r="J32" t="n" s="2938">
        <v>44104.0</v>
      </c>
      <c r="K32" t="s" s="1981">
        <v>0</v>
      </c>
      <c r="L32" t="n" s="1982">
        <v>0.0</v>
      </c>
      <c r="M32" t="n" s="1983">
        <v>0.0</v>
      </c>
      <c r="N32" t="n" s="1984">
        <v>0.0</v>
      </c>
      <c r="O32" t="n" s="1985">
        <f>M32*N32</f>
      </c>
      <c r="P32" t="n" s="1986">
        <v>0.0</v>
      </c>
      <c r="Q32" t="n" s="1987">
        <v>0.0</v>
      </c>
      <c r="R32" t="n" s="1988">
        <f>P32*Q32</f>
      </c>
      <c r="S32" t="n" s="1989">
        <f>L32+O32+R32</f>
      </c>
      <c r="T32" t="n" s="1990">
        <v>0.0</v>
      </c>
      <c r="U32" t="n" s="1991">
        <v>10.0</v>
      </c>
      <c r="V32" t="n" s="1992">
        <v>0.0</v>
      </c>
      <c r="W32" t="n" s="1993">
        <v>5.0</v>
      </c>
      <c r="X32" t="n" s="1994">
        <f>s32+t32+u32+w32</f>
      </c>
      <c r="Y32" t="n" s="1995">
        <v>0.0</v>
      </c>
      <c r="Z32" t="n" s="1996">
        <v>0.0</v>
      </c>
      <c r="AA32" t="n" s="1997">
        <v>8.0</v>
      </c>
      <c r="AB32" t="n" s="1998">
        <v>121.52</v>
      </c>
      <c r="AC32" t="n" s="1999">
        <v>0.0</v>
      </c>
      <c r="AD32" t="n" s="2000">
        <v>0.0</v>
      </c>
      <c r="AE32" t="n" s="2001">
        <f>y32+aa32+ac32</f>
      </c>
      <c r="AF32" t="n" s="2002">
        <f>z32+ab32+ad32</f>
      </c>
      <c r="AG32" t="n" s="2003">
        <v>0.0</v>
      </c>
      <c r="AH32" t="n" s="2004">
        <v>2.1</v>
      </c>
      <c r="AI32" t="n" s="2005">
        <v>0.25</v>
      </c>
      <c r="AJ32" t="n" s="2006">
        <f>x32+af32+ag32+ah32+ai32</f>
      </c>
      <c r="AK32" t="n" s="2007">
        <f>ROUND((l32+t32+af32+ag32+ah32+ai32+w32)*0.05,2)</f>
      </c>
      <c r="AL32" t="n" s="2008">
        <f>aj32+ak32</f>
      </c>
      <c r="AM32" t="n" s="2009">
        <f>190*0.06</f>
      </c>
      <c r="AN32" t="n" s="2010">
        <f>al32+am32</f>
      </c>
      <c r="AO32" t="s" s="2011">
        <v>0</v>
      </c>
    </row>
    <row r="33">
      <c r="A33" t="s" s="2012">
        <v>172</v>
      </c>
      <c r="B33" t="s" s="2013">
        <v>173</v>
      </c>
      <c r="C33" t="s" s="2014">
        <v>174</v>
      </c>
      <c r="D33" t="s" s="2015">
        <v>175</v>
      </c>
      <c r="E33" t="s" s="2016">
        <v>55</v>
      </c>
      <c r="F33" t="s" s="2731">
        <v>176</v>
      </c>
      <c r="G33" t="s" s="2018">
        <v>161</v>
      </c>
      <c r="H33" t="s" s="2019">
        <v>162</v>
      </c>
      <c r="I33" t="n" s="2939">
        <v>43952.0</v>
      </c>
      <c r="J33" t="n" s="2940">
        <v>44104.0</v>
      </c>
      <c r="K33" t="s" s="2022">
        <v>0</v>
      </c>
      <c r="L33" t="n" s="2023">
        <v>0.0</v>
      </c>
      <c r="M33" t="n" s="2024">
        <v>0.0</v>
      </c>
      <c r="N33" t="n" s="2025">
        <v>0.0</v>
      </c>
      <c r="O33" t="n" s="2026">
        <f>M33*N33</f>
      </c>
      <c r="P33" t="n" s="2027">
        <v>0.0</v>
      </c>
      <c r="Q33" t="n" s="2028">
        <v>0.0</v>
      </c>
      <c r="R33" t="n" s="2029">
        <f>P33*Q33</f>
      </c>
      <c r="S33" t="n" s="2030">
        <f>L33+O33+R33</f>
      </c>
      <c r="T33" t="n" s="2031">
        <v>0.0</v>
      </c>
      <c r="U33" t="n" s="2032">
        <v>10.0</v>
      </c>
      <c r="V33" t="n" s="2033">
        <v>0.0</v>
      </c>
      <c r="W33" t="n" s="2034">
        <v>7.0</v>
      </c>
      <c r="X33" t="n" s="2035">
        <f>s33+t33+u33+w33</f>
      </c>
      <c r="Y33" t="n" s="2036">
        <v>0.0</v>
      </c>
      <c r="Z33" t="n" s="2037">
        <v>0.0</v>
      </c>
      <c r="AA33" t="n" s="2038">
        <v>8.0</v>
      </c>
      <c r="AB33" t="n" s="2039">
        <v>131.52</v>
      </c>
      <c r="AC33" t="n" s="2040">
        <v>0.0</v>
      </c>
      <c r="AD33" t="n" s="2041">
        <v>0.0</v>
      </c>
      <c r="AE33" t="n" s="2042">
        <f>y33+aa33+ac33</f>
      </c>
      <c r="AF33" t="n" s="2043">
        <f>z33+ab33+ad33</f>
      </c>
      <c r="AG33" t="n" s="2044">
        <v>63.0</v>
      </c>
      <c r="AH33" t="n" s="2045">
        <v>9.65</v>
      </c>
      <c r="AI33" t="n" s="2046">
        <v>1.1</v>
      </c>
      <c r="AJ33" t="n" s="2047">
        <f>x33+af33+ag33+ah33+ai33</f>
      </c>
      <c r="AK33" t="n" s="2048">
        <f>ROUND((l33+t33+af33+ag33+ah33+ai33+w33)*0.05,2)</f>
      </c>
      <c r="AL33" t="n" s="2049">
        <f>aj33+ak33</f>
      </c>
      <c r="AM33" t="n" s="2050">
        <f>190*0.06</f>
      </c>
      <c r="AN33" t="n" s="2051">
        <f>al33+am33</f>
      </c>
      <c r="AO33" t="s" s="2052">
        <v>0</v>
      </c>
    </row>
    <row r="34">
      <c r="A34" t="s" s="2053">
        <v>177</v>
      </c>
      <c r="B34" t="s" s="2054">
        <v>178</v>
      </c>
      <c r="C34" t="s" s="2055">
        <v>179</v>
      </c>
      <c r="D34" t="s" s="2056">
        <v>180</v>
      </c>
      <c r="E34" t="s" s="2057">
        <v>55</v>
      </c>
      <c r="F34" t="s" s="2732">
        <v>181</v>
      </c>
      <c r="G34" t="s" s="2059">
        <v>161</v>
      </c>
      <c r="H34" t="s" s="2060">
        <v>162</v>
      </c>
      <c r="I34" t="n" s="2941">
        <v>43952.0</v>
      </c>
      <c r="J34" t="n" s="2942">
        <v>44104.0</v>
      </c>
      <c r="K34" t="s" s="2063">
        <v>0</v>
      </c>
      <c r="L34" t="n" s="2064">
        <v>0.0</v>
      </c>
      <c r="M34" t="n" s="2065">
        <v>0.0</v>
      </c>
      <c r="N34" t="n" s="2066">
        <v>0.0</v>
      </c>
      <c r="O34" t="n" s="2067">
        <f>M34*N34</f>
      </c>
      <c r="P34" t="n" s="2068">
        <v>0.0</v>
      </c>
      <c r="Q34" t="n" s="2069">
        <v>0.0</v>
      </c>
      <c r="R34" t="n" s="2070">
        <f>P34*Q34</f>
      </c>
      <c r="S34" t="n" s="2071">
        <f>L34+O34+R34</f>
      </c>
      <c r="T34" t="n" s="2072">
        <v>0.0</v>
      </c>
      <c r="U34" t="n" s="2073">
        <v>0.0</v>
      </c>
      <c r="V34" t="n" s="2074">
        <v>0.0</v>
      </c>
      <c r="W34" t="n" s="2075">
        <v>0.0</v>
      </c>
      <c r="X34" t="n" s="2076">
        <f>s34+t34+u34+w34</f>
      </c>
      <c r="Y34" t="n" s="2077">
        <v>0.0</v>
      </c>
      <c r="Z34" t="n" s="2078">
        <v>0.0</v>
      </c>
      <c r="AA34" t="n" s="2079">
        <v>0.0</v>
      </c>
      <c r="AB34" t="n" s="2080">
        <v>0.0</v>
      </c>
      <c r="AC34" t="n" s="2081">
        <v>0.0</v>
      </c>
      <c r="AD34" t="n" s="2082">
        <v>0.0</v>
      </c>
      <c r="AE34" t="n" s="2083">
        <f>y34+aa34+ac34</f>
      </c>
      <c r="AF34" t="n" s="2084">
        <f>z34+ab34+ad34</f>
      </c>
      <c r="AG34" t="n" s="2085">
        <v>34.0</v>
      </c>
      <c r="AH34" t="n" s="2086">
        <v>6.15</v>
      </c>
      <c r="AI34" t="n" s="2087">
        <v>0.7</v>
      </c>
      <c r="AJ34" t="n" s="2088">
        <f>x34+af34+ag34+ah34+ai34</f>
      </c>
      <c r="AK34" t="n" s="2089">
        <f>ROUND((l34+t34+af34+ag34+ah34+ai34+w34)*0.05,2)</f>
      </c>
      <c r="AL34" t="n" s="2090">
        <f>aj34+ak34</f>
      </c>
      <c r="AM34" t="n" s="2091">
        <f>180*0.06</f>
      </c>
      <c r="AN34" t="n" s="2092">
        <f>al34+am34</f>
      </c>
      <c r="AO34" t="s" s="2093">
        <v>0</v>
      </c>
    </row>
    <row r="35">
      <c r="A35" t="s" s="2094">
        <v>182</v>
      </c>
      <c r="B35" t="s" s="2095">
        <v>183</v>
      </c>
      <c r="C35" t="s" s="2096">
        <v>184</v>
      </c>
      <c r="D35" t="s" s="2097">
        <v>185</v>
      </c>
      <c r="E35" t="s" s="2098">
        <v>55</v>
      </c>
      <c r="F35" t="s" s="2733">
        <v>186</v>
      </c>
      <c r="G35" t="s" s="2100">
        <v>161</v>
      </c>
      <c r="H35" t="s" s="2101">
        <v>162</v>
      </c>
      <c r="I35" t="n" s="2943">
        <v>43952.0</v>
      </c>
      <c r="J35" t="n" s="2944">
        <v>44104.0</v>
      </c>
      <c r="K35" t="s" s="2104">
        <v>0</v>
      </c>
      <c r="L35" t="n" s="2105">
        <v>0.0</v>
      </c>
      <c r="M35" t="n" s="2106">
        <v>0.0</v>
      </c>
      <c r="N35" t="n" s="2107">
        <v>0.0</v>
      </c>
      <c r="O35" t="n" s="2108">
        <f>M35*N35</f>
      </c>
      <c r="P35" t="n" s="2109">
        <v>0.0</v>
      </c>
      <c r="Q35" t="n" s="2110">
        <v>0.0</v>
      </c>
      <c r="R35" t="n" s="2111">
        <f>P35*Q35</f>
      </c>
      <c r="S35" t="n" s="2112">
        <f>L35+O35+R35</f>
      </c>
      <c r="T35" t="n" s="2113">
        <v>0.0</v>
      </c>
      <c r="U35" t="n" s="2114">
        <v>10.0</v>
      </c>
      <c r="V35" t="n" s="2115">
        <v>0.0</v>
      </c>
      <c r="W35" t="n" s="2116">
        <v>2353.0</v>
      </c>
      <c r="X35" t="n" s="2117">
        <f>s35+t35+u35+w35</f>
      </c>
      <c r="Y35" t="n" s="2118">
        <v>0.0</v>
      </c>
      <c r="Z35" t="n" s="2119">
        <v>0.0</v>
      </c>
      <c r="AA35" t="n" s="2120">
        <v>0.0</v>
      </c>
      <c r="AB35" t="n" s="2121">
        <v>0.0</v>
      </c>
      <c r="AC35" t="n" s="2122">
        <v>0.0</v>
      </c>
      <c r="AD35" t="n" s="2123">
        <v>0.0</v>
      </c>
      <c r="AE35" t="n" s="2124">
        <f>y35+aa35+ac35</f>
      </c>
      <c r="AF35" t="n" s="2125">
        <f>z35+ab35+ad35</f>
      </c>
      <c r="AG35" t="n" s="2126">
        <v>318.0</v>
      </c>
      <c r="AH35" t="n" s="2127">
        <v>44.65</v>
      </c>
      <c r="AI35" t="n" s="2128">
        <v>5.1</v>
      </c>
      <c r="AJ35" t="n" s="2129">
        <f>x35+af35+ag35+ah35+ai35</f>
      </c>
      <c r="AK35" t="n" s="2130">
        <f>ROUND((l35+t35+af35+ag35+ah35+ai35+w35)*0.05,2)</f>
      </c>
      <c r="AL35" t="n" s="2131">
        <f>aj35+ak35</f>
      </c>
      <c r="AM35" t="n" s="2132">
        <f>190*0.06</f>
      </c>
      <c r="AN35" t="n" s="2133">
        <f>al35+am35</f>
      </c>
      <c r="AO35" t="s" s="2134">
        <v>0</v>
      </c>
    </row>
    <row r="36">
      <c r="A36" t="s" s="2135">
        <v>187</v>
      </c>
      <c r="B36" t="s" s="2136">
        <v>188</v>
      </c>
      <c r="C36" t="s" s="2137">
        <v>189</v>
      </c>
      <c r="D36" t="s" s="2138">
        <v>190</v>
      </c>
      <c r="E36" t="s" s="2139">
        <v>55</v>
      </c>
      <c r="F36" t="s" s="2734">
        <v>191</v>
      </c>
      <c r="G36" t="s" s="2141">
        <v>161</v>
      </c>
      <c r="H36" t="s" s="2142">
        <v>162</v>
      </c>
      <c r="I36" t="n" s="2945">
        <v>43952.0</v>
      </c>
      <c r="J36" t="n" s="2946">
        <v>44104.0</v>
      </c>
      <c r="K36" t="s" s="2145">
        <v>0</v>
      </c>
      <c r="L36" t="n" s="2146">
        <v>0.0</v>
      </c>
      <c r="M36" t="n" s="2147">
        <v>0.0</v>
      </c>
      <c r="N36" t="n" s="2148">
        <v>0.0</v>
      </c>
      <c r="O36" t="n" s="2149">
        <f>M36*N36</f>
      </c>
      <c r="P36" t="n" s="2150">
        <v>0.0</v>
      </c>
      <c r="Q36" t="n" s="2151">
        <v>0.0</v>
      </c>
      <c r="R36" t="n" s="2152">
        <f>P36*Q36</f>
      </c>
      <c r="S36" t="n" s="2153">
        <f>L36+O36+R36</f>
      </c>
      <c r="T36" t="n" s="2154">
        <v>0.0</v>
      </c>
      <c r="U36" t="n" s="2155">
        <v>0.0</v>
      </c>
      <c r="V36" t="n" s="2156">
        <v>0.0</v>
      </c>
      <c r="W36" t="n" s="2157">
        <v>0.0</v>
      </c>
      <c r="X36" t="n" s="2158">
        <f>s36+t36+u36+w36</f>
      </c>
      <c r="Y36" t="n" s="2159">
        <v>0.0</v>
      </c>
      <c r="Z36" t="n" s="2160">
        <v>0.0</v>
      </c>
      <c r="AA36" t="n" s="2161">
        <v>0.0</v>
      </c>
      <c r="AB36" t="n" s="2162">
        <v>0.0</v>
      </c>
      <c r="AC36" t="n" s="2163">
        <v>0.0</v>
      </c>
      <c r="AD36" t="n" s="2164">
        <v>0.0</v>
      </c>
      <c r="AE36" t="n" s="2165">
        <f>y36+aa36+ac36</f>
      </c>
      <c r="AF36" t="n" s="2166">
        <f>z36+ab36+ad36</f>
      </c>
      <c r="AG36" t="n" s="2167">
        <v>63.0</v>
      </c>
      <c r="AH36" t="n" s="2168">
        <v>9.65</v>
      </c>
      <c r="AI36" t="n" s="2169">
        <v>1.1</v>
      </c>
      <c r="AJ36" t="n" s="2170">
        <f>x36+af36+ag36+ah36+ai36</f>
      </c>
      <c r="AK36" t="n" s="2171">
        <f>ROUND((l36+t36+af36+ag36+ah36+ai36+w36)*0.05,2)</f>
      </c>
      <c r="AL36" t="n" s="2172">
        <f>aj36+ak36</f>
      </c>
      <c r="AM36" t="n" s="2173">
        <f>180*0.06</f>
      </c>
      <c r="AN36" t="n" s="2174">
        <f>al36+am36</f>
      </c>
      <c r="AO36" t="s" s="2175">
        <v>0</v>
      </c>
    </row>
    <row r="37">
      <c r="A37" t="s" s="2176">
        <v>192</v>
      </c>
      <c r="B37" t="s" s="2177">
        <v>193</v>
      </c>
      <c r="C37" t="s" s="2178">
        <v>194</v>
      </c>
      <c r="D37" t="s" s="2179">
        <v>195</v>
      </c>
      <c r="E37" t="s" s="2180">
        <v>55</v>
      </c>
      <c r="F37" t="s" s="2735">
        <v>196</v>
      </c>
      <c r="G37" t="s" s="2182">
        <v>161</v>
      </c>
      <c r="H37" t="s" s="2183">
        <v>162</v>
      </c>
      <c r="I37" t="n" s="2947">
        <v>43952.0</v>
      </c>
      <c r="J37" t="n" s="2948">
        <v>44104.0</v>
      </c>
      <c r="K37" t="s" s="2186">
        <v>0</v>
      </c>
      <c r="L37" t="n" s="2187">
        <v>0.0</v>
      </c>
      <c r="M37" t="n" s="2188">
        <v>0.0</v>
      </c>
      <c r="N37" t="n" s="2189">
        <v>0.0</v>
      </c>
      <c r="O37" t="n" s="2190">
        <f>M37*N37</f>
      </c>
      <c r="P37" t="n" s="2191">
        <v>0.0</v>
      </c>
      <c r="Q37" t="n" s="2192">
        <v>0.0</v>
      </c>
      <c r="R37" t="n" s="2193">
        <f>P37*Q37</f>
      </c>
      <c r="S37" t="n" s="2194">
        <f>L37+O37+R37</f>
      </c>
      <c r="T37" t="n" s="2195">
        <v>0.0</v>
      </c>
      <c r="U37" t="n" s="2196">
        <v>10.0</v>
      </c>
      <c r="V37" t="n" s="2197">
        <v>0.0</v>
      </c>
      <c r="W37" t="n" s="2198">
        <v>2002.0</v>
      </c>
      <c r="X37" t="n" s="2199">
        <f>s37+t37+u37+w37</f>
      </c>
      <c r="Y37" t="n" s="2200">
        <v>0.0</v>
      </c>
      <c r="Z37" t="n" s="2201">
        <v>0.0</v>
      </c>
      <c r="AA37" t="n" s="2202">
        <v>8.0</v>
      </c>
      <c r="AB37" t="n" s="2203">
        <v>95.36</v>
      </c>
      <c r="AC37" t="n" s="2204">
        <v>0.0</v>
      </c>
      <c r="AD37" t="n" s="2205">
        <v>0.0</v>
      </c>
      <c r="AE37" t="n" s="2206">
        <f>y37+aa37+ac37</f>
      </c>
      <c r="AF37" t="n" s="2207">
        <f>z37+ab37+ad37</f>
      </c>
      <c r="AG37" t="n" s="2208">
        <v>273.0</v>
      </c>
      <c r="AH37" t="n" s="2209">
        <v>37.65</v>
      </c>
      <c r="AI37" t="n" s="2210">
        <v>4.3</v>
      </c>
      <c r="AJ37" t="n" s="2211">
        <f>x37+af37+ag37+ah37+ai37</f>
      </c>
      <c r="AK37" t="n" s="2212">
        <f>ROUND((l37+t37+af37+ag37+ah37+ai37+w37)*0.05,2)</f>
      </c>
      <c r="AL37" t="n" s="2213">
        <f>aj37+ak37</f>
      </c>
      <c r="AM37" t="n" s="2214">
        <f>190*0.06</f>
      </c>
      <c r="AN37" t="n" s="2215">
        <f>al37+am37</f>
      </c>
      <c r="AO37" t="s" s="2216">
        <v>0</v>
      </c>
    </row>
    <row r="38">
      <c r="A38" t="s" s="2217">
        <v>197</v>
      </c>
      <c r="B38" t="s" s="2218">
        <v>198</v>
      </c>
      <c r="C38" t="s" s="2219">
        <v>199</v>
      </c>
      <c r="D38" t="s" s="2220">
        <v>200</v>
      </c>
      <c r="E38" t="s" s="2221">
        <v>55</v>
      </c>
      <c r="F38" t="s" s="2736">
        <v>201</v>
      </c>
      <c r="G38" t="s" s="2223">
        <v>202</v>
      </c>
      <c r="H38" t="s" s="2224">
        <v>203</v>
      </c>
      <c r="I38" t="n" s="2949">
        <v>43952.0</v>
      </c>
      <c r="J38" t="n" s="2950">
        <v>44104.0</v>
      </c>
      <c r="K38" t="s" s="2227">
        <v>0</v>
      </c>
      <c r="L38" t="n" s="2228">
        <v>0.0</v>
      </c>
      <c r="M38" t="n" s="2229">
        <v>0.0</v>
      </c>
      <c r="N38" t="n" s="2230">
        <v>0.0</v>
      </c>
      <c r="O38" t="n" s="2231">
        <f>M38*N38</f>
      </c>
      <c r="P38" t="n" s="2232">
        <v>0.0</v>
      </c>
      <c r="Q38" t="n" s="2233">
        <v>0.0</v>
      </c>
      <c r="R38" t="n" s="2234">
        <f>P38*Q38</f>
      </c>
      <c r="S38" t="n" s="2235">
        <f>L38+O38+R38</f>
      </c>
      <c r="T38" t="n" s="2236">
        <v>0.0</v>
      </c>
      <c r="U38" t="n" s="2237">
        <v>35.6</v>
      </c>
      <c r="V38" t="n" s="2238">
        <v>0.0</v>
      </c>
      <c r="W38" t="n" s="2239">
        <v>2004.0</v>
      </c>
      <c r="X38" t="n" s="2240">
        <f>s38+t38+u38+w38</f>
      </c>
      <c r="Y38" t="n" s="2241">
        <v>0.0</v>
      </c>
      <c r="Z38" t="n" s="2242">
        <v>0.0</v>
      </c>
      <c r="AA38" t="n" s="2243">
        <v>0.0</v>
      </c>
      <c r="AB38" t="n" s="2244">
        <v>0.0</v>
      </c>
      <c r="AC38" t="n" s="2245">
        <v>0.0</v>
      </c>
      <c r="AD38" t="n" s="2246">
        <v>0.0</v>
      </c>
      <c r="AE38" t="n" s="2247">
        <f>y38+aa38+ac38</f>
      </c>
      <c r="AF38" t="n" s="2248">
        <f>z38+ab38+ad38</f>
      </c>
      <c r="AG38" t="n" s="2249">
        <v>333.0</v>
      </c>
      <c r="AH38" t="n" s="2250">
        <v>46.35</v>
      </c>
      <c r="AI38" t="n" s="2251">
        <v>5.3</v>
      </c>
      <c r="AJ38" t="n" s="2252">
        <f>x38+af38+ag38+ah38+ai38</f>
      </c>
      <c r="AK38" t="n" s="2253">
        <f>ROUND((l38+t38+af38+ag38+ah38+ai38+w38)*0.05,2)</f>
      </c>
      <c r="AL38" t="n" s="2254">
        <f>aj38+ak38</f>
      </c>
      <c r="AM38" t="n" s="2255">
        <f>215.6*0.06</f>
      </c>
      <c r="AN38" t="n" s="2256">
        <f>al38+am38</f>
      </c>
      <c r="AO38" t="s" s="2257">
        <v>0</v>
      </c>
    </row>
    <row r="39">
      <c r="A39" t="s" s="2258">
        <v>204</v>
      </c>
      <c r="B39" t="s" s="2259">
        <v>205</v>
      </c>
      <c r="C39" t="s" s="2260">
        <v>206</v>
      </c>
      <c r="D39" t="s" s="2261">
        <v>207</v>
      </c>
      <c r="E39" t="s" s="2262">
        <v>55</v>
      </c>
      <c r="F39" t="s" s="2737">
        <v>208</v>
      </c>
      <c r="G39" t="s" s="2264">
        <v>202</v>
      </c>
      <c r="H39" t="s" s="2265">
        <v>203</v>
      </c>
      <c r="I39" t="n" s="2951">
        <v>43952.0</v>
      </c>
      <c r="J39" t="n" s="2952">
        <v>44104.0</v>
      </c>
      <c r="K39" t="s" s="2268">
        <v>0</v>
      </c>
      <c r="L39" t="n" s="2269">
        <v>0.0</v>
      </c>
      <c r="M39" t="n" s="2270">
        <v>0.0</v>
      </c>
      <c r="N39" t="n" s="2271">
        <v>0.0</v>
      </c>
      <c r="O39" t="n" s="2272">
        <f>M39*N39</f>
      </c>
      <c r="P39" t="n" s="2273">
        <v>0.0</v>
      </c>
      <c r="Q39" t="n" s="2274">
        <v>0.0</v>
      </c>
      <c r="R39" t="n" s="2275">
        <f>P39*Q39</f>
      </c>
      <c r="S39" t="n" s="2276">
        <f>L39+O39+R39</f>
      </c>
      <c r="T39" t="n" s="2277">
        <v>0.0</v>
      </c>
      <c r="U39" t="n" s="2278">
        <v>0.0</v>
      </c>
      <c r="V39" t="n" s="2279">
        <v>0.0</v>
      </c>
      <c r="W39" t="n" s="2280">
        <v>750.0</v>
      </c>
      <c r="X39" t="n" s="2281">
        <f>s39+t39+u39+w39</f>
      </c>
      <c r="Y39" t="n" s="2282">
        <v>0.0</v>
      </c>
      <c r="Z39" t="n" s="2283">
        <v>0.0</v>
      </c>
      <c r="AA39" t="n" s="2284">
        <v>8.0</v>
      </c>
      <c r="AB39" t="n" s="2285">
        <v>107.68</v>
      </c>
      <c r="AC39" t="n" s="2286">
        <v>0.0</v>
      </c>
      <c r="AD39" t="n" s="2287">
        <v>0.0</v>
      </c>
      <c r="AE39" t="n" s="2288">
        <f>y39+aa39+ac39</f>
      </c>
      <c r="AF39" t="n" s="2289">
        <f>z39+ab39+ad39</f>
      </c>
      <c r="AG39" t="n" s="2290">
        <v>107.0</v>
      </c>
      <c r="AH39" t="n" s="2291">
        <v>16.65</v>
      </c>
      <c r="AI39" t="n" s="2292">
        <v>1.9</v>
      </c>
      <c r="AJ39" t="n" s="2293">
        <f>x39+af39+ag39+ah39+ai39</f>
      </c>
      <c r="AK39" t="n" s="2294">
        <f>ROUND((l39+t39+af39+ag39+ah39+ai39+w39)*0.05,2)</f>
      </c>
      <c r="AL39" t="n" s="2295">
        <f>aj39+ak39</f>
      </c>
      <c r="AM39" t="n" s="2296">
        <f>180*0.06</f>
      </c>
      <c r="AN39" t="n" s="2297">
        <f>al39+am39</f>
      </c>
      <c r="AO39" t="s" s="2298">
        <v>0</v>
      </c>
    </row>
    <row r="40">
      <c r="A40" t="s" s="2299">
        <v>209</v>
      </c>
      <c r="B40" t="s" s="2300">
        <v>210</v>
      </c>
      <c r="C40" t="s" s="2301">
        <v>211</v>
      </c>
      <c r="D40" t="s" s="2302">
        <v>212</v>
      </c>
      <c r="E40" t="s" s="2303">
        <v>55</v>
      </c>
      <c r="F40" t="s" s="2738">
        <v>213</v>
      </c>
      <c r="G40" t="s" s="2305">
        <v>214</v>
      </c>
      <c r="H40" t="s" s="2306">
        <v>215</v>
      </c>
      <c r="I40" t="n" s="2953">
        <v>43952.0</v>
      </c>
      <c r="J40" t="n" s="2954">
        <v>44104.0</v>
      </c>
      <c r="K40" t="s" s="2309">
        <v>0</v>
      </c>
      <c r="L40" t="n" s="2310">
        <v>0.0</v>
      </c>
      <c r="M40" t="n" s="2311">
        <v>0.0</v>
      </c>
      <c r="N40" t="n" s="2312">
        <v>0.0</v>
      </c>
      <c r="O40" t="n" s="2313">
        <f>M40*N40</f>
      </c>
      <c r="P40" t="n" s="2314">
        <v>0.0</v>
      </c>
      <c r="Q40" t="n" s="2315">
        <v>0.0</v>
      </c>
      <c r="R40" t="n" s="2316">
        <f>P40*Q40</f>
      </c>
      <c r="S40" t="n" s="2317">
        <f>L40+O40+R40</f>
      </c>
      <c r="T40" t="n" s="2318">
        <v>0.0</v>
      </c>
      <c r="U40" t="n" s="2319">
        <v>10.0</v>
      </c>
      <c r="V40" t="n" s="2320">
        <v>0.0</v>
      </c>
      <c r="W40" t="n" s="2321">
        <v>1551.0</v>
      </c>
      <c r="X40" t="n" s="2322">
        <f>s40+t40+u40+w40</f>
      </c>
      <c r="Y40" t="n" s="2323">
        <v>0.0</v>
      </c>
      <c r="Z40" t="n" s="2324">
        <v>0.0</v>
      </c>
      <c r="AA40" t="n" s="2325">
        <v>0.0</v>
      </c>
      <c r="AB40" t="n" s="2326">
        <v>0.0</v>
      </c>
      <c r="AC40" t="n" s="2327">
        <v>0.0</v>
      </c>
      <c r="AD40" t="n" s="2328">
        <v>0.0</v>
      </c>
      <c r="AE40" t="n" s="2329">
        <f>y40+aa40+ac40</f>
      </c>
      <c r="AF40" t="n" s="2330">
        <f>z40+ab40+ad40</f>
      </c>
      <c r="AG40" t="n" s="2331">
        <v>229.0</v>
      </c>
      <c r="AH40" t="n" s="2332">
        <v>30.65</v>
      </c>
      <c r="AI40" t="n" s="2333">
        <v>3.5</v>
      </c>
      <c r="AJ40" t="n" s="2334">
        <f>x40+af40+ag40+ah40+ai40</f>
      </c>
      <c r="AK40" t="n" s="2335">
        <f>ROUND((l40+t40+af40+ag40+ah40+ai40+w40)*0.05,2)</f>
      </c>
      <c r="AL40" t="n" s="2336">
        <f>aj40+ak40</f>
      </c>
      <c r="AM40" t="n" s="2337">
        <f>190*0.06</f>
      </c>
      <c r="AN40" t="n" s="2338">
        <f>al40+am40</f>
      </c>
      <c r="AO40" t="s" s="2339">
        <v>0</v>
      </c>
    </row>
    <row r="41">
      <c r="A41" t="s" s="2340">
        <v>216</v>
      </c>
      <c r="B41" t="s" s="2341">
        <v>217</v>
      </c>
      <c r="C41" t="s" s="2342">
        <v>218</v>
      </c>
      <c r="D41" t="s" s="2343">
        <v>219</v>
      </c>
      <c r="E41" t="s" s="2344">
        <v>55</v>
      </c>
      <c r="F41" t="s" s="2739">
        <v>220</v>
      </c>
      <c r="G41" t="s" s="2346">
        <v>214</v>
      </c>
      <c r="H41" t="s" s="2347">
        <v>215</v>
      </c>
      <c r="I41" t="n" s="2955">
        <v>43952.0</v>
      </c>
      <c r="J41" t="n" s="2956">
        <v>44104.0</v>
      </c>
      <c r="K41" t="s" s="2350">
        <v>0</v>
      </c>
      <c r="L41" t="n" s="2351">
        <v>0.0</v>
      </c>
      <c r="M41" t="n" s="2352">
        <v>0.0</v>
      </c>
      <c r="N41" t="n" s="2353">
        <v>0.0</v>
      </c>
      <c r="O41" t="n" s="2354">
        <f>M41*N41</f>
      </c>
      <c r="P41" t="n" s="2355">
        <v>0.0</v>
      </c>
      <c r="Q41" t="n" s="2356">
        <v>0.0</v>
      </c>
      <c r="R41" t="n" s="2357">
        <f>P41*Q41</f>
      </c>
      <c r="S41" t="n" s="2358">
        <f>L41+O41+R41</f>
      </c>
      <c r="T41" t="n" s="2359">
        <v>0.0</v>
      </c>
      <c r="U41" t="n" s="2360">
        <v>18.9</v>
      </c>
      <c r="V41" t="n" s="2361">
        <v>0.0</v>
      </c>
      <c r="W41" t="n" s="2362">
        <v>1452.0</v>
      </c>
      <c r="X41" t="n" s="2363">
        <f>s41+t41+u41+w41</f>
      </c>
      <c r="Y41" t="n" s="2364">
        <v>0.0</v>
      </c>
      <c r="Z41" t="n" s="2365">
        <v>0.0</v>
      </c>
      <c r="AA41" t="n" s="2366">
        <v>0.0</v>
      </c>
      <c r="AB41" t="n" s="2367">
        <v>0.0</v>
      </c>
      <c r="AC41" t="n" s="2368">
        <v>0.0</v>
      </c>
      <c r="AD41" t="n" s="2369">
        <v>0.0</v>
      </c>
      <c r="AE41" t="n" s="2370">
        <f>y41+aa41+ac41</f>
      </c>
      <c r="AF41" t="n" s="2371">
        <f>z41+ab41+ad41</f>
      </c>
      <c r="AG41" t="n" s="2372">
        <v>214.0</v>
      </c>
      <c r="AH41" t="n" s="2373">
        <v>28.85</v>
      </c>
      <c r="AI41" t="n" s="2374">
        <v>3.3</v>
      </c>
      <c r="AJ41" t="n" s="2375">
        <f>x41+af41+ag41+ah41+ai41</f>
      </c>
      <c r="AK41" t="n" s="2376">
        <f>ROUND((l41+t41+af41+ag41+ah41+ai41+w41)*0.05,2)</f>
      </c>
      <c r="AL41" t="n" s="2377">
        <f>aj41+ak41</f>
      </c>
      <c r="AM41" t="n" s="2378">
        <f>198.9*0.06</f>
      </c>
      <c r="AN41" t="n" s="2379">
        <f>al41+am41</f>
      </c>
      <c r="AO41" t="s" s="2380">
        <v>0</v>
      </c>
    </row>
    <row r="42">
      <c r="A42" t="s" s="2381">
        <v>221</v>
      </c>
      <c r="B42" t="s" s="2382">
        <v>222</v>
      </c>
      <c r="C42" t="s" s="2383">
        <v>223</v>
      </c>
      <c r="D42" t="s" s="2384">
        <v>224</v>
      </c>
      <c r="E42" t="s" s="2385">
        <v>55</v>
      </c>
      <c r="F42" t="s" s="2740">
        <v>225</v>
      </c>
      <c r="G42" t="s" s="2387">
        <v>214</v>
      </c>
      <c r="H42" t="s" s="2388">
        <v>215</v>
      </c>
      <c r="I42" t="n" s="2957">
        <v>43952.0</v>
      </c>
      <c r="J42" t="n" s="2958">
        <v>44104.0</v>
      </c>
      <c r="K42" t="s" s="2391">
        <v>0</v>
      </c>
      <c r="L42" t="n" s="2392">
        <v>0.0</v>
      </c>
      <c r="M42" t="n" s="2393">
        <v>0.0</v>
      </c>
      <c r="N42" t="n" s="2394">
        <v>0.0</v>
      </c>
      <c r="O42" t="n" s="2395">
        <f>M42*N42</f>
      </c>
      <c r="P42" t="n" s="2396">
        <v>0.0</v>
      </c>
      <c r="Q42" t="n" s="2397">
        <v>0.0</v>
      </c>
      <c r="R42" t="n" s="2398">
        <f>P42*Q42</f>
      </c>
      <c r="S42" t="n" s="2399">
        <f>L42+O42+R42</f>
      </c>
      <c r="T42" t="n" s="2400">
        <v>0.0</v>
      </c>
      <c r="U42" t="n" s="2401">
        <v>68.2</v>
      </c>
      <c r="V42" t="n" s="2402">
        <v>0.0</v>
      </c>
      <c r="W42" t="n" s="2403">
        <v>2003.0</v>
      </c>
      <c r="X42" t="n" s="2404">
        <f>s42+t42+u42+w42</f>
      </c>
      <c r="Y42" t="n" s="2405">
        <v>3.0</v>
      </c>
      <c r="Z42" t="n" s="2406">
        <v>25.95</v>
      </c>
      <c r="AA42" t="n" s="2407">
        <v>0.0</v>
      </c>
      <c r="AB42" t="n" s="2408">
        <v>0.0</v>
      </c>
      <c r="AC42" t="n" s="2409">
        <v>0.0</v>
      </c>
      <c r="AD42" t="n" s="2410">
        <v>0.0</v>
      </c>
      <c r="AE42" t="n" s="2411">
        <f>y42+aa42+ac42</f>
      </c>
      <c r="AF42" t="n" s="2412">
        <f>z42+ab42+ad42</f>
      </c>
      <c r="AG42" t="n" s="2413">
        <v>302.0</v>
      </c>
      <c r="AH42" t="n" s="2414">
        <v>41.15</v>
      </c>
      <c r="AI42" t="n" s="2415">
        <v>4.7</v>
      </c>
      <c r="AJ42" t="n" s="2416">
        <f>x42+af42+ag42+ah42+ai42</f>
      </c>
      <c r="AK42" t="n" s="2417">
        <f>ROUND((l42+t42+af42+ag42+ah42+ai42+w42)*0.05,2)</f>
      </c>
      <c r="AL42" t="n" s="2418">
        <f>aj42+ak42</f>
      </c>
      <c r="AM42" t="n" s="2419">
        <f>248.2*0.06</f>
      </c>
      <c r="AN42" t="n" s="2420">
        <f>al42+am42</f>
      </c>
      <c r="AO42" t="s" s="2421">
        <v>0</v>
      </c>
    </row>
    <row r="43">
      <c r="A43" t="s" s="2422">
        <v>226</v>
      </c>
      <c r="B43" t="s" s="2423">
        <v>227</v>
      </c>
      <c r="C43" t="s" s="2424">
        <v>228</v>
      </c>
      <c r="D43" t="s" s="2425">
        <v>229</v>
      </c>
      <c r="E43" t="s" s="2426">
        <v>55</v>
      </c>
      <c r="F43" t="s" s="2741">
        <v>230</v>
      </c>
      <c r="G43" t="s" s="2428">
        <v>214</v>
      </c>
      <c r="H43" t="s" s="2429">
        <v>215</v>
      </c>
      <c r="I43" t="n" s="2959">
        <v>43952.0</v>
      </c>
      <c r="J43" t="n" s="2960">
        <v>44104.0</v>
      </c>
      <c r="K43" t="s" s="2432">
        <v>0</v>
      </c>
      <c r="L43" t="n" s="2433">
        <v>0.0</v>
      </c>
      <c r="M43" t="n" s="2434">
        <v>0.0</v>
      </c>
      <c r="N43" t="n" s="2435">
        <v>0.0</v>
      </c>
      <c r="O43" t="n" s="2436">
        <f>M43*N43</f>
      </c>
      <c r="P43" t="n" s="2437">
        <v>0.0</v>
      </c>
      <c r="Q43" t="n" s="2438">
        <v>0.0</v>
      </c>
      <c r="R43" t="n" s="2439">
        <f>P43*Q43</f>
      </c>
      <c r="S43" t="n" s="2440">
        <f>L43+O43+R43</f>
      </c>
      <c r="T43" t="n" s="2441">
        <v>0.0</v>
      </c>
      <c r="U43" t="n" s="2442">
        <v>10.0</v>
      </c>
      <c r="V43" t="n" s="2443">
        <v>0.0</v>
      </c>
      <c r="W43" t="n" s="2444">
        <v>2558.0</v>
      </c>
      <c r="X43" t="n" s="2445">
        <f>s43+t43+u43+w43</f>
      </c>
      <c r="Y43" t="n" s="2446">
        <v>8.0</v>
      </c>
      <c r="Z43" t="n" s="2447">
        <v>69.2</v>
      </c>
      <c r="AA43" t="n" s="2448">
        <v>0.0</v>
      </c>
      <c r="AB43" t="n" s="2449">
        <v>0.0</v>
      </c>
      <c r="AC43" t="n" s="2450">
        <v>0.0</v>
      </c>
      <c r="AD43" t="n" s="2451">
        <v>0.0</v>
      </c>
      <c r="AE43" t="n" s="2452">
        <f>y43+aa43+ac43</f>
      </c>
      <c r="AF43" t="n" s="2453">
        <f>z43+ab43+ad43</f>
      </c>
      <c r="AG43" t="n" s="2454">
        <v>372.0</v>
      </c>
      <c r="AH43" t="n" s="2455">
        <v>51.65</v>
      </c>
      <c r="AI43" t="n" s="2456">
        <v>5.9</v>
      </c>
      <c r="AJ43" t="n" s="2457">
        <f>x43+af43+ag43+ah43+ai43</f>
      </c>
      <c r="AK43" t="n" s="2458">
        <f>ROUND((l43+t43+af43+ag43+ah43+ai43+w43)*0.05,2)</f>
      </c>
      <c r="AL43" t="n" s="2459">
        <f>aj43+ak43</f>
      </c>
      <c r="AM43" t="n" s="2460">
        <f>190*0.06</f>
      </c>
      <c r="AN43" t="n" s="2461">
        <f>al43+am43</f>
      </c>
      <c r="AO43" t="s" s="2462">
        <v>0</v>
      </c>
    </row>
    <row r="44">
      <c r="A44" t="s" s="2463">
        <v>231</v>
      </c>
      <c r="B44" t="s" s="2464">
        <v>232</v>
      </c>
      <c r="C44" t="s" s="2465">
        <v>233</v>
      </c>
      <c r="D44" t="s" s="2466">
        <v>234</v>
      </c>
      <c r="E44" t="s" s="2467">
        <v>55</v>
      </c>
      <c r="F44" t="s" s="2742">
        <v>235</v>
      </c>
      <c r="G44" t="s" s="2469">
        <v>214</v>
      </c>
      <c r="H44" t="s" s="2470">
        <v>215</v>
      </c>
      <c r="I44" t="n" s="2961">
        <v>43952.0</v>
      </c>
      <c r="J44" t="n" s="2962">
        <v>44104.0</v>
      </c>
      <c r="K44" t="s" s="2473">
        <v>0</v>
      </c>
      <c r="L44" t="n" s="2474">
        <v>0.0</v>
      </c>
      <c r="M44" t="n" s="2475">
        <v>0.0</v>
      </c>
      <c r="N44" t="n" s="2476">
        <v>0.0</v>
      </c>
      <c r="O44" t="n" s="2477">
        <f>M44*N44</f>
      </c>
      <c r="P44" t="n" s="2478">
        <v>0.0</v>
      </c>
      <c r="Q44" t="n" s="2479">
        <v>0.0</v>
      </c>
      <c r="R44" t="n" s="2480">
        <f>P44*Q44</f>
      </c>
      <c r="S44" t="n" s="2481">
        <f>L44+O44+R44</f>
      </c>
      <c r="T44" t="n" s="2482">
        <v>0.0</v>
      </c>
      <c r="U44" t="n" s="2483">
        <v>41.1</v>
      </c>
      <c r="V44" t="n" s="2484">
        <v>0.0</v>
      </c>
      <c r="W44" t="n" s="2485">
        <v>808.0</v>
      </c>
      <c r="X44" t="n" s="2486">
        <f>s44+t44+u44+w44</f>
      </c>
      <c r="Y44" t="n" s="2487">
        <v>0.0</v>
      </c>
      <c r="Z44" t="n" s="2488">
        <v>0.0</v>
      </c>
      <c r="AA44" t="n" s="2489">
        <v>8.0</v>
      </c>
      <c r="AB44" t="n" s="2490">
        <v>111.52</v>
      </c>
      <c r="AC44" t="n" s="2491">
        <v>0.0</v>
      </c>
      <c r="AD44" t="n" s="2492">
        <v>0.0</v>
      </c>
      <c r="AE44" t="n" s="2493">
        <f>y44+aa44+ac44</f>
      </c>
      <c r="AF44" t="n" s="2494">
        <f>z44+ab44+ad44</f>
      </c>
      <c r="AG44" t="n" s="2495">
        <v>156.0</v>
      </c>
      <c r="AH44" t="n" s="2496">
        <v>23.65</v>
      </c>
      <c r="AI44" t="n" s="2497">
        <v>2.7</v>
      </c>
      <c r="AJ44" t="n" s="2498">
        <f>x44+af44+ag44+ah44+ai44</f>
      </c>
      <c r="AK44" t="n" s="2499">
        <f>ROUND((l44+t44+af44+ag44+ah44+ai44+w44)*0.05,2)</f>
      </c>
      <c r="AL44" t="n" s="2500">
        <f>aj44+ak44</f>
      </c>
      <c r="AM44" t="n" s="2501">
        <f>221.1*0.06</f>
      </c>
      <c r="AN44" t="n" s="2502">
        <f>al44+am44</f>
      </c>
      <c r="AO44" t="s" s="2503">
        <v>0</v>
      </c>
    </row>
    <row r="45">
      <c r="A45" t="s" s="2504">
        <v>236</v>
      </c>
      <c r="B45" t="s" s="2505">
        <v>237</v>
      </c>
      <c r="C45" t="s" s="2506">
        <v>238</v>
      </c>
      <c r="D45" t="s" s="2507">
        <v>239</v>
      </c>
      <c r="E45" t="s" s="2508">
        <v>55</v>
      </c>
      <c r="F45" t="s" s="2743">
        <v>240</v>
      </c>
      <c r="G45" t="s" s="2510">
        <v>214</v>
      </c>
      <c r="H45" t="s" s="2511">
        <v>215</v>
      </c>
      <c r="I45" t="n" s="2963">
        <v>43952.0</v>
      </c>
      <c r="J45" t="n" s="2964">
        <v>44104.0</v>
      </c>
      <c r="K45" t="s" s="2514">
        <v>0</v>
      </c>
      <c r="L45" t="n" s="2515">
        <v>0.0</v>
      </c>
      <c r="M45" t="n" s="2516">
        <v>0.0</v>
      </c>
      <c r="N45" t="n" s="2517">
        <v>0.0</v>
      </c>
      <c r="O45" t="n" s="2518">
        <f>M45*N45</f>
      </c>
      <c r="P45" t="n" s="2519">
        <v>0.0</v>
      </c>
      <c r="Q45" t="n" s="2520">
        <v>0.0</v>
      </c>
      <c r="R45" t="n" s="2521">
        <f>P45*Q45</f>
      </c>
      <c r="S45" t="n" s="2522">
        <f>L45+O45+R45</f>
      </c>
      <c r="T45" t="n" s="2523">
        <v>0.0</v>
      </c>
      <c r="U45" t="n" s="2524">
        <v>10.0</v>
      </c>
      <c r="V45" t="n" s="2525">
        <v>0.0</v>
      </c>
      <c r="W45" t="n" s="2526">
        <v>2562.0</v>
      </c>
      <c r="X45" t="n" s="2527">
        <f>s45+t45+u45+w45</f>
      </c>
      <c r="Y45" t="n" s="2528">
        <v>5.0</v>
      </c>
      <c r="Z45" t="n" s="2529">
        <v>43.25</v>
      </c>
      <c r="AA45" t="n" s="2530">
        <v>8.0</v>
      </c>
      <c r="AB45" t="n" s="2531">
        <v>92.32</v>
      </c>
      <c r="AC45" t="n" s="2532">
        <v>0.0</v>
      </c>
      <c r="AD45" t="n" s="2533">
        <v>0.0</v>
      </c>
      <c r="AE45" t="n" s="2534">
        <f>y45+aa45+ac45</f>
      </c>
      <c r="AF45" t="n" s="2535">
        <f>z45+ab45+ad45</f>
      </c>
      <c r="AG45" t="n" s="2536">
        <v>336.0</v>
      </c>
      <c r="AH45" t="n" s="2537">
        <v>46.35</v>
      </c>
      <c r="AI45" t="n" s="2538">
        <v>5.3</v>
      </c>
      <c r="AJ45" t="n" s="2539">
        <f>x45+af45+ag45+ah45+ai45</f>
      </c>
      <c r="AK45" t="n" s="2540">
        <f>ROUND((l45+t45+af45+ag45+ah45+ai45+w45)*0.05,2)</f>
      </c>
      <c r="AL45" t="n" s="2541">
        <f>aj45+ak45</f>
      </c>
      <c r="AM45" t="n" s="2542">
        <f>190*0.06</f>
      </c>
      <c r="AN45" t="n" s="2543">
        <f>al45+am45</f>
      </c>
      <c r="AO45" t="s" s="2544">
        <v>0</v>
      </c>
    </row>
    <row r="46">
      <c r="A46" t="s" s="2545">
        <v>241</v>
      </c>
      <c r="B46" t="s" s="2546">
        <v>242</v>
      </c>
      <c r="C46" t="s" s="2547">
        <v>243</v>
      </c>
      <c r="D46" t="s" s="2548">
        <v>244</v>
      </c>
      <c r="E46" t="s" s="2549">
        <v>55</v>
      </c>
      <c r="F46" t="s" s="2744">
        <v>245</v>
      </c>
      <c r="G46" t="s" s="2551">
        <v>246</v>
      </c>
      <c r="H46" t="s" s="2552">
        <v>247</v>
      </c>
      <c r="I46" t="n" s="2965">
        <v>43952.0</v>
      </c>
      <c r="J46" t="n" s="2966">
        <v>44104.0</v>
      </c>
      <c r="K46" t="s" s="2555">
        <v>0</v>
      </c>
      <c r="L46" t="n" s="2556">
        <v>0.0</v>
      </c>
      <c r="M46" t="n" s="2557">
        <v>0.0</v>
      </c>
      <c r="N46" t="n" s="2558">
        <v>0.0</v>
      </c>
      <c r="O46" t="n" s="2559">
        <f>M46*N46</f>
      </c>
      <c r="P46" t="n" s="2560">
        <v>0.0</v>
      </c>
      <c r="Q46" t="n" s="2561">
        <v>0.0</v>
      </c>
      <c r="R46" t="n" s="2562">
        <f>P46*Q46</f>
      </c>
      <c r="S46" t="n" s="2563">
        <f>L46+O46+R46</f>
      </c>
      <c r="T46" t="n" s="2564">
        <v>0.0</v>
      </c>
      <c r="U46" t="n" s="2565">
        <v>20.0</v>
      </c>
      <c r="V46" t="n" s="2566">
        <v>0.0</v>
      </c>
      <c r="W46" t="n" s="2567">
        <v>1204.0</v>
      </c>
      <c r="X46" t="n" s="2568">
        <f>s46+t46+u46+w46</f>
      </c>
      <c r="Y46" t="n" s="2569">
        <v>0.0</v>
      </c>
      <c r="Z46" t="n" s="2570">
        <v>0.0</v>
      </c>
      <c r="AA46" t="n" s="2571">
        <v>8.0</v>
      </c>
      <c r="AB46" t="n" s="2572">
        <v>110.0</v>
      </c>
      <c r="AC46" t="n" s="2573">
        <v>0.0</v>
      </c>
      <c r="AD46" t="n" s="2574">
        <v>0.0</v>
      </c>
      <c r="AE46" t="n" s="2575">
        <f>y46+aa46+ac46</f>
      </c>
      <c r="AF46" t="n" s="2576">
        <f>z46+ab46+ad46</f>
      </c>
      <c r="AG46" t="n" s="2577">
        <v>159.0</v>
      </c>
      <c r="AH46" t="n" s="2578">
        <v>23.65</v>
      </c>
      <c r="AI46" t="n" s="2579">
        <v>2.7</v>
      </c>
      <c r="AJ46" t="n" s="2580">
        <f>x46+af46+ag46+ah46+ai46</f>
      </c>
      <c r="AK46" t="n" s="2581">
        <f>ROUND((l46+t46+af46+ag46+ah46+ai46+w46)*0.05,2)</f>
      </c>
      <c r="AL46" t="n" s="2582">
        <f>aj46+ak46</f>
      </c>
      <c r="AM46" t="n" s="2583">
        <f>200*0.06</f>
      </c>
      <c r="AN46" t="n" s="2584">
        <f>al46+am46</f>
      </c>
      <c r="AO46" t="s" s="2585">
        <v>0</v>
      </c>
    </row>
    <row r="47">
      <c r="A47" t="s" s="2586">
        <v>248</v>
      </c>
      <c r="B47" t="s" s="2587">
        <v>249</v>
      </c>
      <c r="C47" t="s" s="2588">
        <v>250</v>
      </c>
      <c r="D47" t="s" s="2589">
        <v>251</v>
      </c>
      <c r="E47" t="s" s="2590">
        <v>55</v>
      </c>
      <c r="F47" t="s" s="2745">
        <v>252</v>
      </c>
      <c r="G47" t="s" s="2592">
        <v>246</v>
      </c>
      <c r="H47" t="s" s="2593">
        <v>247</v>
      </c>
      <c r="I47" t="n" s="2967">
        <v>43952.0</v>
      </c>
      <c r="J47" t="n" s="2968">
        <v>44104.0</v>
      </c>
      <c r="K47" t="s" s="2596">
        <v>0</v>
      </c>
      <c r="L47" t="n" s="2597">
        <v>0.0</v>
      </c>
      <c r="M47" t="n" s="2598">
        <v>0.0</v>
      </c>
      <c r="N47" t="n" s="2599">
        <v>0.0</v>
      </c>
      <c r="O47" t="n" s="2600">
        <f>M47*N47</f>
      </c>
      <c r="P47" t="n" s="2601">
        <v>0.0</v>
      </c>
      <c r="Q47" t="n" s="2602">
        <v>0.0</v>
      </c>
      <c r="R47" t="n" s="2603">
        <f>P47*Q47</f>
      </c>
      <c r="S47" t="n" s="2604">
        <f>L47+O47+R47</f>
      </c>
      <c r="T47" t="n" s="2605">
        <v>0.0</v>
      </c>
      <c r="U47" t="n" s="2606">
        <v>10.0</v>
      </c>
      <c r="V47" t="n" s="2607">
        <v>0.0</v>
      </c>
      <c r="W47" t="n" s="2608">
        <v>1918.0</v>
      </c>
      <c r="X47" t="n" s="2609">
        <f>s47+t47+u47+w47</f>
      </c>
      <c r="Y47" t="n" s="2610">
        <v>0.0</v>
      </c>
      <c r="Z47" t="n" s="2611">
        <v>0.0</v>
      </c>
      <c r="AA47" t="n" s="2612">
        <v>8.0</v>
      </c>
      <c r="AB47" t="n" s="2613">
        <v>96.16</v>
      </c>
      <c r="AC47" t="n" s="2614">
        <v>0.0</v>
      </c>
      <c r="AD47" t="n" s="2615">
        <v>0.0</v>
      </c>
      <c r="AE47" t="n" s="2616">
        <f>y47+aa47+ac47</f>
      </c>
      <c r="AF47" t="n" s="2617">
        <f>z47+ab47+ad47</f>
      </c>
      <c r="AG47" t="n" s="2618">
        <v>263.0</v>
      </c>
      <c r="AH47" t="n" s="2619">
        <v>37.65</v>
      </c>
      <c r="AI47" t="n" s="2620">
        <v>4.3</v>
      </c>
      <c r="AJ47" t="n" s="2621">
        <f>x47+af47+ag47+ah47+ai47</f>
      </c>
      <c r="AK47" t="n" s="2622">
        <f>ROUND((l47+t47+af47+ag47+ah47+ai47+w47)*0.05,2)</f>
      </c>
      <c r="AL47" t="n" s="2623">
        <f>aj47+ak47</f>
      </c>
      <c r="AM47" t="n" s="2624">
        <f>190*0.06</f>
      </c>
      <c r="AN47" t="n" s="2625">
        <f>al47+am47</f>
      </c>
      <c r="AO47" t="s" s="2626">
        <v>0</v>
      </c>
    </row>
    <row r="48">
      <c r="A48" t="s" s="2627">
        <v>253</v>
      </c>
      <c r="B48" t="s" s="2628">
        <v>254</v>
      </c>
      <c r="C48" t="s" s="2629">
        <v>255</v>
      </c>
      <c r="D48" t="s" s="2630">
        <v>256</v>
      </c>
      <c r="E48" t="s" s="2631">
        <v>55</v>
      </c>
      <c r="F48" t="s" s="2746">
        <v>257</v>
      </c>
      <c r="G48" t="s" s="2633">
        <v>246</v>
      </c>
      <c r="H48" t="s" s="2634">
        <v>247</v>
      </c>
      <c r="I48" t="n" s="2969">
        <v>43952.0</v>
      </c>
      <c r="J48" t="n" s="2970">
        <v>44104.0</v>
      </c>
      <c r="K48" t="s" s="2637">
        <v>0</v>
      </c>
      <c r="L48" t="n" s="2638">
        <v>0.0</v>
      </c>
      <c r="M48" t="n" s="2639">
        <v>0.0</v>
      </c>
      <c r="N48" t="n" s="2640">
        <v>0.0</v>
      </c>
      <c r="O48" t="n" s="2641">
        <f>M48*N48</f>
      </c>
      <c r="P48" t="n" s="2642">
        <v>0.0</v>
      </c>
      <c r="Q48" t="n" s="2643">
        <v>0.0</v>
      </c>
      <c r="R48" t="n" s="2644">
        <f>P48*Q48</f>
      </c>
      <c r="S48" t="n" s="2645">
        <f>L48+O48+R48</f>
      </c>
      <c r="T48" t="n" s="2646">
        <v>0.0</v>
      </c>
      <c r="U48" t="n" s="2647">
        <v>22.0</v>
      </c>
      <c r="V48" t="n" s="2648">
        <v>0.0</v>
      </c>
      <c r="W48" t="n" s="2649">
        <v>799.0</v>
      </c>
      <c r="X48" t="n" s="2650">
        <f>s48+t48+u48+w48</f>
      </c>
      <c r="Y48" t="n" s="2651">
        <v>0.0</v>
      </c>
      <c r="Z48" t="n" s="2652">
        <v>0.0</v>
      </c>
      <c r="AA48" t="n" s="2653">
        <v>8.0</v>
      </c>
      <c r="AB48" t="n" s="2654">
        <v>111.52</v>
      </c>
      <c r="AC48" t="n" s="2655">
        <v>0.0</v>
      </c>
      <c r="AD48" t="n" s="2656">
        <v>0.0</v>
      </c>
      <c r="AE48" t="n" s="2657">
        <f>y48+aa48+ac48</f>
      </c>
      <c r="AF48" t="n" s="2658">
        <f>z48+ab48+ad48</f>
      </c>
      <c r="AG48" t="n" s="2659">
        <v>177.0</v>
      </c>
      <c r="AH48" t="n" s="2660">
        <v>25.35</v>
      </c>
      <c r="AI48" t="n" s="2661">
        <v>2.9</v>
      </c>
      <c r="AJ48" t="n" s="2662">
        <f>x48+af48+ag48+ah48+ai48</f>
      </c>
      <c r="AK48" t="n" s="2663">
        <f>ROUND((l48+t48+af48+ag48+ah48+ai48+w48)*0.05,2)</f>
      </c>
      <c r="AL48" t="n" s="2664">
        <f>aj48+ak48</f>
      </c>
      <c r="AM48" t="n" s="2665">
        <f>202*0.06</f>
      </c>
      <c r="AN48" t="n" s="2666">
        <f>al48+am48</f>
      </c>
      <c r="AO48" t="s" s="2667">
        <v>0</v>
      </c>
    </row>
    <row r="49">
      <c r="A49" t="s" s="2668">
        <v>258</v>
      </c>
      <c r="B49" t="s" s="2669">
        <v>259</v>
      </c>
      <c r="C49" t="s" s="2670">
        <v>260</v>
      </c>
      <c r="D49" t="s" s="2671">
        <v>261</v>
      </c>
      <c r="E49" t="s" s="2672">
        <v>262</v>
      </c>
      <c r="F49" t="s" s="2747">
        <v>0</v>
      </c>
      <c r="G49" t="s" s="2674">
        <v>263</v>
      </c>
      <c r="H49" t="s" s="2675">
        <v>247</v>
      </c>
      <c r="I49" t="n" s="2971">
        <v>43952.0</v>
      </c>
      <c r="J49" t="n" s="2972">
        <v>44104.0</v>
      </c>
      <c r="K49" t="s" s="2678">
        <v>0</v>
      </c>
      <c r="L49" t="n" s="2679">
        <v>0.0</v>
      </c>
      <c r="M49" t="n" s="2680">
        <v>0.0</v>
      </c>
      <c r="N49" t="n" s="2681">
        <v>0.0</v>
      </c>
      <c r="O49" t="n" s="2682">
        <f>M49*N49</f>
      </c>
      <c r="P49" t="n" s="2683">
        <v>0.0</v>
      </c>
      <c r="Q49" t="n" s="2684">
        <v>0.0</v>
      </c>
      <c r="R49" t="n" s="2685">
        <f>P49*Q49</f>
      </c>
      <c r="S49" t="n" s="2686">
        <f>L49+O49+R49</f>
      </c>
      <c r="T49" t="n" s="2687">
        <v>0.0</v>
      </c>
      <c r="U49" t="n" s="2688">
        <v>676.48</v>
      </c>
      <c r="V49" t="n" s="2689">
        <v>0.0</v>
      </c>
      <c r="W49" t="n" s="2690">
        <v>1900.0</v>
      </c>
      <c r="X49" t="n" s="2691">
        <f>s49+t49+u49+w49</f>
      </c>
      <c r="Y49" t="n" s="2692">
        <v>0.0</v>
      </c>
      <c r="Z49" t="n" s="2693">
        <v>0.0</v>
      </c>
      <c r="AA49" t="n" s="2694">
        <v>0.0</v>
      </c>
      <c r="AB49" t="n" s="2695">
        <v>0.0</v>
      </c>
      <c r="AC49" t="n" s="2696">
        <v>0.0</v>
      </c>
      <c r="AD49" t="n" s="2697">
        <v>0.0</v>
      </c>
      <c r="AE49" t="n" s="2698">
        <f>y49+aa49+ac49</f>
      </c>
      <c r="AF49" t="n" s="2699">
        <f>z49+ab49+ad49</f>
      </c>
      <c r="AG49" t="n" s="2700">
        <v>484.0</v>
      </c>
      <c r="AH49" t="n" s="2701">
        <v>65.65</v>
      </c>
      <c r="AI49" t="n" s="2702">
        <v>7.5</v>
      </c>
      <c r="AJ49" t="n" s="2703">
        <f>x49+af49+ag49+ah49+ai49</f>
      </c>
      <c r="AK49" t="n" s="2704">
        <f>ROUND((l49+t49+af49+ag49+ah49+ai49+w49)*0.05,2)</f>
      </c>
      <c r="AL49" t="n" s="2705">
        <f>aj49+ak49</f>
      </c>
      <c r="AM49" t="n" s="2706">
        <f>856.48*0.06</f>
      </c>
      <c r="AN49" t="n" s="2707">
        <f>al49+am49</f>
      </c>
      <c r="AO49" t="s" s="2708">
        <v>0</v>
      </c>
    </row>
    <row r="50">
      <c r="L50" s="1054"/>
      <c r="M50" s="1055"/>
      <c r="N50" s="1056"/>
      <c r="O50" s="1057"/>
      <c r="P50" s="1058"/>
      <c r="Q50" s="1059"/>
      <c r="R50" s="1060"/>
      <c r="S50" s="1061"/>
      <c r="T50" s="1062"/>
      <c r="U50" s="1063"/>
      <c r="V50" s="1064"/>
      <c r="W50" s="1065"/>
      <c r="X50" s="1066"/>
      <c r="Y50" s="1067"/>
      <c r="Z50" s="1068"/>
      <c r="AA50" s="1069"/>
      <c r="AB50" s="1070"/>
      <c r="AC50" s="1071"/>
      <c r="AD50" s="1072"/>
      <c r="AE50" s="1073"/>
      <c r="AF50" s="1074"/>
      <c r="AG50" s="1075"/>
      <c r="AH50" s="1076"/>
      <c r="AI50" s="1077"/>
      <c r="AJ50" s="1078"/>
      <c r="AK50" s="1079"/>
      <c r="AL50" s="1080"/>
    </row>
    <row r="51"/>
    <row r="52">
      <c r="A52" t="s">
        <v>0</v>
      </c>
      <c r="B52" t="s">
        <v>264</v>
      </c>
      <c r="C52">
        <f>COUNTA(A11:A49)</f>
      </c>
      <c r="L52" s="1081">
        <f>SUM(l11:l49)</f>
      </c>
      <c r="M52" s="1082">
        <f>SUM(m11:m49)</f>
      </c>
      <c r="N52" s="1083"/>
      <c r="O52" s="1084">
        <f>SUM(o11:o49)</f>
      </c>
      <c r="P52" s="1085">
        <f>SUM(p11:p49)</f>
      </c>
      <c r="Q52" s="1086"/>
      <c r="R52" s="1087">
        <f>SUM(r11:r49)</f>
      </c>
      <c r="S52" s="1088">
        <f>SUM(s11:s49)</f>
      </c>
      <c r="T52" s="1089">
        <f>SUM(t11:t49)</f>
      </c>
      <c r="U52" s="1090">
        <f>SUM(u11:u49)</f>
      </c>
      <c r="V52" s="1091">
        <f>SUM(v11:v49)</f>
      </c>
      <c r="W52" s="1092">
        <f>SUM(w11:w49)</f>
      </c>
      <c r="X52" s="1093">
        <f>SUM(x11:x49)</f>
      </c>
      <c r="Y52" s="1094">
        <f>SUM(y11:y49)</f>
      </c>
      <c r="Z52" s="1095">
        <f>SUM(z11:z49)</f>
      </c>
      <c r="AA52" s="1096">
        <f>SUM(aa11:aa49)</f>
      </c>
      <c r="AB52" s="1097">
        <f>SUM(ab11:ab49)</f>
      </c>
      <c r="AC52" s="1098">
        <f>SUM(ac11:ac49)</f>
      </c>
      <c r="AD52" s="1099">
        <f>SUM(ad11:ad49)</f>
      </c>
      <c r="AE52" s="1100">
        <f>SUM(ae11:ae49)</f>
      </c>
      <c r="AF52" s="1101">
        <f>SUM(af11:af49)</f>
      </c>
      <c r="AG52" s="1102">
        <f>SUM(ag11:ag49)</f>
      </c>
      <c r="AH52" s="1103">
        <f>SUM(ah11:ah49)</f>
      </c>
      <c r="AI52" s="1104">
        <f>SUM(ai11:ai49)</f>
      </c>
      <c r="AJ52" s="1105">
        <f>SUM(aj11:aj49)</f>
      </c>
      <c r="AK52" s="1106">
        <f>SUM(ak11:ak49)</f>
      </c>
      <c r="AL52" s="1107">
        <f>SUM(al11:al49)</f>
      </c>
      <c r="AM52" s="1108">
        <f>SUM(am11:am49)</f>
      </c>
      <c r="AN52" s="1109">
        <f>SUM(an11:an49)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2973">
        <v>0</v>
      </c>
      <c r="B1" t="s" s="2974">
        <v>1</v>
      </c>
      <c r="Y1" t="s" s="2975">
        <v>6</v>
      </c>
      <c r="Z1" t="n" s="2976">
        <v>2020.0</v>
      </c>
    </row>
    <row r="2" ht="15.0" customHeight="true">
      <c r="A2" t="s" s="2977">
        <v>0</v>
      </c>
      <c r="B2" t="s" s="2978">
        <v>2</v>
      </c>
      <c r="Y2" t="s" s="2979">
        <v>7</v>
      </c>
      <c r="Z2" t="n" s="2980">
        <v>2020.0</v>
      </c>
    </row>
    <row r="3" ht="15.0" customHeight="true">
      <c r="A3" t="s" s="2981">
        <v>0</v>
      </c>
      <c r="B3" t="s" s="2982">
        <v>3</v>
      </c>
    </row>
    <row r="4" ht="15.0" customHeight="true">
      <c r="A4" t="s" s="2983">
        <v>0</v>
      </c>
      <c r="B4" t="s" s="2984">
        <v>4</v>
      </c>
    </row>
    <row r="5" ht="15.0" customHeight="true">
      <c r="A5" t="s" s="2985">
        <v>0</v>
      </c>
      <c r="B5" t="s" s="2986">
        <v>5</v>
      </c>
    </row>
    <row r="6" ht="15.0" customHeight="true"/>
    <row r="7" ht="15.0" customHeight="true"/>
    <row r="8" ht="28.0" customHeight="true">
      <c r="A8" t="s" s="2987">
        <v>0</v>
      </c>
      <c r="B8" t="s" s="2988">
        <v>0</v>
      </c>
      <c r="C8" t="s" s="2989">
        <v>0</v>
      </c>
      <c r="D8" t="s" s="2990">
        <v>0</v>
      </c>
      <c r="E8" t="s" s="2991">
        <v>0</v>
      </c>
      <c r="F8" t="s" s="2992">
        <v>0</v>
      </c>
      <c r="G8" t="s" s="2993">
        <v>0</v>
      </c>
      <c r="H8" t="s" s="2994">
        <v>0</v>
      </c>
      <c r="I8" t="s" s="2995">
        <v>0</v>
      </c>
      <c r="J8" t="s" s="2996">
        <v>0</v>
      </c>
      <c r="K8" t="s" s="2997">
        <v>0</v>
      </c>
      <c r="L8" t="s" s="2998">
        <v>0</v>
      </c>
      <c r="M8" t="s" s="2999">
        <v>0</v>
      </c>
      <c r="N8" t="s" s="3000">
        <v>0</v>
      </c>
      <c r="O8" t="s" s="3001">
        <v>0</v>
      </c>
      <c r="P8" t="s" s="3002">
        <v>0</v>
      </c>
      <c r="Q8" t="s" s="3003">
        <v>0</v>
      </c>
      <c r="R8" t="s" s="3004">
        <v>0</v>
      </c>
      <c r="S8" t="s" s="3005">
        <v>0</v>
      </c>
      <c r="T8" t="s" s="3006">
        <v>0</v>
      </c>
      <c r="U8" t="s" s="3007">
        <v>0</v>
      </c>
      <c r="V8" t="s" s="3008">
        <v>0</v>
      </c>
      <c r="W8" t="s" s="3009">
        <v>0</v>
      </c>
      <c r="X8" t="s" s="3010">
        <v>0</v>
      </c>
      <c r="Y8" t="s" s="3011">
        <v>0</v>
      </c>
      <c r="Z8" t="s" s="3012">
        <v>0</v>
      </c>
      <c r="AA8" t="s" s="3013">
        <v>0</v>
      </c>
      <c r="AB8" t="s" s="3014">
        <v>0</v>
      </c>
      <c r="AC8" t="s" s="3015">
        <v>8</v>
      </c>
      <c r="AD8" t="s" s="3016">
        <v>0</v>
      </c>
      <c r="AE8" t="s" s="3017">
        <v>0</v>
      </c>
      <c r="AF8" t="s" s="3018">
        <v>0</v>
      </c>
      <c r="AG8" t="s" s="3019">
        <v>0</v>
      </c>
      <c r="AH8" t="s" s="3020">
        <v>0</v>
      </c>
      <c r="AI8" t="s" s="3021">
        <v>0</v>
      </c>
      <c r="AJ8" t="s" s="3022">
        <v>0</v>
      </c>
      <c r="AK8" t="s" s="3023">
        <v>0</v>
      </c>
      <c r="AL8" t="s" s="3024">
        <v>0</v>
      </c>
      <c r="AM8" t="s" s="3025">
        <v>0</v>
      </c>
      <c r="AN8" t="s" s="3026">
        <v>0</v>
      </c>
      <c r="AO8" t="s" s="3027">
        <v>0</v>
      </c>
    </row>
    <row r="9" ht="41.0" customHeight="true">
      <c r="A9" t="s" s="3028">
        <v>9</v>
      </c>
      <c r="B9" t="s" s="3029">
        <v>10</v>
      </c>
      <c r="C9" t="s" s="3030">
        <v>11</v>
      </c>
      <c r="D9" t="s" s="3031">
        <v>12</v>
      </c>
      <c r="E9" t="s" s="3032">
        <v>13</v>
      </c>
      <c r="F9" t="s" s="3033">
        <v>14</v>
      </c>
      <c r="G9" t="s" s="3034">
        <v>15</v>
      </c>
      <c r="H9" t="s" s="3035">
        <v>16</v>
      </c>
      <c r="I9" t="s" s="3036">
        <v>17</v>
      </c>
      <c r="J9" t="s" s="3037">
        <v>18</v>
      </c>
      <c r="K9" t="s" s="3038">
        <v>19</v>
      </c>
      <c r="L9" t="s" s="3039">
        <v>20</v>
      </c>
      <c r="M9" t="s" s="3040">
        <v>21</v>
      </c>
      <c r="N9" t="s" s="3041">
        <v>22</v>
      </c>
      <c r="O9" t="s" s="3042">
        <v>23</v>
      </c>
      <c r="P9" t="s" s="3043">
        <v>24</v>
      </c>
      <c r="Q9" t="s" s="3044">
        <v>25</v>
      </c>
      <c r="R9" t="s" s="3045">
        <v>26</v>
      </c>
      <c r="S9" t="s" s="3046">
        <v>27</v>
      </c>
      <c r="T9" t="s" s="3047">
        <v>28</v>
      </c>
      <c r="U9" t="s" s="3048">
        <v>29</v>
      </c>
      <c r="V9" t="s" s="3049">
        <v>30</v>
      </c>
      <c r="W9" t="s" s="3050">
        <v>31</v>
      </c>
      <c r="X9" t="s" s="3051">
        <v>32</v>
      </c>
      <c r="Y9" t="s" s="3052">
        <v>33</v>
      </c>
      <c r="Z9" t="s" s="3053">
        <v>34</v>
      </c>
      <c r="AA9" t="s" s="3054">
        <v>35</v>
      </c>
      <c r="AB9" t="s" s="3055">
        <v>36</v>
      </c>
      <c r="AC9" t="s" s="3056">
        <v>37</v>
      </c>
      <c r="AD9" t="s" s="3057">
        <v>38</v>
      </c>
      <c r="AE9" t="s" s="3058">
        <v>39</v>
      </c>
      <c r="AF9" t="s" s="3059">
        <v>40</v>
      </c>
      <c r="AG9" t="s" s="3060">
        <v>41</v>
      </c>
      <c r="AH9" t="s" s="3061">
        <v>42</v>
      </c>
      <c r="AI9" t="s" s="3062">
        <v>43</v>
      </c>
      <c r="AJ9" t="s" s="3063">
        <v>44</v>
      </c>
      <c r="AK9" t="s" s="3064">
        <v>45</v>
      </c>
      <c r="AL9" t="s" s="3065">
        <v>46</v>
      </c>
      <c r="AM9" t="s" s="3066">
        <v>47</v>
      </c>
      <c r="AN9" t="s" s="3067">
        <v>48</v>
      </c>
      <c r="AO9" t="s" s="3068">
        <v>49</v>
      </c>
    </row>
    <row r="10" ht="15.0" customHeight="true">
      <c r="A10" t="s" s="3069">
        <v>0</v>
      </c>
      <c r="B10" t="s" s="3070">
        <v>0</v>
      </c>
      <c r="C10" t="s" s="3071">
        <v>0</v>
      </c>
      <c r="D10" t="s" s="3072">
        <v>0</v>
      </c>
      <c r="E10" t="s" s="3073">
        <v>0</v>
      </c>
      <c r="F10" t="s" s="3074">
        <v>0</v>
      </c>
      <c r="G10" t="s" s="3075">
        <v>0</v>
      </c>
      <c r="H10" t="s" s="3076">
        <v>0</v>
      </c>
      <c r="I10" t="s" s="3077">
        <v>0</v>
      </c>
      <c r="J10" t="s" s="3078">
        <v>0</v>
      </c>
      <c r="K10" t="s" s="3079">
        <v>0</v>
      </c>
      <c r="L10" t="s" s="3080">
        <v>0</v>
      </c>
      <c r="M10" t="s" s="3081">
        <v>0</v>
      </c>
      <c r="N10" t="s" s="3082">
        <v>0</v>
      </c>
      <c r="O10" t="s" s="3083">
        <v>0</v>
      </c>
      <c r="P10" t="s" s="3084">
        <v>0</v>
      </c>
      <c r="Q10" t="s" s="3085">
        <v>0</v>
      </c>
      <c r="R10" t="s" s="3086">
        <v>0</v>
      </c>
      <c r="S10" t="s" s="3087">
        <v>0</v>
      </c>
      <c r="T10" t="s" s="3088">
        <v>0</v>
      </c>
      <c r="U10" t="s" s="3089">
        <v>0</v>
      </c>
      <c r="V10" t="s" s="3090">
        <v>0</v>
      </c>
      <c r="W10" t="s" s="3091">
        <v>0</v>
      </c>
      <c r="X10" t="s" s="3092">
        <v>0</v>
      </c>
      <c r="Y10" t="n" s="3093">
        <v>1.5</v>
      </c>
      <c r="Z10" t="n" s="3094">
        <v>1.5</v>
      </c>
      <c r="AA10" t="n" s="3095">
        <v>2.0</v>
      </c>
      <c r="AB10" t="n" s="3096">
        <v>2.0</v>
      </c>
      <c r="AC10" t="n" s="3097">
        <v>3.0</v>
      </c>
      <c r="AD10" t="n" s="3098">
        <v>3.0</v>
      </c>
      <c r="AE10" t="s" s="3099">
        <v>50</v>
      </c>
      <c r="AF10" t="s" s="3100">
        <v>50</v>
      </c>
      <c r="AG10" t="s" s="3101">
        <v>0</v>
      </c>
      <c r="AH10" t="s" s="3102">
        <v>0</v>
      </c>
      <c r="AI10" t="s" s="3103">
        <v>0</v>
      </c>
      <c r="AJ10" t="s" s="3104">
        <v>0</v>
      </c>
      <c r="AK10" t="s" s="3105">
        <v>0</v>
      </c>
      <c r="AL10" t="s" s="3106">
        <v>0</v>
      </c>
      <c r="AM10" t="s" s="3107">
        <v>0</v>
      </c>
      <c r="AN10" t="s" s="3108">
        <v>0</v>
      </c>
      <c r="AO10" t="s" s="3109">
        <v>0</v>
      </c>
    </row>
    <row r="11" ht="15.0" customHeight="true">
      <c r="A11" t="s" s="3110">
        <v>51</v>
      </c>
      <c r="B11" t="s" s="3111">
        <v>52</v>
      </c>
      <c r="C11" t="s" s="3112">
        <v>53</v>
      </c>
      <c r="D11" t="s" s="3113">
        <v>54</v>
      </c>
      <c r="E11" t="s" s="3114">
        <v>55</v>
      </c>
      <c r="F11" t="s" s="3115">
        <v>56</v>
      </c>
      <c r="G11" t="s" s="3116">
        <v>57</v>
      </c>
      <c r="H11" t="s" s="3117">
        <v>58</v>
      </c>
      <c r="I11" t="n" s="3118">
        <v>43952.0</v>
      </c>
      <c r="J11" t="n" s="3119">
        <v>44104.0</v>
      </c>
      <c r="K11" t="s" s="3120">
        <v>0</v>
      </c>
      <c r="L11" t="n" s="3121">
        <v>0.0</v>
      </c>
      <c r="M11" t="n" s="3122">
        <v>0.0</v>
      </c>
      <c r="N11" t="n" s="3123">
        <v>0.0</v>
      </c>
      <c r="O11" s="3124">
        <f>M11*N11</f>
      </c>
      <c r="P11" t="n" s="3125">
        <v>0.0</v>
      </c>
      <c r="Q11" t="n" s="3126">
        <v>0.0</v>
      </c>
      <c r="R11" s="3127">
        <f>P11*Q11</f>
      </c>
      <c r="S11" t="n" s="3128">
        <v>0.0</v>
      </c>
      <c r="T11" t="n" s="3129">
        <v>0.0</v>
      </c>
      <c r="U11" t="n" s="3130">
        <v>53.18</v>
      </c>
      <c r="V11" s="3131">
        <f>L11+O11+R11</f>
      </c>
      <c r="W11" t="n" s="3132">
        <v>2550.0</v>
      </c>
      <c r="X11" s="3133">
        <f>s11+t11+u11+w11</f>
      </c>
      <c r="Y11" t="n" s="3134">
        <v>0.0</v>
      </c>
      <c r="Z11" t="n" s="3135">
        <v>0.0</v>
      </c>
      <c r="AA11" t="n" s="3136">
        <v>0.0</v>
      </c>
      <c r="AB11" t="n" s="3137">
        <v>0.0</v>
      </c>
      <c r="AC11" t="n" s="3138">
        <v>0.0</v>
      </c>
      <c r="AD11" t="n" s="3139">
        <v>0.0</v>
      </c>
      <c r="AE11" s="3140">
        <f>y11+aa11+ac11</f>
      </c>
      <c r="AF11" s="3141">
        <f>z11+ab11+ad11</f>
      </c>
      <c r="AG11" t="n" s="3142">
        <v>333.0</v>
      </c>
      <c r="AH11" t="n" s="3143">
        <v>44.65</v>
      </c>
      <c r="AI11" t="n" s="3144">
        <v>5.1</v>
      </c>
      <c r="AJ11" s="3145">
        <f>x11+af11+ag11+ah11+ai11</f>
      </c>
      <c r="AK11" s="3146">
        <f>ROUND((l11+t11+af11+ag11+ah11+ai11+w11)*0.05,2)</f>
      </c>
      <c r="AL11" s="3147">
        <f>aj11+ak11</f>
      </c>
      <c r="AM11" s="3148">
        <f>233.18*0.06</f>
      </c>
      <c r="AN11" s="3149">
        <f>al11+am11</f>
      </c>
      <c r="AO11" t="s" s="3150">
        <v>0</v>
      </c>
    </row>
    <row r="12" ht="15.0" customHeight="true">
      <c r="A12" t="s" s="3151">
        <v>59</v>
      </c>
      <c r="B12" t="s" s="3152">
        <v>60</v>
      </c>
      <c r="C12" t="s" s="3153">
        <v>61</v>
      </c>
      <c r="D12" t="s" s="3154">
        <v>62</v>
      </c>
      <c r="E12" t="s" s="3155">
        <v>63</v>
      </c>
      <c r="F12" t="s" s="3156">
        <v>64</v>
      </c>
      <c r="G12" t="s" s="3157">
        <v>57</v>
      </c>
      <c r="H12" t="s" s="3158">
        <v>58</v>
      </c>
      <c r="I12" t="n" s="3159">
        <v>43952.0</v>
      </c>
      <c r="J12" t="n" s="3160">
        <v>44094.0</v>
      </c>
      <c r="K12" t="s" s="3161">
        <v>0</v>
      </c>
      <c r="L12" t="n" s="3162">
        <v>0.0</v>
      </c>
      <c r="M12" t="n" s="3163">
        <v>0.0</v>
      </c>
      <c r="N12" t="n" s="3164">
        <v>0.0</v>
      </c>
      <c r="O12" s="3165">
        <f>M12*N12</f>
      </c>
      <c r="P12" t="n" s="3166">
        <v>0.0</v>
      </c>
      <c r="Q12" t="n" s="3167">
        <v>0.0</v>
      </c>
      <c r="R12" s="3168">
        <f>P12*Q12</f>
      </c>
      <c r="S12" t="n" s="3169">
        <v>0.0</v>
      </c>
      <c r="T12" t="n" s="3170">
        <v>0.0</v>
      </c>
      <c r="U12" t="n" s="3171">
        <v>0.0</v>
      </c>
      <c r="V12" s="3172">
        <f>L12+O12+R12</f>
      </c>
      <c r="W12" t="n" s="3173">
        <v>2550.0</v>
      </c>
      <c r="X12" s="3174">
        <f>s12+t12+u12+w12</f>
      </c>
      <c r="Y12" t="n" s="3175">
        <v>0.0</v>
      </c>
      <c r="Z12" t="n" s="3176">
        <v>0.0</v>
      </c>
      <c r="AA12" t="n" s="3177">
        <v>0.0</v>
      </c>
      <c r="AB12" t="n" s="3178">
        <v>0.0</v>
      </c>
      <c r="AC12" t="n" s="3179">
        <v>0.0</v>
      </c>
      <c r="AD12" t="n" s="3180">
        <v>0.0</v>
      </c>
      <c r="AE12" s="3181">
        <f>y12+aa12+ac12</f>
      </c>
      <c r="AF12" s="3182">
        <f>z12+ab12+ad12</f>
      </c>
      <c r="AG12" t="n" s="3183">
        <v>333.0</v>
      </c>
      <c r="AH12" t="n" s="3184">
        <v>46.35</v>
      </c>
      <c r="AI12" t="n" s="3185">
        <v>5.3</v>
      </c>
      <c r="AJ12" s="3186">
        <f>x12+af12+ag12+ah12+ai12</f>
      </c>
      <c r="AK12" s="3187">
        <f>ROUND((l12+t12+af12+ag12+ah12+ai12+w12)*0.05,2)</f>
      </c>
      <c r="AL12" s="3188">
        <f>aj12+ak12</f>
      </c>
      <c r="AM12" s="3189">
        <f>180*0.06</f>
      </c>
      <c r="AN12" s="3190">
        <f>al12+am12</f>
      </c>
      <c r="AO12" t="s" s="3191">
        <v>0</v>
      </c>
    </row>
    <row r="13" ht="15.0" customHeight="true">
      <c r="A13" t="s" s="3192">
        <v>65</v>
      </c>
      <c r="B13" t="s" s="3193">
        <v>66</v>
      </c>
      <c r="C13" t="s" s="3194">
        <v>67</v>
      </c>
      <c r="D13" t="s" s="3195">
        <v>68</v>
      </c>
      <c r="E13" t="s" s="3196">
        <v>55</v>
      </c>
      <c r="F13" t="s" s="3197">
        <v>69</v>
      </c>
      <c r="G13" t="s" s="3198">
        <v>57</v>
      </c>
      <c r="H13" t="s" s="3199">
        <v>58</v>
      </c>
      <c r="I13" t="n" s="3200">
        <v>43952.0</v>
      </c>
      <c r="J13" t="n" s="3201">
        <v>44104.0</v>
      </c>
      <c r="K13" t="s" s="3202">
        <v>0</v>
      </c>
      <c r="L13" t="n" s="3203">
        <v>0.0</v>
      </c>
      <c r="M13" t="n" s="3204">
        <v>0.0</v>
      </c>
      <c r="N13" t="n" s="3205">
        <v>0.0</v>
      </c>
      <c r="O13" s="3206">
        <f>M13*N13</f>
      </c>
      <c r="P13" t="n" s="3207">
        <v>0.0</v>
      </c>
      <c r="Q13" t="n" s="3208">
        <v>0.0</v>
      </c>
      <c r="R13" s="3209">
        <f>P13*Q13</f>
      </c>
      <c r="S13" t="n" s="3210">
        <v>0.0</v>
      </c>
      <c r="T13" t="n" s="3211">
        <v>0.0</v>
      </c>
      <c r="U13" t="n" s="3212">
        <v>0.0</v>
      </c>
      <c r="V13" s="3213">
        <f>L13+O13+R13</f>
      </c>
      <c r="W13" t="n" s="3214">
        <v>2550.0</v>
      </c>
      <c r="X13" s="3215">
        <f>s13+t13+u13+w13</f>
      </c>
      <c r="Y13" t="n" s="3216">
        <v>0.0</v>
      </c>
      <c r="Z13" t="n" s="3217">
        <v>0.0</v>
      </c>
      <c r="AA13" t="n" s="3218">
        <v>0.0</v>
      </c>
      <c r="AB13" t="n" s="3219">
        <v>0.0</v>
      </c>
      <c r="AC13" t="n" s="3220">
        <v>0.0</v>
      </c>
      <c r="AD13" t="n" s="3221">
        <v>0.0</v>
      </c>
      <c r="AE13" s="3222">
        <f>y13+aa13+ac13</f>
      </c>
      <c r="AF13" s="3223">
        <f>z13+ab13+ad13</f>
      </c>
      <c r="AG13" t="n" s="3224">
        <v>333.0</v>
      </c>
      <c r="AH13" t="n" s="3225">
        <v>44.65</v>
      </c>
      <c r="AI13" t="n" s="3226">
        <v>5.1</v>
      </c>
      <c r="AJ13" s="3227">
        <f>x13+af13+ag13+ah13+ai13</f>
      </c>
      <c r="AK13" s="3228">
        <f>ROUND((l13+t13+af13+ag13+ah13+ai13+w13)*0.05,2)</f>
      </c>
      <c r="AL13" s="3229">
        <f>aj13+ak13</f>
      </c>
      <c r="AM13" s="3230">
        <f>180*0.06</f>
      </c>
      <c r="AN13" s="3231">
        <f>al13+am13</f>
      </c>
      <c r="AO13" t="s" s="3232">
        <v>0</v>
      </c>
    </row>
    <row r="14" ht="15.0" customHeight="true">
      <c r="A14" t="s" s="3233">
        <v>70</v>
      </c>
      <c r="B14" t="s" s="3234">
        <v>71</v>
      </c>
      <c r="C14" t="s" s="3235">
        <v>72</v>
      </c>
      <c r="D14" t="s" s="3236">
        <v>73</v>
      </c>
      <c r="E14" t="s" s="3237">
        <v>55</v>
      </c>
      <c r="F14" t="s" s="3238">
        <v>74</v>
      </c>
      <c r="G14" t="s" s="3239">
        <v>57</v>
      </c>
      <c r="H14" t="s" s="3240">
        <v>58</v>
      </c>
      <c r="I14" t="n" s="3241">
        <v>43952.0</v>
      </c>
      <c r="J14" t="n" s="3242">
        <v>44104.0</v>
      </c>
      <c r="K14" t="s" s="3243">
        <v>0</v>
      </c>
      <c r="L14" t="n" s="3244">
        <v>0.0</v>
      </c>
      <c r="M14" t="n" s="3245">
        <v>0.0</v>
      </c>
      <c r="N14" t="n" s="3246">
        <v>0.0</v>
      </c>
      <c r="O14" s="3247">
        <f>M14*N14</f>
      </c>
      <c r="P14" t="n" s="3248">
        <v>0.0</v>
      </c>
      <c r="Q14" t="n" s="3249">
        <v>0.0</v>
      </c>
      <c r="R14" s="3250">
        <f>P14*Q14</f>
      </c>
      <c r="S14" t="n" s="3251">
        <v>0.0</v>
      </c>
      <c r="T14" t="n" s="3252">
        <v>0.0</v>
      </c>
      <c r="U14" t="n" s="3253">
        <v>10.0</v>
      </c>
      <c r="V14" s="3254">
        <f>L14+O14+R14</f>
      </c>
      <c r="W14" t="n" s="3255">
        <v>650.0</v>
      </c>
      <c r="X14" s="3256">
        <f>s14+t14+u14+w14</f>
      </c>
      <c r="Y14" t="n" s="3257">
        <v>0.0</v>
      </c>
      <c r="Z14" t="n" s="3258">
        <v>0.0</v>
      </c>
      <c r="AA14" t="n" s="3259">
        <v>0.0</v>
      </c>
      <c r="AB14" t="n" s="3260">
        <v>0.0</v>
      </c>
      <c r="AC14" t="n" s="3261">
        <v>0.0</v>
      </c>
      <c r="AD14" t="n" s="3262">
        <v>0.0</v>
      </c>
      <c r="AE14" s="3263">
        <f>y14+aa14+ac14</f>
      </c>
      <c r="AF14" s="3264">
        <f>z14+ab14+ad14</f>
      </c>
      <c r="AG14" t="n" s="3265">
        <v>86.0</v>
      </c>
      <c r="AH14" t="n" s="3266">
        <v>13.15</v>
      </c>
      <c r="AI14" t="n" s="3267">
        <v>1.5</v>
      </c>
      <c r="AJ14" s="3268">
        <f>x14+af14+ag14+ah14+ai14</f>
      </c>
      <c r="AK14" s="3269">
        <f>ROUND((l14+t14+af14+ag14+ah14+ai14+w14)*0.05,2)</f>
      </c>
      <c r="AL14" s="3270">
        <f>aj14+ak14</f>
      </c>
      <c r="AM14" s="3271">
        <f>190*0.06</f>
      </c>
      <c r="AN14" s="3272">
        <f>al14+am14</f>
      </c>
      <c r="AO14" t="s" s="3273">
        <v>0</v>
      </c>
    </row>
    <row r="15" ht="15.0" customHeight="true">
      <c r="L15" t="s" s="3274">
        <v>0</v>
      </c>
      <c r="M15" t="s" s="3275">
        <v>0</v>
      </c>
      <c r="N15" t="s" s="3276">
        <v>0</v>
      </c>
      <c r="O15" t="s" s="3277">
        <v>0</v>
      </c>
      <c r="P15" t="s" s="3278">
        <v>0</v>
      </c>
      <c r="Q15" t="s" s="3279">
        <v>0</v>
      </c>
      <c r="R15" t="s" s="3280">
        <v>0</v>
      </c>
      <c r="S15" t="s" s="3281">
        <v>0</v>
      </c>
      <c r="T15" t="s" s="3282">
        <v>0</v>
      </c>
      <c r="U15" t="s" s="3283">
        <v>0</v>
      </c>
      <c r="V15" t="s" s="3284">
        <v>0</v>
      </c>
      <c r="W15" t="s" s="3285">
        <v>0</v>
      </c>
      <c r="X15" t="s" s="3286">
        <v>0</v>
      </c>
      <c r="Y15" t="s" s="3287">
        <v>0</v>
      </c>
      <c r="Z15" t="s" s="3288">
        <v>0</v>
      </c>
      <c r="AA15" t="s" s="3289">
        <v>0</v>
      </c>
      <c r="AB15" t="s" s="3290">
        <v>0</v>
      </c>
      <c r="AC15" t="s" s="3291">
        <v>0</v>
      </c>
      <c r="AD15" t="s" s="3292">
        <v>0</v>
      </c>
      <c r="AE15" t="s" s="3293">
        <v>0</v>
      </c>
      <c r="AF15" t="s" s="3294">
        <v>0</v>
      </c>
      <c r="AG15" t="s" s="3295">
        <v>0</v>
      </c>
      <c r="AH15" t="s" s="3296">
        <v>0</v>
      </c>
      <c r="AI15" t="s" s="3297">
        <v>0</v>
      </c>
      <c r="AJ15" t="s" s="3298">
        <v>0</v>
      </c>
      <c r="AK15" t="s" s="3299">
        <v>0</v>
      </c>
      <c r="AL15" t="s" s="3300">
        <v>0</v>
      </c>
    </row>
    <row r="16" ht="15.0" customHeight="true"/>
    <row r="17" ht="15.0" customHeight="true">
      <c r="A17" t="s" s="3301">
        <v>0</v>
      </c>
      <c r="B17" t="s" s="3302">
        <v>264</v>
      </c>
      <c r="C17" s="3303">
        <f>COUNTA(A11:A14)</f>
      </c>
      <c r="L17" s="3304">
        <f>SUM(l11:l14)</f>
      </c>
      <c r="M17" s="3305">
        <f>SUM(m11:m14)</f>
      </c>
      <c r="N17" t="s" s="3306">
        <v>0</v>
      </c>
      <c r="O17" s="3307">
        <f>SUM(o11:o14)</f>
      </c>
      <c r="P17" s="3308">
        <f>SUM(p11:p14)</f>
      </c>
      <c r="Q17" t="s" s="3309">
        <v>0</v>
      </c>
      <c r="R17" s="3310">
        <f>SUM(r11:r14)</f>
      </c>
      <c r="S17" s="3311">
        <f>SUM(s11:s14)</f>
      </c>
      <c r="T17" s="3312">
        <f>SUM(t11:t14)</f>
      </c>
      <c r="U17" s="3313">
        <f>SUM(u11:u14)</f>
      </c>
      <c r="V17" s="3314">
        <f>SUM(v11:v14)</f>
      </c>
      <c r="W17" s="3315">
        <f>SUM(w11:w14)</f>
      </c>
      <c r="X17" s="3316">
        <f>SUM(x11:x14)</f>
      </c>
      <c r="Y17" s="3317">
        <f>SUM(y11:y14)</f>
      </c>
      <c r="Z17" s="3318">
        <f>SUM(z11:z14)</f>
      </c>
      <c r="AA17" s="3319">
        <f>SUM(aa11:aa14)</f>
      </c>
      <c r="AB17" s="3320">
        <f>SUM(ab11:ab14)</f>
      </c>
      <c r="AC17" s="3321">
        <f>SUM(ac11:ac14)</f>
      </c>
      <c r="AD17" s="3322">
        <f>SUM(ad11:ad14)</f>
      </c>
      <c r="AE17" s="3323">
        <f>SUM(ae11:ae14)</f>
      </c>
      <c r="AF17" s="3324">
        <f>SUM(af11:af14)</f>
      </c>
      <c r="AG17" s="3325">
        <f>SUM(ag11:ag14)</f>
      </c>
      <c r="AH17" s="3326">
        <f>SUM(ah11:ah14)</f>
      </c>
      <c r="AI17" s="3327">
        <f>SUM(ai11:ai14)</f>
      </c>
      <c r="AJ17" s="3328">
        <f>SUM(aj11:aj14)</f>
      </c>
      <c r="AK17" s="3329">
        <f>SUM(ak11:ak14)</f>
      </c>
      <c r="AL17" s="3330">
        <f>SUM(al11:al14)</f>
      </c>
      <c r="AM17" s="3331">
        <f>SUM(am11:am14)</f>
      </c>
      <c r="AN17" s="3332">
        <f>SUM(an11:an14)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333">
        <v>0</v>
      </c>
      <c r="B1" t="s" s="3334">
        <v>1</v>
      </c>
      <c r="Y1" t="s" s="3335">
        <v>6</v>
      </c>
      <c r="Z1" t="n" s="3336">
        <v>2020.0</v>
      </c>
    </row>
    <row r="2" ht="15.0" customHeight="true">
      <c r="A2" t="s" s="3337">
        <v>0</v>
      </c>
      <c r="B2" t="s" s="3338">
        <v>2</v>
      </c>
      <c r="Y2" t="s" s="3339">
        <v>7</v>
      </c>
      <c r="Z2" t="n" s="3340">
        <v>2020.0</v>
      </c>
    </row>
    <row r="3" ht="15.0" customHeight="true">
      <c r="A3" t="s" s="3341">
        <v>0</v>
      </c>
      <c r="B3" t="s" s="3342">
        <v>3</v>
      </c>
    </row>
    <row r="4" ht="15.0" customHeight="true">
      <c r="A4" t="s" s="3343">
        <v>0</v>
      </c>
      <c r="B4" t="s" s="3344">
        <v>4</v>
      </c>
    </row>
    <row r="5" ht="15.0" customHeight="true">
      <c r="A5" t="s" s="3345">
        <v>0</v>
      </c>
      <c r="B5" t="s" s="3346">
        <v>5</v>
      </c>
    </row>
    <row r="6" ht="15.0" customHeight="true"/>
    <row r="7" ht="15.0" customHeight="true"/>
    <row r="8" ht="28.0" customHeight="true">
      <c r="A8" t="s" s="3347">
        <v>0</v>
      </c>
      <c r="B8" t="s" s="3348">
        <v>0</v>
      </c>
      <c r="C8" t="s" s="3349">
        <v>0</v>
      </c>
      <c r="D8" t="s" s="3350">
        <v>0</v>
      </c>
      <c r="E8" t="s" s="3351">
        <v>0</v>
      </c>
      <c r="F8" t="s" s="3352">
        <v>0</v>
      </c>
      <c r="G8" t="s" s="3353">
        <v>0</v>
      </c>
      <c r="H8" t="s" s="3354">
        <v>0</v>
      </c>
      <c r="I8" t="s" s="3355">
        <v>0</v>
      </c>
      <c r="J8" t="s" s="3356">
        <v>0</v>
      </c>
      <c r="K8" t="s" s="3357">
        <v>0</v>
      </c>
      <c r="L8" t="s" s="3358">
        <v>0</v>
      </c>
      <c r="M8" t="s" s="3359">
        <v>0</v>
      </c>
      <c r="N8" t="s" s="3360">
        <v>0</v>
      </c>
      <c r="O8" t="s" s="3361">
        <v>0</v>
      </c>
      <c r="P8" t="s" s="3362">
        <v>0</v>
      </c>
      <c r="Q8" t="s" s="3363">
        <v>0</v>
      </c>
      <c r="R8" t="s" s="3364">
        <v>0</v>
      </c>
      <c r="S8" t="s" s="3365">
        <v>0</v>
      </c>
      <c r="T8" t="s" s="3366">
        <v>0</v>
      </c>
      <c r="U8" t="s" s="3367">
        <v>0</v>
      </c>
      <c r="V8" t="s" s="3368">
        <v>0</v>
      </c>
      <c r="W8" t="s" s="3369">
        <v>0</v>
      </c>
      <c r="X8" t="s" s="3370">
        <v>0</v>
      </c>
      <c r="Y8" t="s" s="3371">
        <v>0</v>
      </c>
      <c r="Z8" t="s" s="3372">
        <v>0</v>
      </c>
      <c r="AA8" t="s" s="3373">
        <v>0</v>
      </c>
      <c r="AB8" t="s" s="3374">
        <v>0</v>
      </c>
      <c r="AC8" t="s" s="3375">
        <v>8</v>
      </c>
      <c r="AD8" t="s" s="3376">
        <v>0</v>
      </c>
      <c r="AE8" t="s" s="3377">
        <v>0</v>
      </c>
      <c r="AF8" t="s" s="3378">
        <v>0</v>
      </c>
      <c r="AG8" t="s" s="3379">
        <v>0</v>
      </c>
      <c r="AH8" t="s" s="3380">
        <v>0</v>
      </c>
      <c r="AI8" t="s" s="3381">
        <v>0</v>
      </c>
      <c r="AJ8" t="s" s="3382">
        <v>0</v>
      </c>
      <c r="AK8" t="s" s="3383">
        <v>0</v>
      </c>
      <c r="AL8" t="s" s="3384">
        <v>0</v>
      </c>
      <c r="AM8" t="s" s="3385">
        <v>0</v>
      </c>
      <c r="AN8" t="s" s="3386">
        <v>0</v>
      </c>
      <c r="AO8" t="s" s="3387">
        <v>0</v>
      </c>
    </row>
    <row r="9" ht="41.0" customHeight="true">
      <c r="A9" t="s" s="3388">
        <v>9</v>
      </c>
      <c r="B9" t="s" s="3389">
        <v>10</v>
      </c>
      <c r="C9" t="s" s="3390">
        <v>11</v>
      </c>
      <c r="D9" t="s" s="3391">
        <v>12</v>
      </c>
      <c r="E9" t="s" s="3392">
        <v>13</v>
      </c>
      <c r="F9" t="s" s="3393">
        <v>14</v>
      </c>
      <c r="G9" t="s" s="3394">
        <v>15</v>
      </c>
      <c r="H9" t="s" s="3395">
        <v>16</v>
      </c>
      <c r="I9" t="s" s="3396">
        <v>17</v>
      </c>
      <c r="J9" t="s" s="3397">
        <v>18</v>
      </c>
      <c r="K9" t="s" s="3398">
        <v>19</v>
      </c>
      <c r="L9" t="s" s="3399">
        <v>20</v>
      </c>
      <c r="M9" t="s" s="3400">
        <v>21</v>
      </c>
      <c r="N9" t="s" s="3401">
        <v>22</v>
      </c>
      <c r="O9" t="s" s="3402">
        <v>23</v>
      </c>
      <c r="P9" t="s" s="3403">
        <v>24</v>
      </c>
      <c r="Q9" t="s" s="3404">
        <v>25</v>
      </c>
      <c r="R9" t="s" s="3405">
        <v>26</v>
      </c>
      <c r="S9" t="s" s="3406">
        <v>27</v>
      </c>
      <c r="T9" t="s" s="3407">
        <v>28</v>
      </c>
      <c r="U9" t="s" s="3408">
        <v>29</v>
      </c>
      <c r="V9" t="s" s="3409">
        <v>30</v>
      </c>
      <c r="W9" t="s" s="3410">
        <v>31</v>
      </c>
      <c r="X9" t="s" s="3411">
        <v>32</v>
      </c>
      <c r="Y9" t="s" s="3412">
        <v>33</v>
      </c>
      <c r="Z9" t="s" s="3413">
        <v>34</v>
      </c>
      <c r="AA9" t="s" s="3414">
        <v>35</v>
      </c>
      <c r="AB9" t="s" s="3415">
        <v>36</v>
      </c>
      <c r="AC9" t="s" s="3416">
        <v>37</v>
      </c>
      <c r="AD9" t="s" s="3417">
        <v>38</v>
      </c>
      <c r="AE9" t="s" s="3418">
        <v>39</v>
      </c>
      <c r="AF9" t="s" s="3419">
        <v>40</v>
      </c>
      <c r="AG9" t="s" s="3420">
        <v>41</v>
      </c>
      <c r="AH9" t="s" s="3421">
        <v>42</v>
      </c>
      <c r="AI9" t="s" s="3422">
        <v>43</v>
      </c>
      <c r="AJ9" t="s" s="3423">
        <v>44</v>
      </c>
      <c r="AK9" t="s" s="3424">
        <v>45</v>
      </c>
      <c r="AL9" t="s" s="3425">
        <v>46</v>
      </c>
      <c r="AM9" t="s" s="3426">
        <v>47</v>
      </c>
      <c r="AN9" t="s" s="3427">
        <v>48</v>
      </c>
      <c r="AO9" t="s" s="3428">
        <v>49</v>
      </c>
    </row>
    <row r="10" ht="15.0" customHeight="true">
      <c r="A10" t="s" s="3429">
        <v>0</v>
      </c>
      <c r="B10" t="s" s="3430">
        <v>0</v>
      </c>
      <c r="C10" t="s" s="3431">
        <v>0</v>
      </c>
      <c r="D10" t="s" s="3432">
        <v>0</v>
      </c>
      <c r="E10" t="s" s="3433">
        <v>0</v>
      </c>
      <c r="F10" t="s" s="3434">
        <v>0</v>
      </c>
      <c r="G10" t="s" s="3435">
        <v>0</v>
      </c>
      <c r="H10" t="s" s="3436">
        <v>0</v>
      </c>
      <c r="I10" t="s" s="3437">
        <v>0</v>
      </c>
      <c r="J10" t="s" s="3438">
        <v>0</v>
      </c>
      <c r="K10" t="s" s="3439">
        <v>0</v>
      </c>
      <c r="L10" t="s" s="3440">
        <v>0</v>
      </c>
      <c r="M10" t="s" s="3441">
        <v>0</v>
      </c>
      <c r="N10" t="s" s="3442">
        <v>0</v>
      </c>
      <c r="O10" t="s" s="3443">
        <v>0</v>
      </c>
      <c r="P10" t="s" s="3444">
        <v>0</v>
      </c>
      <c r="Q10" t="s" s="3445">
        <v>0</v>
      </c>
      <c r="R10" t="s" s="3446">
        <v>0</v>
      </c>
      <c r="S10" t="s" s="3447">
        <v>0</v>
      </c>
      <c r="T10" t="s" s="3448">
        <v>0</v>
      </c>
      <c r="U10" t="s" s="3449">
        <v>0</v>
      </c>
      <c r="V10" t="s" s="3450">
        <v>0</v>
      </c>
      <c r="W10" t="s" s="3451">
        <v>0</v>
      </c>
      <c r="X10" t="s" s="3452">
        <v>0</v>
      </c>
      <c r="Y10" t="n" s="3453">
        <v>1.5</v>
      </c>
      <c r="Z10" t="n" s="3454">
        <v>1.5</v>
      </c>
      <c r="AA10" t="n" s="3455">
        <v>2.0</v>
      </c>
      <c r="AB10" t="n" s="3456">
        <v>2.0</v>
      </c>
      <c r="AC10" t="n" s="3457">
        <v>3.0</v>
      </c>
      <c r="AD10" t="n" s="3458">
        <v>3.0</v>
      </c>
      <c r="AE10" t="s" s="3459">
        <v>50</v>
      </c>
      <c r="AF10" t="s" s="3460">
        <v>50</v>
      </c>
      <c r="AG10" t="s" s="3461">
        <v>0</v>
      </c>
      <c r="AH10" t="s" s="3462">
        <v>0</v>
      </c>
      <c r="AI10" t="s" s="3463">
        <v>0</v>
      </c>
      <c r="AJ10" t="s" s="3464">
        <v>0</v>
      </c>
      <c r="AK10" t="s" s="3465">
        <v>0</v>
      </c>
      <c r="AL10" t="s" s="3466">
        <v>0</v>
      </c>
      <c r="AM10" t="s" s="3467">
        <v>0</v>
      </c>
      <c r="AN10" t="s" s="3468">
        <v>0</v>
      </c>
      <c r="AO10" t="s" s="3469">
        <v>0</v>
      </c>
    </row>
    <row r="11" ht="15.0" customHeight="true">
      <c r="A11" t="s" s="3470">
        <v>75</v>
      </c>
      <c r="B11" t="s" s="3471">
        <v>76</v>
      </c>
      <c r="C11" t="s" s="3472">
        <v>77</v>
      </c>
      <c r="D11" t="s" s="3473">
        <v>78</v>
      </c>
      <c r="E11" t="s" s="3474">
        <v>55</v>
      </c>
      <c r="F11" t="s" s="3475">
        <v>79</v>
      </c>
      <c r="G11" t="s" s="3476">
        <v>80</v>
      </c>
      <c r="H11" t="s" s="3477">
        <v>81</v>
      </c>
      <c r="I11" t="n" s="3478">
        <v>43952.0</v>
      </c>
      <c r="J11" t="n" s="3479">
        <v>44104.0</v>
      </c>
      <c r="K11" t="s" s="3480">
        <v>0</v>
      </c>
      <c r="L11" t="n" s="3481">
        <v>0.0</v>
      </c>
      <c r="M11" t="n" s="3482">
        <v>0.0</v>
      </c>
      <c r="N11" t="n" s="3483">
        <v>0.0</v>
      </c>
      <c r="O11" s="3484">
        <f>M11*N11</f>
      </c>
      <c r="P11" t="n" s="3485">
        <v>0.0</v>
      </c>
      <c r="Q11" t="n" s="3486">
        <v>0.0</v>
      </c>
      <c r="R11" s="3487">
        <f>P11*Q11</f>
      </c>
      <c r="S11" t="n" s="3488">
        <v>0.0</v>
      </c>
      <c r="T11" t="n" s="3489">
        <v>0.0</v>
      </c>
      <c r="U11" t="n" s="3490">
        <v>0.0</v>
      </c>
      <c r="V11" s="3491">
        <f>L11+O11+R11</f>
      </c>
      <c r="W11" t="n" s="3492">
        <v>1800.0</v>
      </c>
      <c r="X11" s="3493">
        <f>s11+t11+u11+w11</f>
      </c>
      <c r="Y11" t="n" s="3494">
        <v>0.0</v>
      </c>
      <c r="Z11" t="n" s="3495">
        <v>0.0</v>
      </c>
      <c r="AA11" t="n" s="3496">
        <v>0.0</v>
      </c>
      <c r="AB11" t="n" s="3497">
        <v>0.0</v>
      </c>
      <c r="AC11" t="n" s="3498">
        <v>0.0</v>
      </c>
      <c r="AD11" t="n" s="3499">
        <v>0.0</v>
      </c>
      <c r="AE11" s="3500">
        <f>y11+aa11+ac11</f>
      </c>
      <c r="AF11" s="3501">
        <f>z11+ab11+ad11</f>
      </c>
      <c r="AG11" t="n" s="3502">
        <v>253.0</v>
      </c>
      <c r="AH11" t="n" s="3503">
        <v>35.85</v>
      </c>
      <c r="AI11" t="n" s="3504">
        <v>4.1</v>
      </c>
      <c r="AJ11" s="3505">
        <f>x11+af11+ag11+ah11+ai11</f>
      </c>
      <c r="AK11" s="3506">
        <f>ROUND((l11+t11+af11+ag11+ah11+ai11+w11)*0.05,2)</f>
      </c>
      <c r="AL11" s="3507">
        <f>aj11+ak11</f>
      </c>
      <c r="AM11" s="3508">
        <f>180*0.06</f>
      </c>
      <c r="AN11" s="3509">
        <f>al11+am11</f>
      </c>
      <c r="AO11" t="s" s="3510">
        <v>0</v>
      </c>
    </row>
    <row r="12" ht="15.0" customHeight="true">
      <c r="A12" t="s" s="3511">
        <v>82</v>
      </c>
      <c r="B12" t="s" s="3512">
        <v>83</v>
      </c>
      <c r="C12" t="s" s="3513">
        <v>84</v>
      </c>
      <c r="D12" t="s" s="3514">
        <v>85</v>
      </c>
      <c r="E12" t="s" s="3515">
        <v>55</v>
      </c>
      <c r="F12" t="s" s="3516">
        <v>86</v>
      </c>
      <c r="G12" t="s" s="3517">
        <v>80</v>
      </c>
      <c r="H12" t="s" s="3518">
        <v>81</v>
      </c>
      <c r="I12" t="n" s="3519">
        <v>43952.0</v>
      </c>
      <c r="J12" t="n" s="3520">
        <v>44104.0</v>
      </c>
      <c r="K12" t="s" s="3521">
        <v>0</v>
      </c>
      <c r="L12" t="n" s="3522">
        <v>0.0</v>
      </c>
      <c r="M12" t="n" s="3523">
        <v>0.0</v>
      </c>
      <c r="N12" t="n" s="3524">
        <v>0.0</v>
      </c>
      <c r="O12" s="3525">
        <f>M12*N12</f>
      </c>
      <c r="P12" t="n" s="3526">
        <v>0.0</v>
      </c>
      <c r="Q12" t="n" s="3527">
        <v>0.0</v>
      </c>
      <c r="R12" s="3528">
        <f>P12*Q12</f>
      </c>
      <c r="S12" t="n" s="3529">
        <v>0.0</v>
      </c>
      <c r="T12" t="n" s="3530">
        <v>0.0</v>
      </c>
      <c r="U12" t="n" s="3531">
        <v>0.0</v>
      </c>
      <c r="V12" s="3532">
        <f>L12+O12+R12</f>
      </c>
      <c r="W12" t="n" s="3533">
        <v>1800.0</v>
      </c>
      <c r="X12" s="3534">
        <f>s12+t12+u12+w12</f>
      </c>
      <c r="Y12" t="n" s="3535">
        <v>0.0</v>
      </c>
      <c r="Z12" t="n" s="3536">
        <v>0.0</v>
      </c>
      <c r="AA12" t="n" s="3537">
        <v>0.0</v>
      </c>
      <c r="AB12" t="n" s="3538">
        <v>0.0</v>
      </c>
      <c r="AC12" t="n" s="3539">
        <v>0.0</v>
      </c>
      <c r="AD12" t="n" s="3540">
        <v>0.0</v>
      </c>
      <c r="AE12" s="3541">
        <f>y12+aa12+ac12</f>
      </c>
      <c r="AF12" s="3542">
        <f>z12+ab12+ad12</f>
      </c>
      <c r="AG12" t="n" s="3543">
        <v>234.0</v>
      </c>
      <c r="AH12" t="n" s="3544">
        <v>32.35</v>
      </c>
      <c r="AI12" t="n" s="3545">
        <v>3.7</v>
      </c>
      <c r="AJ12" s="3546">
        <f>x12+af12+ag12+ah12+ai12</f>
      </c>
      <c r="AK12" s="3547">
        <f>ROUND((l12+t12+af12+ag12+ah12+ai12+w12)*0.05,2)</f>
      </c>
      <c r="AL12" s="3548">
        <f>aj12+ak12</f>
      </c>
      <c r="AM12" s="3549">
        <f>180*0.06</f>
      </c>
      <c r="AN12" s="3550">
        <f>al12+am12</f>
      </c>
      <c r="AO12" t="s" s="3551">
        <v>0</v>
      </c>
    </row>
    <row r="13" ht="15.0" customHeight="true">
      <c r="L13" t="s" s="3552">
        <v>0</v>
      </c>
      <c r="M13" t="s" s="3553">
        <v>0</v>
      </c>
      <c r="N13" t="s" s="3554">
        <v>0</v>
      </c>
      <c r="O13" t="s" s="3555">
        <v>0</v>
      </c>
      <c r="P13" t="s" s="3556">
        <v>0</v>
      </c>
      <c r="Q13" t="s" s="3557">
        <v>0</v>
      </c>
      <c r="R13" t="s" s="3558">
        <v>0</v>
      </c>
      <c r="S13" t="s" s="3559">
        <v>0</v>
      </c>
      <c r="T13" t="s" s="3560">
        <v>0</v>
      </c>
      <c r="U13" t="s" s="3561">
        <v>0</v>
      </c>
      <c r="V13" t="s" s="3562">
        <v>0</v>
      </c>
      <c r="W13" t="s" s="3563">
        <v>0</v>
      </c>
      <c r="X13" t="s" s="3564">
        <v>0</v>
      </c>
      <c r="Y13" t="s" s="3565">
        <v>0</v>
      </c>
      <c r="Z13" t="s" s="3566">
        <v>0</v>
      </c>
      <c r="AA13" t="s" s="3567">
        <v>0</v>
      </c>
      <c r="AB13" t="s" s="3568">
        <v>0</v>
      </c>
      <c r="AC13" t="s" s="3569">
        <v>0</v>
      </c>
      <c r="AD13" t="s" s="3570">
        <v>0</v>
      </c>
      <c r="AE13" t="s" s="3571">
        <v>0</v>
      </c>
      <c r="AF13" t="s" s="3572">
        <v>0</v>
      </c>
      <c r="AG13" t="s" s="3573">
        <v>0</v>
      </c>
      <c r="AH13" t="s" s="3574">
        <v>0</v>
      </c>
      <c r="AI13" t="s" s="3575">
        <v>0</v>
      </c>
      <c r="AJ13" t="s" s="3576">
        <v>0</v>
      </c>
      <c r="AK13" t="s" s="3577">
        <v>0</v>
      </c>
      <c r="AL13" t="s" s="3578">
        <v>0</v>
      </c>
    </row>
    <row r="14" ht="15.0" customHeight="true"/>
    <row r="15" ht="15.0" customHeight="true">
      <c r="A15" t="s" s="3579">
        <v>0</v>
      </c>
      <c r="B15" t="s" s="3580">
        <v>264</v>
      </c>
      <c r="C15" s="3581">
        <f>COUNTA(A11:A12)</f>
      </c>
      <c r="L15" s="3582">
        <f>SUM(l11:l12)</f>
      </c>
      <c r="M15" s="3583">
        <f>SUM(m11:m12)</f>
      </c>
      <c r="N15" t="s" s="3584">
        <v>0</v>
      </c>
      <c r="O15" s="3585">
        <f>SUM(o11:o12)</f>
      </c>
      <c r="P15" s="3586">
        <f>SUM(p11:p12)</f>
      </c>
      <c r="Q15" t="s" s="3587">
        <v>0</v>
      </c>
      <c r="R15" s="3588">
        <f>SUM(r11:r12)</f>
      </c>
      <c r="S15" s="3589">
        <f>SUM(s11:s12)</f>
      </c>
      <c r="T15" s="3590">
        <f>SUM(t11:t12)</f>
      </c>
      <c r="U15" s="3591">
        <f>SUM(u11:u12)</f>
      </c>
      <c r="V15" s="3592">
        <f>SUM(v11:v12)</f>
      </c>
      <c r="W15" s="3593">
        <f>SUM(w11:w12)</f>
      </c>
      <c r="X15" s="3594">
        <f>SUM(x11:x12)</f>
      </c>
      <c r="Y15" s="3595">
        <f>SUM(y11:y12)</f>
      </c>
      <c r="Z15" s="3596">
        <f>SUM(z11:z12)</f>
      </c>
      <c r="AA15" s="3597">
        <f>SUM(aa11:aa12)</f>
      </c>
      <c r="AB15" s="3598">
        <f>SUM(ab11:ab12)</f>
      </c>
      <c r="AC15" s="3599">
        <f>SUM(ac11:ac12)</f>
      </c>
      <c r="AD15" s="3600">
        <f>SUM(ad11:ad12)</f>
      </c>
      <c r="AE15" s="3601">
        <f>SUM(ae11:ae12)</f>
      </c>
      <c r="AF15" s="3602">
        <f>SUM(af11:af12)</f>
      </c>
      <c r="AG15" s="3603">
        <f>SUM(ag11:ag12)</f>
      </c>
      <c r="AH15" s="3604">
        <f>SUM(ah11:ah12)</f>
      </c>
      <c r="AI15" s="3605">
        <f>SUM(ai11:ai12)</f>
      </c>
      <c r="AJ15" s="3606">
        <f>SUM(aj11:aj12)</f>
      </c>
      <c r="AK15" s="3607">
        <f>SUM(ak11:ak12)</f>
      </c>
      <c r="AL15" s="3608">
        <f>SUM(al11:al12)</f>
      </c>
      <c r="AM15" s="3609">
        <f>SUM(am11:am12)</f>
      </c>
      <c r="AN15" s="3610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611">
        <v>0</v>
      </c>
      <c r="B1" t="s" s="3612">
        <v>1</v>
      </c>
      <c r="Y1" t="s" s="3613">
        <v>6</v>
      </c>
      <c r="Z1" t="n" s="3614">
        <v>2020.0</v>
      </c>
    </row>
    <row r="2" ht="15.0" customHeight="true">
      <c r="A2" t="s" s="3615">
        <v>0</v>
      </c>
      <c r="B2" t="s" s="3616">
        <v>2</v>
      </c>
      <c r="Y2" t="s" s="3617">
        <v>7</v>
      </c>
      <c r="Z2" t="n" s="3618">
        <v>2020.0</v>
      </c>
    </row>
    <row r="3" ht="15.0" customHeight="true">
      <c r="A3" t="s" s="3619">
        <v>0</v>
      </c>
      <c r="B3" t="s" s="3620">
        <v>3</v>
      </c>
    </row>
    <row r="4" ht="15.0" customHeight="true">
      <c r="A4" t="s" s="3621">
        <v>0</v>
      </c>
      <c r="B4" t="s" s="3622">
        <v>4</v>
      </c>
    </row>
    <row r="5" ht="15.0" customHeight="true">
      <c r="A5" t="s" s="3623">
        <v>0</v>
      </c>
      <c r="B5" t="s" s="3624">
        <v>5</v>
      </c>
    </row>
    <row r="6" ht="15.0" customHeight="true"/>
    <row r="7" ht="15.0" customHeight="true"/>
    <row r="8" ht="28.0" customHeight="true">
      <c r="A8" t="s" s="3625">
        <v>0</v>
      </c>
      <c r="B8" t="s" s="3626">
        <v>0</v>
      </c>
      <c r="C8" t="s" s="3627">
        <v>0</v>
      </c>
      <c r="D8" t="s" s="3628">
        <v>0</v>
      </c>
      <c r="E8" t="s" s="3629">
        <v>0</v>
      </c>
      <c r="F8" t="s" s="3630">
        <v>0</v>
      </c>
      <c r="G8" t="s" s="3631">
        <v>0</v>
      </c>
      <c r="H8" t="s" s="3632">
        <v>0</v>
      </c>
      <c r="I8" t="s" s="3633">
        <v>0</v>
      </c>
      <c r="J8" t="s" s="3634">
        <v>0</v>
      </c>
      <c r="K8" t="s" s="3635">
        <v>0</v>
      </c>
      <c r="L8" t="s" s="3636">
        <v>0</v>
      </c>
      <c r="M8" t="s" s="3637">
        <v>0</v>
      </c>
      <c r="N8" t="s" s="3638">
        <v>0</v>
      </c>
      <c r="O8" t="s" s="3639">
        <v>0</v>
      </c>
      <c r="P8" t="s" s="3640">
        <v>0</v>
      </c>
      <c r="Q8" t="s" s="3641">
        <v>0</v>
      </c>
      <c r="R8" t="s" s="3642">
        <v>0</v>
      </c>
      <c r="S8" t="s" s="3643">
        <v>0</v>
      </c>
      <c r="T8" t="s" s="3644">
        <v>0</v>
      </c>
      <c r="U8" t="s" s="3645">
        <v>0</v>
      </c>
      <c r="V8" t="s" s="3646">
        <v>0</v>
      </c>
      <c r="W8" t="s" s="3647">
        <v>0</v>
      </c>
      <c r="X8" t="s" s="3648">
        <v>0</v>
      </c>
      <c r="Y8" t="s" s="3649">
        <v>0</v>
      </c>
      <c r="Z8" t="s" s="3650">
        <v>0</v>
      </c>
      <c r="AA8" t="s" s="3651">
        <v>0</v>
      </c>
      <c r="AB8" t="s" s="3652">
        <v>0</v>
      </c>
      <c r="AC8" t="s" s="3653">
        <v>8</v>
      </c>
      <c r="AD8" t="s" s="3654">
        <v>0</v>
      </c>
      <c r="AE8" t="s" s="3655">
        <v>0</v>
      </c>
      <c r="AF8" t="s" s="3656">
        <v>0</v>
      </c>
      <c r="AG8" t="s" s="3657">
        <v>0</v>
      </c>
      <c r="AH8" t="s" s="3658">
        <v>0</v>
      </c>
      <c r="AI8" t="s" s="3659">
        <v>0</v>
      </c>
      <c r="AJ8" t="s" s="3660">
        <v>0</v>
      </c>
      <c r="AK8" t="s" s="3661">
        <v>0</v>
      </c>
      <c r="AL8" t="s" s="3662">
        <v>0</v>
      </c>
      <c r="AM8" t="s" s="3663">
        <v>0</v>
      </c>
      <c r="AN8" t="s" s="3664">
        <v>0</v>
      </c>
      <c r="AO8" t="s" s="3665">
        <v>0</v>
      </c>
    </row>
    <row r="9" ht="41.0" customHeight="true">
      <c r="A9" t="s" s="3666">
        <v>9</v>
      </c>
      <c r="B9" t="s" s="3667">
        <v>10</v>
      </c>
      <c r="C9" t="s" s="3668">
        <v>11</v>
      </c>
      <c r="D9" t="s" s="3669">
        <v>12</v>
      </c>
      <c r="E9" t="s" s="3670">
        <v>13</v>
      </c>
      <c r="F9" t="s" s="3671">
        <v>14</v>
      </c>
      <c r="G9" t="s" s="3672">
        <v>15</v>
      </c>
      <c r="H9" t="s" s="3673">
        <v>16</v>
      </c>
      <c r="I9" t="s" s="3674">
        <v>17</v>
      </c>
      <c r="J9" t="s" s="3675">
        <v>18</v>
      </c>
      <c r="K9" t="s" s="3676">
        <v>19</v>
      </c>
      <c r="L9" t="s" s="3677">
        <v>20</v>
      </c>
      <c r="M9" t="s" s="3678">
        <v>21</v>
      </c>
      <c r="N9" t="s" s="3679">
        <v>22</v>
      </c>
      <c r="O9" t="s" s="3680">
        <v>23</v>
      </c>
      <c r="P9" t="s" s="3681">
        <v>24</v>
      </c>
      <c r="Q9" t="s" s="3682">
        <v>25</v>
      </c>
      <c r="R9" t="s" s="3683">
        <v>26</v>
      </c>
      <c r="S9" t="s" s="3684">
        <v>27</v>
      </c>
      <c r="T9" t="s" s="3685">
        <v>28</v>
      </c>
      <c r="U9" t="s" s="3686">
        <v>29</v>
      </c>
      <c r="V9" t="s" s="3687">
        <v>30</v>
      </c>
      <c r="W9" t="s" s="3688">
        <v>31</v>
      </c>
      <c r="X9" t="s" s="3689">
        <v>32</v>
      </c>
      <c r="Y9" t="s" s="3690">
        <v>33</v>
      </c>
      <c r="Z9" t="s" s="3691">
        <v>34</v>
      </c>
      <c r="AA9" t="s" s="3692">
        <v>35</v>
      </c>
      <c r="AB9" t="s" s="3693">
        <v>36</v>
      </c>
      <c r="AC9" t="s" s="3694">
        <v>37</v>
      </c>
      <c r="AD9" t="s" s="3695">
        <v>38</v>
      </c>
      <c r="AE9" t="s" s="3696">
        <v>39</v>
      </c>
      <c r="AF9" t="s" s="3697">
        <v>40</v>
      </c>
      <c r="AG9" t="s" s="3698">
        <v>41</v>
      </c>
      <c r="AH9" t="s" s="3699">
        <v>42</v>
      </c>
      <c r="AI9" t="s" s="3700">
        <v>43</v>
      </c>
      <c r="AJ9" t="s" s="3701">
        <v>44</v>
      </c>
      <c r="AK9" t="s" s="3702">
        <v>45</v>
      </c>
      <c r="AL9" t="s" s="3703">
        <v>46</v>
      </c>
      <c r="AM9" t="s" s="3704">
        <v>47</v>
      </c>
      <c r="AN9" t="s" s="3705">
        <v>48</v>
      </c>
      <c r="AO9" t="s" s="3706">
        <v>49</v>
      </c>
    </row>
    <row r="10" ht="15.0" customHeight="true">
      <c r="A10" t="s" s="3707">
        <v>0</v>
      </c>
      <c r="B10" t="s" s="3708">
        <v>0</v>
      </c>
      <c r="C10" t="s" s="3709">
        <v>0</v>
      </c>
      <c r="D10" t="s" s="3710">
        <v>0</v>
      </c>
      <c r="E10" t="s" s="3711">
        <v>0</v>
      </c>
      <c r="F10" t="s" s="3712">
        <v>0</v>
      </c>
      <c r="G10" t="s" s="3713">
        <v>0</v>
      </c>
      <c r="H10" t="s" s="3714">
        <v>0</v>
      </c>
      <c r="I10" t="s" s="3715">
        <v>0</v>
      </c>
      <c r="J10" t="s" s="3716">
        <v>0</v>
      </c>
      <c r="K10" t="s" s="3717">
        <v>0</v>
      </c>
      <c r="L10" t="s" s="3718">
        <v>0</v>
      </c>
      <c r="M10" t="s" s="3719">
        <v>0</v>
      </c>
      <c r="N10" t="s" s="3720">
        <v>0</v>
      </c>
      <c r="O10" t="s" s="3721">
        <v>0</v>
      </c>
      <c r="P10" t="s" s="3722">
        <v>0</v>
      </c>
      <c r="Q10" t="s" s="3723">
        <v>0</v>
      </c>
      <c r="R10" t="s" s="3724">
        <v>0</v>
      </c>
      <c r="S10" t="s" s="3725">
        <v>0</v>
      </c>
      <c r="T10" t="s" s="3726">
        <v>0</v>
      </c>
      <c r="U10" t="s" s="3727">
        <v>0</v>
      </c>
      <c r="V10" t="s" s="3728">
        <v>0</v>
      </c>
      <c r="W10" t="s" s="3729">
        <v>0</v>
      </c>
      <c r="X10" t="s" s="3730">
        <v>0</v>
      </c>
      <c r="Y10" t="n" s="3731">
        <v>1.5</v>
      </c>
      <c r="Z10" t="n" s="3732">
        <v>1.5</v>
      </c>
      <c r="AA10" t="n" s="3733">
        <v>2.0</v>
      </c>
      <c r="AB10" t="n" s="3734">
        <v>2.0</v>
      </c>
      <c r="AC10" t="n" s="3735">
        <v>3.0</v>
      </c>
      <c r="AD10" t="n" s="3736">
        <v>3.0</v>
      </c>
      <c r="AE10" t="s" s="3737">
        <v>50</v>
      </c>
      <c r="AF10" t="s" s="3738">
        <v>50</v>
      </c>
      <c r="AG10" t="s" s="3739">
        <v>0</v>
      </c>
      <c r="AH10" t="s" s="3740">
        <v>0</v>
      </c>
      <c r="AI10" t="s" s="3741">
        <v>0</v>
      </c>
      <c r="AJ10" t="s" s="3742">
        <v>0</v>
      </c>
      <c r="AK10" t="s" s="3743">
        <v>0</v>
      </c>
      <c r="AL10" t="s" s="3744">
        <v>0</v>
      </c>
      <c r="AM10" t="s" s="3745">
        <v>0</v>
      </c>
      <c r="AN10" t="s" s="3746">
        <v>0</v>
      </c>
      <c r="AO10" t="s" s="3747">
        <v>0</v>
      </c>
    </row>
    <row r="11" ht="15.0" customHeight="true">
      <c r="A11" t="s" s="3748">
        <v>87</v>
      </c>
      <c r="B11" t="s" s="3749">
        <v>88</v>
      </c>
      <c r="C11" t="s" s="3750">
        <v>89</v>
      </c>
      <c r="D11" t="s" s="3751">
        <v>90</v>
      </c>
      <c r="E11" t="s" s="3752">
        <v>63</v>
      </c>
      <c r="F11" t="s" s="3753">
        <v>91</v>
      </c>
      <c r="G11" t="s" s="3754">
        <v>92</v>
      </c>
      <c r="H11" t="s" s="3755">
        <v>93</v>
      </c>
      <c r="I11" t="n" s="3756">
        <v>43952.0</v>
      </c>
      <c r="J11" t="n" s="3757">
        <v>44104.0</v>
      </c>
      <c r="K11" t="s" s="3758">
        <v>0</v>
      </c>
      <c r="L11" t="n" s="3759">
        <v>0.0</v>
      </c>
      <c r="M11" t="n" s="3760">
        <v>0.0</v>
      </c>
      <c r="N11" t="n" s="3761">
        <v>0.0</v>
      </c>
      <c r="O11" s="3762">
        <f>M11*N11</f>
      </c>
      <c r="P11" t="n" s="3763">
        <v>0.0</v>
      </c>
      <c r="Q11" t="n" s="3764">
        <v>0.0</v>
      </c>
      <c r="R11" s="3765">
        <f>P11*Q11</f>
      </c>
      <c r="S11" t="n" s="3766">
        <v>0.0</v>
      </c>
      <c r="T11" t="n" s="3767">
        <v>0.0</v>
      </c>
      <c r="U11" t="n" s="3768">
        <v>0.0</v>
      </c>
      <c r="V11" s="3769">
        <f>L11+O11+R11</f>
      </c>
      <c r="W11" t="n" s="3770">
        <v>1150.0</v>
      </c>
      <c r="X11" s="3771">
        <f>s11+t11+u11+w11</f>
      </c>
      <c r="Y11" t="n" s="3772">
        <v>0.0</v>
      </c>
      <c r="Z11" t="n" s="3773">
        <v>0.0</v>
      </c>
      <c r="AA11" t="n" s="3774">
        <v>8.0</v>
      </c>
      <c r="AB11" t="n" s="3775">
        <v>114.64</v>
      </c>
      <c r="AC11" t="n" s="3776">
        <v>0.0</v>
      </c>
      <c r="AD11" t="n" s="3777">
        <v>0.0</v>
      </c>
      <c r="AE11" s="3778">
        <f>y11+aa11+ac11</f>
      </c>
      <c r="AF11" s="3779">
        <f>z11+ab11+ad11</f>
      </c>
      <c r="AG11" t="n" s="3780">
        <v>193.0</v>
      </c>
      <c r="AH11" t="n" s="3781">
        <v>27.15</v>
      </c>
      <c r="AI11" t="n" s="3782">
        <v>3.1</v>
      </c>
      <c r="AJ11" s="3783">
        <f>x11+af11+ag11+ah11+ai11</f>
      </c>
      <c r="AK11" s="3784">
        <f>ROUND((l11+t11+af11+ag11+ah11+ai11+w11)*0.05,2)</f>
      </c>
      <c r="AL11" s="3785">
        <f>aj11+ak11</f>
      </c>
      <c r="AM11" s="3786">
        <f>180*0.06</f>
      </c>
      <c r="AN11" s="3787">
        <f>al11+am11</f>
      </c>
      <c r="AO11" t="s" s="3788">
        <v>0</v>
      </c>
    </row>
    <row r="12" ht="15.0" customHeight="true">
      <c r="A12" t="s" s="3789">
        <v>94</v>
      </c>
      <c r="B12" t="s" s="3790">
        <v>95</v>
      </c>
      <c r="C12" t="s" s="3791">
        <v>96</v>
      </c>
      <c r="D12" t="s" s="3792">
        <v>97</v>
      </c>
      <c r="E12" t="s" s="3793">
        <v>55</v>
      </c>
      <c r="F12" t="s" s="3794">
        <v>98</v>
      </c>
      <c r="G12" t="s" s="3795">
        <v>92</v>
      </c>
      <c r="H12" t="s" s="3796">
        <v>93</v>
      </c>
      <c r="I12" t="n" s="3797">
        <v>43952.0</v>
      </c>
      <c r="J12" t="n" s="3798">
        <v>44104.0</v>
      </c>
      <c r="K12" t="s" s="3799">
        <v>0</v>
      </c>
      <c r="L12" t="n" s="3800">
        <v>0.0</v>
      </c>
      <c r="M12" t="n" s="3801">
        <v>0.0</v>
      </c>
      <c r="N12" t="n" s="3802">
        <v>0.0</v>
      </c>
      <c r="O12" s="3803">
        <f>M12*N12</f>
      </c>
      <c r="P12" t="n" s="3804">
        <v>0.0</v>
      </c>
      <c r="Q12" t="n" s="3805">
        <v>0.0</v>
      </c>
      <c r="R12" s="3806">
        <f>P12*Q12</f>
      </c>
      <c r="S12" t="n" s="3807">
        <v>0.0</v>
      </c>
      <c r="T12" t="n" s="3808">
        <v>0.0</v>
      </c>
      <c r="U12" t="n" s="3809">
        <v>31.4</v>
      </c>
      <c r="V12" s="3810">
        <f>L12+O12+R12</f>
      </c>
      <c r="W12" t="n" s="3811">
        <v>2550.0</v>
      </c>
      <c r="X12" s="3812">
        <f>s12+t12+u12+w12</f>
      </c>
      <c r="Y12" t="n" s="3813">
        <v>0.0</v>
      </c>
      <c r="Z12" t="n" s="3814">
        <v>0.0</v>
      </c>
      <c r="AA12" t="n" s="3815">
        <v>8.0</v>
      </c>
      <c r="AB12" t="n" s="3816">
        <v>112.32</v>
      </c>
      <c r="AC12" t="n" s="3817">
        <v>0.0</v>
      </c>
      <c r="AD12" t="n" s="3818">
        <v>0.0</v>
      </c>
      <c r="AE12" s="3819">
        <f>y12+aa12+ac12</f>
      </c>
      <c r="AF12" s="3820">
        <f>z12+ab12+ad12</f>
      </c>
      <c r="AG12" t="n" s="3821">
        <v>362.0</v>
      </c>
      <c r="AH12" t="n" s="3822">
        <v>49.85</v>
      </c>
      <c r="AI12" t="n" s="3823">
        <v>5.7</v>
      </c>
      <c r="AJ12" s="3824">
        <f>x12+af12+ag12+ah12+ai12</f>
      </c>
      <c r="AK12" s="3825">
        <f>ROUND((l12+t12+af12+ag12+ah12+ai12+w12)*0.05,2)</f>
      </c>
      <c r="AL12" s="3826">
        <f>aj12+ak12</f>
      </c>
      <c r="AM12" s="3827">
        <f>211.4*0.06</f>
      </c>
      <c r="AN12" s="3828">
        <f>al12+am12</f>
      </c>
      <c r="AO12" t="s" s="3829">
        <v>0</v>
      </c>
    </row>
    <row r="13" ht="15.0" customHeight="true">
      <c r="A13" t="s" s="3830">
        <v>99</v>
      </c>
      <c r="B13" t="s" s="3831">
        <v>100</v>
      </c>
      <c r="C13" t="s" s="3832">
        <v>101</v>
      </c>
      <c r="D13" t="s" s="3833">
        <v>102</v>
      </c>
      <c r="E13" t="s" s="3834">
        <v>55</v>
      </c>
      <c r="F13" t="s" s="3835">
        <v>103</v>
      </c>
      <c r="G13" t="s" s="3836">
        <v>92</v>
      </c>
      <c r="H13" t="s" s="3837">
        <v>93</v>
      </c>
      <c r="I13" t="n" s="3838">
        <v>43952.0</v>
      </c>
      <c r="J13" t="n" s="3839">
        <v>44104.0</v>
      </c>
      <c r="K13" t="s" s="3840">
        <v>0</v>
      </c>
      <c r="L13" t="n" s="3841">
        <v>0.0</v>
      </c>
      <c r="M13" t="n" s="3842">
        <v>0.0</v>
      </c>
      <c r="N13" t="n" s="3843">
        <v>0.0</v>
      </c>
      <c r="O13" s="3844">
        <f>M13*N13</f>
      </c>
      <c r="P13" t="n" s="3845">
        <v>0.0</v>
      </c>
      <c r="Q13" t="n" s="3846">
        <v>0.0</v>
      </c>
      <c r="R13" s="3847">
        <f>P13*Q13</f>
      </c>
      <c r="S13" t="n" s="3848">
        <v>0.0</v>
      </c>
      <c r="T13" t="n" s="3849">
        <v>0.0</v>
      </c>
      <c r="U13" t="n" s="3850">
        <v>39.6</v>
      </c>
      <c r="V13" s="3851">
        <f>L13+O13+R13</f>
      </c>
      <c r="W13" t="n" s="3852">
        <v>254.0</v>
      </c>
      <c r="X13" s="3853">
        <f>s13+t13+u13+w13</f>
      </c>
      <c r="Y13" t="n" s="3854">
        <v>0.0</v>
      </c>
      <c r="Z13" t="n" s="3855">
        <v>0.0</v>
      </c>
      <c r="AA13" t="n" s="3856">
        <v>8.0</v>
      </c>
      <c r="AB13" t="n" s="3857">
        <v>109.2</v>
      </c>
      <c r="AC13" t="n" s="3858">
        <v>0.0</v>
      </c>
      <c r="AD13" t="n" s="3859">
        <v>0.0</v>
      </c>
      <c r="AE13" s="3860">
        <f>y13+aa13+ac13</f>
      </c>
      <c r="AF13" s="3861">
        <f>z13+ab13+ad13</f>
      </c>
      <c r="AG13" t="n" s="3862">
        <v>34.0</v>
      </c>
      <c r="AH13" t="n" s="3863">
        <v>6.15</v>
      </c>
      <c r="AI13" t="n" s="3864">
        <v>0.7</v>
      </c>
      <c r="AJ13" s="3865">
        <f>x13+af13+ag13+ah13+ai13</f>
      </c>
      <c r="AK13" s="3866">
        <f>ROUND((l13+t13+af13+ag13+ah13+ai13+w13)*0.05,2)</f>
      </c>
      <c r="AL13" s="3867">
        <f>aj13+ak13</f>
      </c>
      <c r="AM13" s="3868">
        <f>219.6*0.06</f>
      </c>
      <c r="AN13" s="3869">
        <f>al13+am13</f>
      </c>
      <c r="AO13" t="s" s="3870">
        <v>0</v>
      </c>
    </row>
    <row r="14" ht="15.0" customHeight="true">
      <c r="A14" t="s" s="3871">
        <v>104</v>
      </c>
      <c r="B14" t="s" s="3872">
        <v>105</v>
      </c>
      <c r="C14" t="s" s="3873">
        <v>106</v>
      </c>
      <c r="D14" t="s" s="3874">
        <v>107</v>
      </c>
      <c r="E14" t="s" s="3875">
        <v>55</v>
      </c>
      <c r="F14" t="s" s="3876">
        <v>108</v>
      </c>
      <c r="G14" t="s" s="3877">
        <v>92</v>
      </c>
      <c r="H14" t="s" s="3878">
        <v>93</v>
      </c>
      <c r="I14" t="n" s="3879">
        <v>43952.0</v>
      </c>
      <c r="J14" t="n" s="3880">
        <v>44104.0</v>
      </c>
      <c r="K14" t="s" s="3881">
        <v>0</v>
      </c>
      <c r="L14" t="n" s="3882">
        <v>0.0</v>
      </c>
      <c r="M14" t="n" s="3883">
        <v>0.0</v>
      </c>
      <c r="N14" t="n" s="3884">
        <v>0.0</v>
      </c>
      <c r="O14" s="3885">
        <f>M14*N14</f>
      </c>
      <c r="P14" t="n" s="3886">
        <v>0.0</v>
      </c>
      <c r="Q14" t="n" s="3887">
        <v>0.0</v>
      </c>
      <c r="R14" s="3888">
        <f>P14*Q14</f>
      </c>
      <c r="S14" t="n" s="3889">
        <v>0.0</v>
      </c>
      <c r="T14" t="n" s="3890">
        <v>0.0</v>
      </c>
      <c r="U14" t="n" s="3891">
        <v>0.0</v>
      </c>
      <c r="V14" s="3892">
        <f>L14+O14+R14</f>
      </c>
      <c r="W14" t="n" s="3893">
        <v>0.0</v>
      </c>
      <c r="X14" s="3894">
        <f>s14+t14+u14+w14</f>
      </c>
      <c r="Y14" t="n" s="3895">
        <v>0.0</v>
      </c>
      <c r="Z14" t="n" s="3896">
        <v>0.0</v>
      </c>
      <c r="AA14" t="n" s="3897">
        <v>8.0</v>
      </c>
      <c r="AB14" t="n" s="3898">
        <v>99.2</v>
      </c>
      <c r="AC14" t="n" s="3899">
        <v>0.0</v>
      </c>
      <c r="AD14" t="n" s="3900">
        <v>0.0</v>
      </c>
      <c r="AE14" s="3901">
        <f>y14+aa14+ac14</f>
      </c>
      <c r="AF14" s="3902">
        <f>z14+ab14+ad14</f>
      </c>
      <c r="AG14" t="n" s="3903">
        <v>0.0</v>
      </c>
      <c r="AH14" t="n" s="3904">
        <v>1.5</v>
      </c>
      <c r="AI14" t="n" s="3905">
        <v>0.2</v>
      </c>
      <c r="AJ14" s="3906">
        <f>x14+af14+ag14+ah14+ai14</f>
      </c>
      <c r="AK14" s="3907">
        <f>ROUND((l14+t14+af14+ag14+ah14+ai14+w14)*0.05,2)</f>
      </c>
      <c r="AL14" s="3908">
        <f>aj14+ak14</f>
      </c>
      <c r="AM14" s="3909">
        <f>180*0.06</f>
      </c>
      <c r="AN14" s="3910">
        <f>al14+am14</f>
      </c>
      <c r="AO14" t="s" s="3911">
        <v>0</v>
      </c>
    </row>
    <row r="15" ht="15.0" customHeight="true">
      <c r="A15" t="s" s="3912">
        <v>109</v>
      </c>
      <c r="B15" t="s" s="3913">
        <v>110</v>
      </c>
      <c r="C15" t="s" s="3914">
        <v>111</v>
      </c>
      <c r="D15" t="s" s="3915">
        <v>112</v>
      </c>
      <c r="E15" t="s" s="3916">
        <v>55</v>
      </c>
      <c r="F15" t="s" s="3917">
        <v>113</v>
      </c>
      <c r="G15" t="s" s="3918">
        <v>92</v>
      </c>
      <c r="H15" t="s" s="3919">
        <v>93</v>
      </c>
      <c r="I15" t="n" s="3920">
        <v>43952.0</v>
      </c>
      <c r="J15" t="n" s="3921">
        <v>44104.0</v>
      </c>
      <c r="K15" t="s" s="3922">
        <v>0</v>
      </c>
      <c r="L15" t="n" s="3923">
        <v>0.0</v>
      </c>
      <c r="M15" t="n" s="3924">
        <v>0.0</v>
      </c>
      <c r="N15" t="n" s="3925">
        <v>0.0</v>
      </c>
      <c r="O15" s="3926">
        <f>M15*N15</f>
      </c>
      <c r="P15" t="n" s="3927">
        <v>0.0</v>
      </c>
      <c r="Q15" t="n" s="3928">
        <v>0.0</v>
      </c>
      <c r="R15" s="3929">
        <f>P15*Q15</f>
      </c>
      <c r="S15" t="n" s="3930">
        <v>0.0</v>
      </c>
      <c r="T15" t="n" s="3931">
        <v>0.0</v>
      </c>
      <c r="U15" t="n" s="3932">
        <v>0.0</v>
      </c>
      <c r="V15" s="3933">
        <f>L15+O15+R15</f>
      </c>
      <c r="W15" t="n" s="3934">
        <v>950.0</v>
      </c>
      <c r="X15" s="3935">
        <f>s15+t15+u15+w15</f>
      </c>
      <c r="Y15" t="n" s="3936">
        <v>0.0</v>
      </c>
      <c r="Z15" t="n" s="3937">
        <v>0.0</v>
      </c>
      <c r="AA15" t="n" s="3938">
        <v>0.0</v>
      </c>
      <c r="AB15" t="n" s="3939">
        <v>0.0</v>
      </c>
      <c r="AC15" t="n" s="3940">
        <v>0.0</v>
      </c>
      <c r="AD15" t="n" s="3941">
        <v>0.0</v>
      </c>
      <c r="AE15" s="3942">
        <f>y15+aa15+ac15</f>
      </c>
      <c r="AF15" s="3943">
        <f>z15+ab15+ad15</f>
      </c>
      <c r="AG15" t="n" s="3944">
        <v>143.0</v>
      </c>
      <c r="AH15" t="n" s="3945">
        <v>18.35</v>
      </c>
      <c r="AI15" t="n" s="3946">
        <v>2.1</v>
      </c>
      <c r="AJ15" s="3947">
        <f>x15+af15+ag15+ah15+ai15</f>
      </c>
      <c r="AK15" s="3948">
        <f>ROUND((l15+t15+af15+ag15+ah15+ai15+w15)*0.05,2)</f>
      </c>
      <c r="AL15" s="3949">
        <f>aj15+ak15</f>
      </c>
      <c r="AM15" s="3950">
        <f>180*0.06</f>
      </c>
      <c r="AN15" s="3951">
        <f>al15+am15</f>
      </c>
      <c r="AO15" t="s" s="3952">
        <v>0</v>
      </c>
    </row>
    <row r="16" ht="15.0" customHeight="true">
      <c r="A16" t="s" s="3953">
        <v>114</v>
      </c>
      <c r="B16" t="s" s="3954">
        <v>115</v>
      </c>
      <c r="C16" t="s" s="3955">
        <v>116</v>
      </c>
      <c r="D16" t="s" s="3956">
        <v>117</v>
      </c>
      <c r="E16" t="s" s="3957">
        <v>55</v>
      </c>
      <c r="F16" t="s" s="3958">
        <v>118</v>
      </c>
      <c r="G16" t="s" s="3959">
        <v>92</v>
      </c>
      <c r="H16" t="s" s="3960">
        <v>93</v>
      </c>
      <c r="I16" t="n" s="3961">
        <v>43952.0</v>
      </c>
      <c r="J16" t="n" s="3962">
        <v>44104.0</v>
      </c>
      <c r="K16" t="s" s="3963">
        <v>0</v>
      </c>
      <c r="L16" t="n" s="3964">
        <v>0.0</v>
      </c>
      <c r="M16" t="n" s="3965">
        <v>0.0</v>
      </c>
      <c r="N16" t="n" s="3966">
        <v>0.0</v>
      </c>
      <c r="O16" s="3967">
        <f>M16*N16</f>
      </c>
      <c r="P16" t="n" s="3968">
        <v>0.0</v>
      </c>
      <c r="Q16" t="n" s="3969">
        <v>0.0</v>
      </c>
      <c r="R16" s="3970">
        <f>P16*Q16</f>
      </c>
      <c r="S16" t="n" s="3971">
        <v>0.0</v>
      </c>
      <c r="T16" t="n" s="3972">
        <v>0.0</v>
      </c>
      <c r="U16" t="n" s="3973">
        <v>0.0</v>
      </c>
      <c r="V16" s="3974">
        <f>L16+O16+R16</f>
      </c>
      <c r="W16" t="n" s="3975">
        <v>2550.0</v>
      </c>
      <c r="X16" s="3976">
        <f>s16+t16+u16+w16</f>
      </c>
      <c r="Y16" t="n" s="3977">
        <v>0.0</v>
      </c>
      <c r="Z16" t="n" s="3978">
        <v>0.0</v>
      </c>
      <c r="AA16" t="n" s="3979">
        <v>8.0</v>
      </c>
      <c r="AB16" t="n" s="3980">
        <v>120.0</v>
      </c>
      <c r="AC16" t="n" s="3981">
        <v>0.0</v>
      </c>
      <c r="AD16" t="n" s="3982">
        <v>0.0</v>
      </c>
      <c r="AE16" s="3983">
        <f>y16+aa16+ac16</f>
      </c>
      <c r="AF16" s="3984">
        <f>z16+ab16+ad16</f>
      </c>
      <c r="AG16" t="n" s="3985">
        <v>359.0</v>
      </c>
      <c r="AH16" t="n" s="3986">
        <v>49.85</v>
      </c>
      <c r="AI16" t="n" s="3987">
        <v>5.7</v>
      </c>
      <c r="AJ16" s="3988">
        <f>x16+af16+ag16+ah16+ai16</f>
      </c>
      <c r="AK16" s="3989">
        <f>ROUND((l16+t16+af16+ag16+ah16+ai16+w16)*0.05,2)</f>
      </c>
      <c r="AL16" s="3990">
        <f>aj16+ak16</f>
      </c>
      <c r="AM16" s="3991">
        <f>180*0.06</f>
      </c>
      <c r="AN16" s="3992">
        <f>al16+am16</f>
      </c>
      <c r="AO16" t="s" s="3993">
        <v>0</v>
      </c>
    </row>
    <row r="17" ht="15.0" customHeight="true">
      <c r="A17" t="s" s="3994">
        <v>119</v>
      </c>
      <c r="B17" t="s" s="3995">
        <v>120</v>
      </c>
      <c r="C17" t="s" s="3996">
        <v>121</v>
      </c>
      <c r="D17" t="s" s="3997">
        <v>122</v>
      </c>
      <c r="E17" t="s" s="3998">
        <v>55</v>
      </c>
      <c r="F17" t="s" s="3999">
        <v>123</v>
      </c>
      <c r="G17" t="s" s="4000">
        <v>92</v>
      </c>
      <c r="H17" t="s" s="4001">
        <v>93</v>
      </c>
      <c r="I17" t="n" s="4002">
        <v>43952.0</v>
      </c>
      <c r="J17" t="n" s="4003">
        <v>44104.0</v>
      </c>
      <c r="K17" t="s" s="4004">
        <v>0</v>
      </c>
      <c r="L17" t="n" s="4005">
        <v>0.0</v>
      </c>
      <c r="M17" t="n" s="4006">
        <v>0.0</v>
      </c>
      <c r="N17" t="n" s="4007">
        <v>0.0</v>
      </c>
      <c r="O17" s="4008">
        <f>M17*N17</f>
      </c>
      <c r="P17" t="n" s="4009">
        <v>0.0</v>
      </c>
      <c r="Q17" t="n" s="4010">
        <v>0.0</v>
      </c>
      <c r="R17" s="4011">
        <f>P17*Q17</f>
      </c>
      <c r="S17" t="n" s="4012">
        <v>0.0</v>
      </c>
      <c r="T17" t="n" s="4013">
        <v>0.0</v>
      </c>
      <c r="U17" t="n" s="4014">
        <v>0.0</v>
      </c>
      <c r="V17" s="4015">
        <f>L17+O17+R17</f>
      </c>
      <c r="W17" t="n" s="4016">
        <v>2011.0</v>
      </c>
      <c r="X17" s="4017">
        <f>s17+t17+u17+w17</f>
      </c>
      <c r="Y17" t="n" s="4018">
        <v>0.0</v>
      </c>
      <c r="Z17" t="n" s="4019">
        <v>0.0</v>
      </c>
      <c r="AA17" t="n" s="4020">
        <v>8.0</v>
      </c>
      <c r="AB17" t="n" s="4021">
        <v>92.32</v>
      </c>
      <c r="AC17" t="n" s="4022">
        <v>0.0</v>
      </c>
      <c r="AD17" t="n" s="4023">
        <v>0.0</v>
      </c>
      <c r="AE17" s="4024">
        <f>y17+aa17+ac17</f>
      </c>
      <c r="AF17" s="4025">
        <f>z17+ab17+ad17</f>
      </c>
      <c r="AG17" t="n" s="4026">
        <v>279.0</v>
      </c>
      <c r="AH17" t="n" s="4027">
        <v>39.35</v>
      </c>
      <c r="AI17" t="n" s="4028">
        <v>4.5</v>
      </c>
      <c r="AJ17" s="4029">
        <f>x17+af17+ag17+ah17+ai17</f>
      </c>
      <c r="AK17" s="4030">
        <f>ROUND((l17+t17+af17+ag17+ah17+ai17+w17)*0.05,2)</f>
      </c>
      <c r="AL17" s="4031">
        <f>aj17+ak17</f>
      </c>
      <c r="AM17" s="4032">
        <f>180*0.06</f>
      </c>
      <c r="AN17" s="4033">
        <f>al17+am17</f>
      </c>
      <c r="AO17" t="s" s="4034">
        <v>0</v>
      </c>
    </row>
    <row r="18" ht="15.0" customHeight="true">
      <c r="A18" t="s" s="4035">
        <v>124</v>
      </c>
      <c r="B18" t="s" s="4036">
        <v>125</v>
      </c>
      <c r="C18" t="s" s="4037">
        <v>126</v>
      </c>
      <c r="D18" t="s" s="4038">
        <v>127</v>
      </c>
      <c r="E18" t="s" s="4039">
        <v>55</v>
      </c>
      <c r="F18" t="s" s="4040">
        <v>128</v>
      </c>
      <c r="G18" t="s" s="4041">
        <v>92</v>
      </c>
      <c r="H18" t="s" s="4042">
        <v>93</v>
      </c>
      <c r="I18" t="n" s="4043">
        <v>43952.0</v>
      </c>
      <c r="J18" t="n" s="4044">
        <v>44104.0</v>
      </c>
      <c r="K18" t="s" s="4045">
        <v>0</v>
      </c>
      <c r="L18" t="n" s="4046">
        <v>0.0</v>
      </c>
      <c r="M18" t="n" s="4047">
        <v>0.0</v>
      </c>
      <c r="N18" t="n" s="4048">
        <v>0.0</v>
      </c>
      <c r="O18" s="4049">
        <f>M18*N18</f>
      </c>
      <c r="P18" t="n" s="4050">
        <v>0.0</v>
      </c>
      <c r="Q18" t="n" s="4051">
        <v>0.0</v>
      </c>
      <c r="R18" s="4052">
        <f>P18*Q18</f>
      </c>
      <c r="S18" t="n" s="4053">
        <v>0.0</v>
      </c>
      <c r="T18" t="n" s="4054">
        <v>0.0</v>
      </c>
      <c r="U18" t="n" s="4055">
        <v>0.0</v>
      </c>
      <c r="V18" s="4056">
        <f>L18+O18+R18</f>
      </c>
      <c r="W18" t="n" s="4057">
        <v>2550.0</v>
      </c>
      <c r="X18" s="4058">
        <f>s18+t18+u18+w18</f>
      </c>
      <c r="Y18" t="n" s="4059">
        <v>0.0</v>
      </c>
      <c r="Z18" t="n" s="4060">
        <v>0.0</v>
      </c>
      <c r="AA18" t="n" s="4061">
        <v>8.0</v>
      </c>
      <c r="AB18" t="n" s="4062">
        <v>96.16</v>
      </c>
      <c r="AC18" t="n" s="4063">
        <v>0.0</v>
      </c>
      <c r="AD18" t="n" s="4064">
        <v>0.0</v>
      </c>
      <c r="AE18" s="4065">
        <f>y18+aa18+ac18</f>
      </c>
      <c r="AF18" s="4066">
        <f>z18+ab18+ad18</f>
      </c>
      <c r="AG18" t="n" s="4067">
        <v>333.0</v>
      </c>
      <c r="AH18" t="n" s="4068">
        <v>46.35</v>
      </c>
      <c r="AI18" t="n" s="4069">
        <v>5.3</v>
      </c>
      <c r="AJ18" s="4070">
        <f>x18+af18+ag18+ah18+ai18</f>
      </c>
      <c r="AK18" s="4071">
        <f>ROUND((l18+t18+af18+ag18+ah18+ai18+w18)*0.05,2)</f>
      </c>
      <c r="AL18" s="4072">
        <f>aj18+ak18</f>
      </c>
      <c r="AM18" s="4073">
        <f>180*0.06</f>
      </c>
      <c r="AN18" s="4074">
        <f>al18+am18</f>
      </c>
      <c r="AO18" t="s" s="4075">
        <v>0</v>
      </c>
    </row>
    <row r="19" ht="15.0" customHeight="true">
      <c r="L19" t="s" s="4076">
        <v>0</v>
      </c>
      <c r="M19" t="s" s="4077">
        <v>0</v>
      </c>
      <c r="N19" t="s" s="4078">
        <v>0</v>
      </c>
      <c r="O19" t="s" s="4079">
        <v>0</v>
      </c>
      <c r="P19" t="s" s="4080">
        <v>0</v>
      </c>
      <c r="Q19" t="s" s="4081">
        <v>0</v>
      </c>
      <c r="R19" t="s" s="4082">
        <v>0</v>
      </c>
      <c r="S19" t="s" s="4083">
        <v>0</v>
      </c>
      <c r="T19" t="s" s="4084">
        <v>0</v>
      </c>
      <c r="U19" t="s" s="4085">
        <v>0</v>
      </c>
      <c r="V19" t="s" s="4086">
        <v>0</v>
      </c>
      <c r="W19" t="s" s="4087">
        <v>0</v>
      </c>
      <c r="X19" t="s" s="4088">
        <v>0</v>
      </c>
      <c r="Y19" t="s" s="4089">
        <v>0</v>
      </c>
      <c r="Z19" t="s" s="4090">
        <v>0</v>
      </c>
      <c r="AA19" t="s" s="4091">
        <v>0</v>
      </c>
      <c r="AB19" t="s" s="4092">
        <v>0</v>
      </c>
      <c r="AC19" t="s" s="4093">
        <v>0</v>
      </c>
      <c r="AD19" t="s" s="4094">
        <v>0</v>
      </c>
      <c r="AE19" t="s" s="4095">
        <v>0</v>
      </c>
      <c r="AF19" t="s" s="4096">
        <v>0</v>
      </c>
      <c r="AG19" t="s" s="4097">
        <v>0</v>
      </c>
      <c r="AH19" t="s" s="4098">
        <v>0</v>
      </c>
      <c r="AI19" t="s" s="4099">
        <v>0</v>
      </c>
      <c r="AJ19" t="s" s="4100">
        <v>0</v>
      </c>
      <c r="AK19" t="s" s="4101">
        <v>0</v>
      </c>
      <c r="AL19" t="s" s="4102">
        <v>0</v>
      </c>
    </row>
    <row r="20" ht="15.0" customHeight="true"/>
    <row r="21" ht="15.0" customHeight="true">
      <c r="A21" t="s" s="4103">
        <v>0</v>
      </c>
      <c r="B21" t="s" s="4104">
        <v>264</v>
      </c>
      <c r="C21" s="4105">
        <f>COUNTA(A11:A18)</f>
      </c>
      <c r="L21" s="4106">
        <f>SUM(l11:l18)</f>
      </c>
      <c r="M21" s="4107">
        <f>SUM(m11:m18)</f>
      </c>
      <c r="N21" t="s" s="4108">
        <v>0</v>
      </c>
      <c r="O21" s="4109">
        <f>SUM(o11:o18)</f>
      </c>
      <c r="P21" s="4110">
        <f>SUM(p11:p18)</f>
      </c>
      <c r="Q21" t="s" s="4111">
        <v>0</v>
      </c>
      <c r="R21" s="4112">
        <f>SUM(r11:r18)</f>
      </c>
      <c r="S21" s="4113">
        <f>SUM(s11:s18)</f>
      </c>
      <c r="T21" s="4114">
        <f>SUM(t11:t18)</f>
      </c>
      <c r="U21" s="4115">
        <f>SUM(u11:u18)</f>
      </c>
      <c r="V21" s="4116">
        <f>SUM(v11:v18)</f>
      </c>
      <c r="W21" s="4117">
        <f>SUM(w11:w18)</f>
      </c>
      <c r="X21" s="4118">
        <f>SUM(x11:x18)</f>
      </c>
      <c r="Y21" s="4119">
        <f>SUM(y11:y18)</f>
      </c>
      <c r="Z21" s="4120">
        <f>SUM(z11:z18)</f>
      </c>
      <c r="AA21" s="4121">
        <f>SUM(aa11:aa18)</f>
      </c>
      <c r="AB21" s="4122">
        <f>SUM(ab11:ab18)</f>
      </c>
      <c r="AC21" s="4123">
        <f>SUM(ac11:ac18)</f>
      </c>
      <c r="AD21" s="4124">
        <f>SUM(ad11:ad18)</f>
      </c>
      <c r="AE21" s="4125">
        <f>SUM(ae11:ae18)</f>
      </c>
      <c r="AF21" s="4126">
        <f>SUM(af11:af18)</f>
      </c>
      <c r="AG21" s="4127">
        <f>SUM(ag11:ag18)</f>
      </c>
      <c r="AH21" s="4128">
        <f>SUM(ah11:ah18)</f>
      </c>
      <c r="AI21" s="4129">
        <f>SUM(ai11:ai18)</f>
      </c>
      <c r="AJ21" s="4130">
        <f>SUM(aj11:aj18)</f>
      </c>
      <c r="AK21" s="4131">
        <f>SUM(ak11:ak18)</f>
      </c>
      <c r="AL21" s="4132">
        <f>SUM(al11:al18)</f>
      </c>
      <c r="AM21" s="4133">
        <f>SUM(am11:am18)</f>
      </c>
      <c r="AN21" s="4134">
        <f>SUM(an11:an18)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135">
        <v>0</v>
      </c>
      <c r="B1" t="s" s="4136">
        <v>1</v>
      </c>
      <c r="Y1" t="s" s="4137">
        <v>6</v>
      </c>
      <c r="Z1" t="n" s="4138">
        <v>2020.0</v>
      </c>
    </row>
    <row r="2" ht="15.0" customHeight="true">
      <c r="A2" t="s" s="4139">
        <v>0</v>
      </c>
      <c r="B2" t="s" s="4140">
        <v>2</v>
      </c>
      <c r="Y2" t="s" s="4141">
        <v>7</v>
      </c>
      <c r="Z2" t="n" s="4142">
        <v>2020.0</v>
      </c>
    </row>
    <row r="3" ht="15.0" customHeight="true">
      <c r="A3" t="s" s="4143">
        <v>0</v>
      </c>
      <c r="B3" t="s" s="4144">
        <v>3</v>
      </c>
    </row>
    <row r="4" ht="15.0" customHeight="true">
      <c r="A4" t="s" s="4145">
        <v>0</v>
      </c>
      <c r="B4" t="s" s="4146">
        <v>4</v>
      </c>
    </row>
    <row r="5" ht="15.0" customHeight="true">
      <c r="A5" t="s" s="4147">
        <v>0</v>
      </c>
      <c r="B5" t="s" s="4148">
        <v>5</v>
      </c>
    </row>
    <row r="6" ht="15.0" customHeight="true"/>
    <row r="7" ht="15.0" customHeight="true"/>
    <row r="8" ht="28.0" customHeight="true">
      <c r="A8" t="s" s="4149">
        <v>0</v>
      </c>
      <c r="B8" t="s" s="4150">
        <v>0</v>
      </c>
      <c r="C8" t="s" s="4151">
        <v>0</v>
      </c>
      <c r="D8" t="s" s="4152">
        <v>0</v>
      </c>
      <c r="E8" t="s" s="4153">
        <v>0</v>
      </c>
      <c r="F8" t="s" s="4154">
        <v>0</v>
      </c>
      <c r="G8" t="s" s="4155">
        <v>0</v>
      </c>
      <c r="H8" t="s" s="4156">
        <v>0</v>
      </c>
      <c r="I8" t="s" s="4157">
        <v>0</v>
      </c>
      <c r="J8" t="s" s="4158">
        <v>0</v>
      </c>
      <c r="K8" t="s" s="4159">
        <v>0</v>
      </c>
      <c r="L8" t="s" s="4160">
        <v>0</v>
      </c>
      <c r="M8" t="s" s="4161">
        <v>0</v>
      </c>
      <c r="N8" t="s" s="4162">
        <v>0</v>
      </c>
      <c r="O8" t="s" s="4163">
        <v>0</v>
      </c>
      <c r="P8" t="s" s="4164">
        <v>0</v>
      </c>
      <c r="Q8" t="s" s="4165">
        <v>0</v>
      </c>
      <c r="R8" t="s" s="4166">
        <v>0</v>
      </c>
      <c r="S8" t="s" s="4167">
        <v>0</v>
      </c>
      <c r="T8" t="s" s="4168">
        <v>0</v>
      </c>
      <c r="U8" t="s" s="4169">
        <v>0</v>
      </c>
      <c r="V8" t="s" s="4170">
        <v>0</v>
      </c>
      <c r="W8" t="s" s="4171">
        <v>0</v>
      </c>
      <c r="X8" t="s" s="4172">
        <v>0</v>
      </c>
      <c r="Y8" t="s" s="4173">
        <v>0</v>
      </c>
      <c r="Z8" t="s" s="4174">
        <v>0</v>
      </c>
      <c r="AA8" t="s" s="4175">
        <v>0</v>
      </c>
      <c r="AB8" t="s" s="4176">
        <v>0</v>
      </c>
      <c r="AC8" t="s" s="4177">
        <v>8</v>
      </c>
      <c r="AD8" t="s" s="4178">
        <v>0</v>
      </c>
      <c r="AE8" t="s" s="4179">
        <v>0</v>
      </c>
      <c r="AF8" t="s" s="4180">
        <v>0</v>
      </c>
      <c r="AG8" t="s" s="4181">
        <v>0</v>
      </c>
      <c r="AH8" t="s" s="4182">
        <v>0</v>
      </c>
      <c r="AI8" t="s" s="4183">
        <v>0</v>
      </c>
      <c r="AJ8" t="s" s="4184">
        <v>0</v>
      </c>
      <c r="AK8" t="s" s="4185">
        <v>0</v>
      </c>
      <c r="AL8" t="s" s="4186">
        <v>0</v>
      </c>
      <c r="AM8" t="s" s="4187">
        <v>0</v>
      </c>
      <c r="AN8" t="s" s="4188">
        <v>0</v>
      </c>
      <c r="AO8" t="s" s="4189">
        <v>0</v>
      </c>
    </row>
    <row r="9" ht="41.0" customHeight="true">
      <c r="A9" t="s" s="4190">
        <v>9</v>
      </c>
      <c r="B9" t="s" s="4191">
        <v>10</v>
      </c>
      <c r="C9" t="s" s="4192">
        <v>11</v>
      </c>
      <c r="D9" t="s" s="4193">
        <v>12</v>
      </c>
      <c r="E9" t="s" s="4194">
        <v>13</v>
      </c>
      <c r="F9" t="s" s="4195">
        <v>14</v>
      </c>
      <c r="G9" t="s" s="4196">
        <v>15</v>
      </c>
      <c r="H9" t="s" s="4197">
        <v>16</v>
      </c>
      <c r="I9" t="s" s="4198">
        <v>17</v>
      </c>
      <c r="J9" t="s" s="4199">
        <v>18</v>
      </c>
      <c r="K9" t="s" s="4200">
        <v>19</v>
      </c>
      <c r="L9" t="s" s="4201">
        <v>20</v>
      </c>
      <c r="M9" t="s" s="4202">
        <v>21</v>
      </c>
      <c r="N9" t="s" s="4203">
        <v>22</v>
      </c>
      <c r="O9" t="s" s="4204">
        <v>23</v>
      </c>
      <c r="P9" t="s" s="4205">
        <v>24</v>
      </c>
      <c r="Q9" t="s" s="4206">
        <v>25</v>
      </c>
      <c r="R9" t="s" s="4207">
        <v>26</v>
      </c>
      <c r="S9" t="s" s="4208">
        <v>27</v>
      </c>
      <c r="T9" t="s" s="4209">
        <v>28</v>
      </c>
      <c r="U9" t="s" s="4210">
        <v>29</v>
      </c>
      <c r="V9" t="s" s="4211">
        <v>30</v>
      </c>
      <c r="W9" t="s" s="4212">
        <v>31</v>
      </c>
      <c r="X9" t="s" s="4213">
        <v>32</v>
      </c>
      <c r="Y9" t="s" s="4214">
        <v>33</v>
      </c>
      <c r="Z9" t="s" s="4215">
        <v>34</v>
      </c>
      <c r="AA9" t="s" s="4216">
        <v>35</v>
      </c>
      <c r="AB9" t="s" s="4217">
        <v>36</v>
      </c>
      <c r="AC9" t="s" s="4218">
        <v>37</v>
      </c>
      <c r="AD9" t="s" s="4219">
        <v>38</v>
      </c>
      <c r="AE9" t="s" s="4220">
        <v>39</v>
      </c>
      <c r="AF9" t="s" s="4221">
        <v>40</v>
      </c>
      <c r="AG9" t="s" s="4222">
        <v>41</v>
      </c>
      <c r="AH9" t="s" s="4223">
        <v>42</v>
      </c>
      <c r="AI9" t="s" s="4224">
        <v>43</v>
      </c>
      <c r="AJ9" t="s" s="4225">
        <v>44</v>
      </c>
      <c r="AK9" t="s" s="4226">
        <v>45</v>
      </c>
      <c r="AL9" t="s" s="4227">
        <v>46</v>
      </c>
      <c r="AM9" t="s" s="4228">
        <v>47</v>
      </c>
      <c r="AN9" t="s" s="4229">
        <v>48</v>
      </c>
      <c r="AO9" t="s" s="4230">
        <v>49</v>
      </c>
    </row>
    <row r="10" ht="15.0" customHeight="true">
      <c r="A10" t="s" s="4231">
        <v>0</v>
      </c>
      <c r="B10" t="s" s="4232">
        <v>0</v>
      </c>
      <c r="C10" t="s" s="4233">
        <v>0</v>
      </c>
      <c r="D10" t="s" s="4234">
        <v>0</v>
      </c>
      <c r="E10" t="s" s="4235">
        <v>0</v>
      </c>
      <c r="F10" t="s" s="4236">
        <v>0</v>
      </c>
      <c r="G10" t="s" s="4237">
        <v>0</v>
      </c>
      <c r="H10" t="s" s="4238">
        <v>0</v>
      </c>
      <c r="I10" t="s" s="4239">
        <v>0</v>
      </c>
      <c r="J10" t="s" s="4240">
        <v>0</v>
      </c>
      <c r="K10" t="s" s="4241">
        <v>0</v>
      </c>
      <c r="L10" t="s" s="4242">
        <v>0</v>
      </c>
      <c r="M10" t="s" s="4243">
        <v>0</v>
      </c>
      <c r="N10" t="s" s="4244">
        <v>0</v>
      </c>
      <c r="O10" t="s" s="4245">
        <v>0</v>
      </c>
      <c r="P10" t="s" s="4246">
        <v>0</v>
      </c>
      <c r="Q10" t="s" s="4247">
        <v>0</v>
      </c>
      <c r="R10" t="s" s="4248">
        <v>0</v>
      </c>
      <c r="S10" t="s" s="4249">
        <v>0</v>
      </c>
      <c r="T10" t="s" s="4250">
        <v>0</v>
      </c>
      <c r="U10" t="s" s="4251">
        <v>0</v>
      </c>
      <c r="V10" t="s" s="4252">
        <v>0</v>
      </c>
      <c r="W10" t="s" s="4253">
        <v>0</v>
      </c>
      <c r="X10" t="s" s="4254">
        <v>0</v>
      </c>
      <c r="Y10" t="n" s="4255">
        <v>1.5</v>
      </c>
      <c r="Z10" t="n" s="4256">
        <v>1.5</v>
      </c>
      <c r="AA10" t="n" s="4257">
        <v>2.0</v>
      </c>
      <c r="AB10" t="n" s="4258">
        <v>2.0</v>
      </c>
      <c r="AC10" t="n" s="4259">
        <v>3.0</v>
      </c>
      <c r="AD10" t="n" s="4260">
        <v>3.0</v>
      </c>
      <c r="AE10" t="s" s="4261">
        <v>50</v>
      </c>
      <c r="AF10" t="s" s="4262">
        <v>50</v>
      </c>
      <c r="AG10" t="s" s="4263">
        <v>0</v>
      </c>
      <c r="AH10" t="s" s="4264">
        <v>0</v>
      </c>
      <c r="AI10" t="s" s="4265">
        <v>0</v>
      </c>
      <c r="AJ10" t="s" s="4266">
        <v>0</v>
      </c>
      <c r="AK10" t="s" s="4267">
        <v>0</v>
      </c>
      <c r="AL10" t="s" s="4268">
        <v>0</v>
      </c>
      <c r="AM10" t="s" s="4269">
        <v>0</v>
      </c>
      <c r="AN10" t="s" s="4270">
        <v>0</v>
      </c>
      <c r="AO10" t="s" s="4271">
        <v>0</v>
      </c>
    </row>
    <row r="11" ht="15.0" customHeight="true">
      <c r="A11" t="s" s="4272">
        <v>129</v>
      </c>
      <c r="B11" t="s" s="4273">
        <v>130</v>
      </c>
      <c r="C11" t="s" s="4274">
        <v>131</v>
      </c>
      <c r="D11" t="s" s="4275">
        <v>132</v>
      </c>
      <c r="E11" t="s" s="4276">
        <v>55</v>
      </c>
      <c r="F11" t="s" s="4277">
        <v>133</v>
      </c>
      <c r="G11" t="s" s="4278">
        <v>134</v>
      </c>
      <c r="H11" t="s" s="4279">
        <v>135</v>
      </c>
      <c r="I11" t="n" s="4280">
        <v>43952.0</v>
      </c>
      <c r="J11" t="n" s="4281">
        <v>44104.0</v>
      </c>
      <c r="K11" t="s" s="4282">
        <v>0</v>
      </c>
      <c r="L11" t="n" s="4283">
        <v>0.0</v>
      </c>
      <c r="M11" t="n" s="4284">
        <v>0.0</v>
      </c>
      <c r="N11" t="n" s="4285">
        <v>0.0</v>
      </c>
      <c r="O11" s="4286">
        <f>M11*N11</f>
      </c>
      <c r="P11" t="n" s="4287">
        <v>0.0</v>
      </c>
      <c r="Q11" t="n" s="4288">
        <v>0.0</v>
      </c>
      <c r="R11" s="4289">
        <f>P11*Q11</f>
      </c>
      <c r="S11" t="n" s="4290">
        <v>0.0</v>
      </c>
      <c r="T11" t="n" s="4291">
        <v>0.0</v>
      </c>
      <c r="U11" t="n" s="4292">
        <v>0.0</v>
      </c>
      <c r="V11" s="4293">
        <f>L11+O11+R11</f>
      </c>
      <c r="W11" t="n" s="4294">
        <v>2000.0</v>
      </c>
      <c r="X11" s="4295">
        <f>s11+t11+u11+w11</f>
      </c>
      <c r="Y11" t="n" s="4296">
        <v>0.0</v>
      </c>
      <c r="Z11" t="n" s="4297">
        <v>0.0</v>
      </c>
      <c r="AA11" t="n" s="4298">
        <v>0.0</v>
      </c>
      <c r="AB11" t="n" s="4299">
        <v>0.0</v>
      </c>
      <c r="AC11" t="n" s="4300">
        <v>0.0</v>
      </c>
      <c r="AD11" t="n" s="4301">
        <v>0.0</v>
      </c>
      <c r="AE11" s="4302">
        <f>y11+aa11+ac11</f>
      </c>
      <c r="AF11" s="4303">
        <f>z11+ab11+ad11</f>
      </c>
      <c r="AG11" t="n" s="4304">
        <v>260.0</v>
      </c>
      <c r="AH11" t="n" s="4305">
        <v>34.15</v>
      </c>
      <c r="AI11" t="n" s="4306">
        <v>3.9</v>
      </c>
      <c r="AJ11" s="4307">
        <f>x11+af11+ag11+ah11+ai11</f>
      </c>
      <c r="AK11" s="4308">
        <f>ROUND((l11+t11+af11+ag11+ah11+ai11+w11)*0.05,2)</f>
      </c>
      <c r="AL11" s="4309">
        <f>aj11+ak11</f>
      </c>
      <c r="AM11" s="4310">
        <f>180*0.06</f>
      </c>
      <c r="AN11" s="4311">
        <f>al11+am11</f>
      </c>
      <c r="AO11" t="s" s="4312">
        <v>0</v>
      </c>
    </row>
    <row r="12" ht="15.0" customHeight="true">
      <c r="A12" t="s" s="4313">
        <v>136</v>
      </c>
      <c r="B12" t="s" s="4314">
        <v>137</v>
      </c>
      <c r="C12" t="s" s="4315">
        <v>138</v>
      </c>
      <c r="D12" t="s" s="4316">
        <v>139</v>
      </c>
      <c r="E12" t="s" s="4317">
        <v>55</v>
      </c>
      <c r="F12" t="s" s="4318">
        <v>140</v>
      </c>
      <c r="G12" t="s" s="4319">
        <v>134</v>
      </c>
      <c r="H12" t="s" s="4320">
        <v>135</v>
      </c>
      <c r="I12" t="n" s="4321">
        <v>43952.0</v>
      </c>
      <c r="J12" t="n" s="4322">
        <v>44104.0</v>
      </c>
      <c r="K12" t="s" s="4323">
        <v>0</v>
      </c>
      <c r="L12" t="n" s="4324">
        <v>0.0</v>
      </c>
      <c r="M12" t="n" s="4325">
        <v>0.0</v>
      </c>
      <c r="N12" t="n" s="4326">
        <v>0.0</v>
      </c>
      <c r="O12" s="4327">
        <f>M12*N12</f>
      </c>
      <c r="P12" t="n" s="4328">
        <v>0.0</v>
      </c>
      <c r="Q12" t="n" s="4329">
        <v>0.0</v>
      </c>
      <c r="R12" s="4330">
        <f>P12*Q12</f>
      </c>
      <c r="S12" t="n" s="4331">
        <v>0.0</v>
      </c>
      <c r="T12" t="n" s="4332">
        <v>0.0</v>
      </c>
      <c r="U12" t="n" s="4333">
        <v>0.0</v>
      </c>
      <c r="V12" s="4334">
        <f>L12+O12+R12</f>
      </c>
      <c r="W12" t="n" s="4335">
        <v>2010.0</v>
      </c>
      <c r="X12" s="4336">
        <f>s12+t12+u12+w12</f>
      </c>
      <c r="Y12" t="n" s="4337">
        <v>0.0</v>
      </c>
      <c r="Z12" t="n" s="4338">
        <v>0.0</v>
      </c>
      <c r="AA12" t="n" s="4339">
        <v>8.0</v>
      </c>
      <c r="AB12" t="n" s="4340">
        <v>104.64</v>
      </c>
      <c r="AC12" t="n" s="4341">
        <v>0.0</v>
      </c>
      <c r="AD12" t="n" s="4342">
        <v>0.0</v>
      </c>
      <c r="AE12" s="4343">
        <f>y12+aa12+ac12</f>
      </c>
      <c r="AF12" s="4344">
        <f>z12+ab12+ad12</f>
      </c>
      <c r="AG12" t="n" s="4345">
        <v>263.0</v>
      </c>
      <c r="AH12" t="n" s="4346">
        <v>37.65</v>
      </c>
      <c r="AI12" t="n" s="4347">
        <v>4.3</v>
      </c>
      <c r="AJ12" s="4348">
        <f>x12+af12+ag12+ah12+ai12</f>
      </c>
      <c r="AK12" s="4349">
        <f>ROUND((l12+t12+af12+ag12+ah12+ai12+w12)*0.05,2)</f>
      </c>
      <c r="AL12" s="4350">
        <f>aj12+ak12</f>
      </c>
      <c r="AM12" s="4351">
        <f>180*0.06</f>
      </c>
      <c r="AN12" s="4352">
        <f>al12+am12</f>
      </c>
      <c r="AO12" t="s" s="4353">
        <v>0</v>
      </c>
    </row>
    <row r="13" ht="15.0" customHeight="true">
      <c r="A13" t="s" s="4354">
        <v>141</v>
      </c>
      <c r="B13" t="s" s="4355">
        <v>142</v>
      </c>
      <c r="C13" t="s" s="4356">
        <v>143</v>
      </c>
      <c r="D13" t="s" s="4357">
        <v>144</v>
      </c>
      <c r="E13" t="s" s="4358">
        <v>55</v>
      </c>
      <c r="F13" t="s" s="4359">
        <v>145</v>
      </c>
      <c r="G13" t="s" s="4360">
        <v>134</v>
      </c>
      <c r="H13" t="s" s="4361">
        <v>135</v>
      </c>
      <c r="I13" t="n" s="4362">
        <v>43952.0</v>
      </c>
      <c r="J13" t="n" s="4363">
        <v>44104.0</v>
      </c>
      <c r="K13" t="s" s="4364">
        <v>0</v>
      </c>
      <c r="L13" t="n" s="4365">
        <v>0.0</v>
      </c>
      <c r="M13" t="n" s="4366">
        <v>0.0</v>
      </c>
      <c r="N13" t="n" s="4367">
        <v>0.0</v>
      </c>
      <c r="O13" s="4368">
        <f>M13*N13</f>
      </c>
      <c r="P13" t="n" s="4369">
        <v>0.0</v>
      </c>
      <c r="Q13" t="n" s="4370">
        <v>0.0</v>
      </c>
      <c r="R13" s="4371">
        <f>P13*Q13</f>
      </c>
      <c r="S13" t="n" s="4372">
        <v>0.0</v>
      </c>
      <c r="T13" t="n" s="4373">
        <v>0.0</v>
      </c>
      <c r="U13" t="n" s="4374">
        <v>10.9</v>
      </c>
      <c r="V13" s="4375">
        <f>L13+O13+R13</f>
      </c>
      <c r="W13" t="n" s="4376">
        <v>400.0</v>
      </c>
      <c r="X13" s="4377">
        <f>s13+t13+u13+w13</f>
      </c>
      <c r="Y13" t="n" s="4378">
        <v>0.0</v>
      </c>
      <c r="Z13" t="n" s="4379">
        <v>0.0</v>
      </c>
      <c r="AA13" t="n" s="4380">
        <v>8.0</v>
      </c>
      <c r="AB13" t="n" s="4381">
        <v>109.2</v>
      </c>
      <c r="AC13" t="n" s="4382">
        <v>0.0</v>
      </c>
      <c r="AD13" t="n" s="4383">
        <v>0.0</v>
      </c>
      <c r="AE13" s="4384">
        <f>y13+aa13+ac13</f>
      </c>
      <c r="AF13" s="4385">
        <f>z13+ab13+ad13</f>
      </c>
      <c r="AG13" t="n" s="4386">
        <v>68.0</v>
      </c>
      <c r="AH13" t="n" s="4387">
        <v>11.35</v>
      </c>
      <c r="AI13" t="n" s="4388">
        <v>1.3</v>
      </c>
      <c r="AJ13" s="4389">
        <f>x13+af13+ag13+ah13+ai13</f>
      </c>
      <c r="AK13" s="4390">
        <f>ROUND((l13+t13+af13+ag13+ah13+ai13+w13)*0.05,2)</f>
      </c>
      <c r="AL13" s="4391">
        <f>aj13+ak13</f>
      </c>
      <c r="AM13" s="4392">
        <f>190.9*0.06</f>
      </c>
      <c r="AN13" s="4393">
        <f>al13+am13</f>
      </c>
      <c r="AO13" t="s" s="4394">
        <v>0</v>
      </c>
    </row>
    <row r="14" ht="15.0" customHeight="true">
      <c r="A14" t="s" s="4395">
        <v>146</v>
      </c>
      <c r="B14" t="s" s="4396">
        <v>147</v>
      </c>
      <c r="C14" t="s" s="4397">
        <v>148</v>
      </c>
      <c r="D14" t="s" s="4398">
        <v>149</v>
      </c>
      <c r="E14" t="s" s="4399">
        <v>55</v>
      </c>
      <c r="F14" t="s" s="4400">
        <v>150</v>
      </c>
      <c r="G14" t="s" s="4401">
        <v>134</v>
      </c>
      <c r="H14" t="s" s="4402">
        <v>135</v>
      </c>
      <c r="I14" t="n" s="4403">
        <v>43952.0</v>
      </c>
      <c r="J14" t="n" s="4404">
        <v>44104.0</v>
      </c>
      <c r="K14" t="s" s="4405">
        <v>0</v>
      </c>
      <c r="L14" t="n" s="4406">
        <v>0.0</v>
      </c>
      <c r="M14" t="n" s="4407">
        <v>0.0</v>
      </c>
      <c r="N14" t="n" s="4408">
        <v>0.0</v>
      </c>
      <c r="O14" s="4409">
        <f>M14*N14</f>
      </c>
      <c r="P14" t="n" s="4410">
        <v>0.0</v>
      </c>
      <c r="Q14" t="n" s="4411">
        <v>0.0</v>
      </c>
      <c r="R14" s="4412">
        <f>P14*Q14</f>
      </c>
      <c r="S14" t="n" s="4413">
        <v>0.0</v>
      </c>
      <c r="T14" t="n" s="4414">
        <v>0.0</v>
      </c>
      <c r="U14" t="n" s="4415">
        <v>78.7</v>
      </c>
      <c r="V14" s="4416">
        <f>L14+O14+R14</f>
      </c>
      <c r="W14" t="n" s="4417">
        <v>2550.0</v>
      </c>
      <c r="X14" s="4418">
        <f>s14+t14+u14+w14</f>
      </c>
      <c r="Y14" t="n" s="4419">
        <v>0.0</v>
      </c>
      <c r="Z14" t="n" s="4420">
        <v>0.0</v>
      </c>
      <c r="AA14" t="n" s="4421">
        <v>8.0</v>
      </c>
      <c r="AB14" t="n" s="4422">
        <v>104.64</v>
      </c>
      <c r="AC14" t="n" s="4423">
        <v>0.0</v>
      </c>
      <c r="AD14" t="n" s="4424">
        <v>0.0</v>
      </c>
      <c r="AE14" s="4425">
        <f>y14+aa14+ac14</f>
      </c>
      <c r="AF14" s="4426">
        <f>z14+ab14+ad14</f>
      </c>
      <c r="AG14" t="n" s="4427">
        <v>333.0</v>
      </c>
      <c r="AH14" t="n" s="4428">
        <v>46.35</v>
      </c>
      <c r="AI14" t="n" s="4429">
        <v>5.3</v>
      </c>
      <c r="AJ14" s="4430">
        <f>x14+af14+ag14+ah14+ai14</f>
      </c>
      <c r="AK14" s="4431">
        <f>ROUND((l14+t14+af14+ag14+ah14+ai14+w14)*0.05,2)</f>
      </c>
      <c r="AL14" s="4432">
        <f>aj14+ak14</f>
      </c>
      <c r="AM14" s="4433">
        <f>258.7*0.06</f>
      </c>
      <c r="AN14" s="4434">
        <f>al14+am14</f>
      </c>
      <c r="AO14" t="s" s="4435">
        <v>0</v>
      </c>
    </row>
    <row r="15" ht="15.0" customHeight="true">
      <c r="A15" t="s" s="4436">
        <v>151</v>
      </c>
      <c r="B15" t="s" s="4437">
        <v>152</v>
      </c>
      <c r="C15" t="s" s="4438">
        <v>153</v>
      </c>
      <c r="D15" t="s" s="4439">
        <v>154</v>
      </c>
      <c r="E15" t="s" s="4440">
        <v>55</v>
      </c>
      <c r="F15" t="s" s="4441">
        <v>155</v>
      </c>
      <c r="G15" t="s" s="4442">
        <v>134</v>
      </c>
      <c r="H15" t="s" s="4443">
        <v>135</v>
      </c>
      <c r="I15" t="n" s="4444">
        <v>43952.0</v>
      </c>
      <c r="J15" t="n" s="4445">
        <v>44104.0</v>
      </c>
      <c r="K15" t="s" s="4446">
        <v>0</v>
      </c>
      <c r="L15" t="n" s="4447">
        <v>0.0</v>
      </c>
      <c r="M15" t="n" s="4448">
        <v>0.0</v>
      </c>
      <c r="N15" t="n" s="4449">
        <v>0.0</v>
      </c>
      <c r="O15" s="4450">
        <f>M15*N15</f>
      </c>
      <c r="P15" t="n" s="4451">
        <v>0.0</v>
      </c>
      <c r="Q15" t="n" s="4452">
        <v>0.0</v>
      </c>
      <c r="R15" s="4453">
        <f>P15*Q15</f>
      </c>
      <c r="S15" t="n" s="4454">
        <v>0.0</v>
      </c>
      <c r="T15" t="n" s="4455">
        <v>0.0</v>
      </c>
      <c r="U15" t="n" s="4456">
        <v>67.8</v>
      </c>
      <c r="V15" s="4457">
        <f>L15+O15+R15</f>
      </c>
      <c r="W15" t="n" s="4458">
        <v>2000.0</v>
      </c>
      <c r="X15" s="4459">
        <f>s15+t15+u15+w15</f>
      </c>
      <c r="Y15" t="n" s="4460">
        <v>0.0</v>
      </c>
      <c r="Z15" t="n" s="4461">
        <v>0.0</v>
      </c>
      <c r="AA15" t="n" s="4462">
        <v>8.0</v>
      </c>
      <c r="AB15" t="n" s="4463">
        <v>98.48</v>
      </c>
      <c r="AC15" t="n" s="4464">
        <v>0.0</v>
      </c>
      <c r="AD15" t="n" s="4465">
        <v>0.0</v>
      </c>
      <c r="AE15" s="4466">
        <f>y15+aa15+ac15</f>
      </c>
      <c r="AF15" s="4467">
        <f>z15+ab15+ad15</f>
      </c>
      <c r="AG15" t="n" s="4468">
        <v>260.0</v>
      </c>
      <c r="AH15" t="n" s="4469">
        <v>35.85</v>
      </c>
      <c r="AI15" t="n" s="4470">
        <v>4.1</v>
      </c>
      <c r="AJ15" s="4471">
        <f>x15+af15+ag15+ah15+ai15</f>
      </c>
      <c r="AK15" s="4472">
        <f>ROUND((l15+t15+af15+ag15+ah15+ai15+w15)*0.05,2)</f>
      </c>
      <c r="AL15" s="4473">
        <f>aj15+ak15</f>
      </c>
      <c r="AM15" s="4474">
        <f>247.8*0.06</f>
      </c>
      <c r="AN15" s="4475">
        <f>al15+am15</f>
      </c>
      <c r="AO15" t="s" s="4476">
        <v>0</v>
      </c>
    </row>
    <row r="16" ht="15.0" customHeight="true">
      <c r="L16" t="s" s="4477">
        <v>0</v>
      </c>
      <c r="M16" t="s" s="4478">
        <v>0</v>
      </c>
      <c r="N16" t="s" s="4479">
        <v>0</v>
      </c>
      <c r="O16" t="s" s="4480">
        <v>0</v>
      </c>
      <c r="P16" t="s" s="4481">
        <v>0</v>
      </c>
      <c r="Q16" t="s" s="4482">
        <v>0</v>
      </c>
      <c r="R16" t="s" s="4483">
        <v>0</v>
      </c>
      <c r="S16" t="s" s="4484">
        <v>0</v>
      </c>
      <c r="T16" t="s" s="4485">
        <v>0</v>
      </c>
      <c r="U16" t="s" s="4486">
        <v>0</v>
      </c>
      <c r="V16" t="s" s="4487">
        <v>0</v>
      </c>
      <c r="W16" t="s" s="4488">
        <v>0</v>
      </c>
      <c r="X16" t="s" s="4489">
        <v>0</v>
      </c>
      <c r="Y16" t="s" s="4490">
        <v>0</v>
      </c>
      <c r="Z16" t="s" s="4491">
        <v>0</v>
      </c>
      <c r="AA16" t="s" s="4492">
        <v>0</v>
      </c>
      <c r="AB16" t="s" s="4493">
        <v>0</v>
      </c>
      <c r="AC16" t="s" s="4494">
        <v>0</v>
      </c>
      <c r="AD16" t="s" s="4495">
        <v>0</v>
      </c>
      <c r="AE16" t="s" s="4496">
        <v>0</v>
      </c>
      <c r="AF16" t="s" s="4497">
        <v>0</v>
      </c>
      <c r="AG16" t="s" s="4498">
        <v>0</v>
      </c>
      <c r="AH16" t="s" s="4499">
        <v>0</v>
      </c>
      <c r="AI16" t="s" s="4500">
        <v>0</v>
      </c>
      <c r="AJ16" t="s" s="4501">
        <v>0</v>
      </c>
      <c r="AK16" t="s" s="4502">
        <v>0</v>
      </c>
      <c r="AL16" t="s" s="4503">
        <v>0</v>
      </c>
    </row>
    <row r="17" ht="15.0" customHeight="true"/>
    <row r="18" ht="15.0" customHeight="true">
      <c r="A18" t="s" s="4504">
        <v>0</v>
      </c>
      <c r="B18" t="s" s="4505">
        <v>264</v>
      </c>
      <c r="C18" s="4506">
        <f>COUNTA(A11:A15)</f>
      </c>
      <c r="L18" s="4507">
        <f>SUM(l11:l15)</f>
      </c>
      <c r="M18" s="4508">
        <f>SUM(m11:m15)</f>
      </c>
      <c r="N18" t="s" s="4509">
        <v>0</v>
      </c>
      <c r="O18" s="4510">
        <f>SUM(o11:o15)</f>
      </c>
      <c r="P18" s="4511">
        <f>SUM(p11:p15)</f>
      </c>
      <c r="Q18" t="s" s="4512">
        <v>0</v>
      </c>
      <c r="R18" s="4513">
        <f>SUM(r11:r15)</f>
      </c>
      <c r="S18" s="4514">
        <f>SUM(s11:s15)</f>
      </c>
      <c r="T18" s="4515">
        <f>SUM(t11:t15)</f>
      </c>
      <c r="U18" s="4516">
        <f>SUM(u11:u15)</f>
      </c>
      <c r="V18" s="4517">
        <f>SUM(v11:v15)</f>
      </c>
      <c r="W18" s="4518">
        <f>SUM(w11:w15)</f>
      </c>
      <c r="X18" s="4519">
        <f>SUM(x11:x15)</f>
      </c>
      <c r="Y18" s="4520">
        <f>SUM(y11:y15)</f>
      </c>
      <c r="Z18" s="4521">
        <f>SUM(z11:z15)</f>
      </c>
      <c r="AA18" s="4522">
        <f>SUM(aa11:aa15)</f>
      </c>
      <c r="AB18" s="4523">
        <f>SUM(ab11:ab15)</f>
      </c>
      <c r="AC18" s="4524">
        <f>SUM(ac11:ac15)</f>
      </c>
      <c r="AD18" s="4525">
        <f>SUM(ad11:ad15)</f>
      </c>
      <c r="AE18" s="4526">
        <f>SUM(ae11:ae15)</f>
      </c>
      <c r="AF18" s="4527">
        <f>SUM(af11:af15)</f>
      </c>
      <c r="AG18" s="4528">
        <f>SUM(ag11:ag15)</f>
      </c>
      <c r="AH18" s="4529">
        <f>SUM(ah11:ah15)</f>
      </c>
      <c r="AI18" s="4530">
        <f>SUM(ai11:ai15)</f>
      </c>
      <c r="AJ18" s="4531">
        <f>SUM(aj11:aj15)</f>
      </c>
      <c r="AK18" s="4532">
        <f>SUM(ak11:ak15)</f>
      </c>
      <c r="AL18" s="4533">
        <f>SUM(al11:al15)</f>
      </c>
      <c r="AM18" s="4534">
        <f>SUM(am11:am15)</f>
      </c>
      <c r="AN18" s="4535">
        <f>SUM(an11:an15)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536">
        <v>0</v>
      </c>
      <c r="B1" t="s" s="4537">
        <v>1</v>
      </c>
      <c r="Y1" t="s" s="4538">
        <v>6</v>
      </c>
      <c r="Z1" t="n" s="4539">
        <v>2020.0</v>
      </c>
    </row>
    <row r="2" ht="15.0" customHeight="true">
      <c r="A2" t="s" s="4540">
        <v>0</v>
      </c>
      <c r="B2" t="s" s="4541">
        <v>2</v>
      </c>
      <c r="Y2" t="s" s="4542">
        <v>7</v>
      </c>
      <c r="Z2" t="n" s="4543">
        <v>2020.0</v>
      </c>
    </row>
    <row r="3" ht="15.0" customHeight="true">
      <c r="A3" t="s" s="4544">
        <v>0</v>
      </c>
      <c r="B3" t="s" s="4545">
        <v>3</v>
      </c>
    </row>
    <row r="4" ht="15.0" customHeight="true">
      <c r="A4" t="s" s="4546">
        <v>0</v>
      </c>
      <c r="B4" t="s" s="4547">
        <v>4</v>
      </c>
    </row>
    <row r="5" ht="15.0" customHeight="true">
      <c r="A5" t="s" s="4548">
        <v>0</v>
      </c>
      <c r="B5" t="s" s="4549">
        <v>5</v>
      </c>
    </row>
    <row r="6" ht="15.0" customHeight="true"/>
    <row r="7" ht="15.0" customHeight="true"/>
    <row r="8" ht="28.0" customHeight="true">
      <c r="A8" t="s" s="4550">
        <v>0</v>
      </c>
      <c r="B8" t="s" s="4551">
        <v>0</v>
      </c>
      <c r="C8" t="s" s="4552">
        <v>0</v>
      </c>
      <c r="D8" t="s" s="4553">
        <v>0</v>
      </c>
      <c r="E8" t="s" s="4554">
        <v>0</v>
      </c>
      <c r="F8" t="s" s="4555">
        <v>0</v>
      </c>
      <c r="G8" t="s" s="4556">
        <v>0</v>
      </c>
      <c r="H8" t="s" s="4557">
        <v>0</v>
      </c>
      <c r="I8" t="s" s="4558">
        <v>0</v>
      </c>
      <c r="J8" t="s" s="4559">
        <v>0</v>
      </c>
      <c r="K8" t="s" s="4560">
        <v>0</v>
      </c>
      <c r="L8" t="s" s="4561">
        <v>0</v>
      </c>
      <c r="M8" t="s" s="4562">
        <v>0</v>
      </c>
      <c r="N8" t="s" s="4563">
        <v>0</v>
      </c>
      <c r="O8" t="s" s="4564">
        <v>0</v>
      </c>
      <c r="P8" t="s" s="4565">
        <v>0</v>
      </c>
      <c r="Q8" t="s" s="4566">
        <v>0</v>
      </c>
      <c r="R8" t="s" s="4567">
        <v>0</v>
      </c>
      <c r="S8" t="s" s="4568">
        <v>0</v>
      </c>
      <c r="T8" t="s" s="4569">
        <v>0</v>
      </c>
      <c r="U8" t="s" s="4570">
        <v>0</v>
      </c>
      <c r="V8" t="s" s="4571">
        <v>0</v>
      </c>
      <c r="W8" t="s" s="4572">
        <v>0</v>
      </c>
      <c r="X8" t="s" s="4573">
        <v>0</v>
      </c>
      <c r="Y8" t="s" s="4574">
        <v>0</v>
      </c>
      <c r="Z8" t="s" s="4575">
        <v>0</v>
      </c>
      <c r="AA8" t="s" s="4576">
        <v>0</v>
      </c>
      <c r="AB8" t="s" s="4577">
        <v>0</v>
      </c>
      <c r="AC8" t="s" s="4578">
        <v>8</v>
      </c>
      <c r="AD8" t="s" s="4579">
        <v>0</v>
      </c>
      <c r="AE8" t="s" s="4580">
        <v>0</v>
      </c>
      <c r="AF8" t="s" s="4581">
        <v>0</v>
      </c>
      <c r="AG8" t="s" s="4582">
        <v>0</v>
      </c>
      <c r="AH8" t="s" s="4583">
        <v>0</v>
      </c>
      <c r="AI8" t="s" s="4584">
        <v>0</v>
      </c>
      <c r="AJ8" t="s" s="4585">
        <v>0</v>
      </c>
      <c r="AK8" t="s" s="4586">
        <v>0</v>
      </c>
      <c r="AL8" t="s" s="4587">
        <v>0</v>
      </c>
      <c r="AM8" t="s" s="4588">
        <v>0</v>
      </c>
      <c r="AN8" t="s" s="4589">
        <v>0</v>
      </c>
      <c r="AO8" t="s" s="4590">
        <v>0</v>
      </c>
    </row>
    <row r="9" ht="41.0" customHeight="true">
      <c r="A9" t="s" s="4591">
        <v>9</v>
      </c>
      <c r="B9" t="s" s="4592">
        <v>10</v>
      </c>
      <c r="C9" t="s" s="4593">
        <v>11</v>
      </c>
      <c r="D9" t="s" s="4594">
        <v>12</v>
      </c>
      <c r="E9" t="s" s="4595">
        <v>13</v>
      </c>
      <c r="F9" t="s" s="4596">
        <v>14</v>
      </c>
      <c r="G9" t="s" s="4597">
        <v>15</v>
      </c>
      <c r="H9" t="s" s="4598">
        <v>16</v>
      </c>
      <c r="I9" t="s" s="4599">
        <v>17</v>
      </c>
      <c r="J9" t="s" s="4600">
        <v>18</v>
      </c>
      <c r="K9" t="s" s="4601">
        <v>19</v>
      </c>
      <c r="L9" t="s" s="4602">
        <v>20</v>
      </c>
      <c r="M9" t="s" s="4603">
        <v>21</v>
      </c>
      <c r="N9" t="s" s="4604">
        <v>22</v>
      </c>
      <c r="O9" t="s" s="4605">
        <v>23</v>
      </c>
      <c r="P9" t="s" s="4606">
        <v>24</v>
      </c>
      <c r="Q9" t="s" s="4607">
        <v>25</v>
      </c>
      <c r="R9" t="s" s="4608">
        <v>26</v>
      </c>
      <c r="S9" t="s" s="4609">
        <v>27</v>
      </c>
      <c r="T9" t="s" s="4610">
        <v>28</v>
      </c>
      <c r="U9" t="s" s="4611">
        <v>29</v>
      </c>
      <c r="V9" t="s" s="4612">
        <v>30</v>
      </c>
      <c r="W9" t="s" s="4613">
        <v>31</v>
      </c>
      <c r="X9" t="s" s="4614">
        <v>32</v>
      </c>
      <c r="Y9" t="s" s="4615">
        <v>33</v>
      </c>
      <c r="Z9" t="s" s="4616">
        <v>34</v>
      </c>
      <c r="AA9" t="s" s="4617">
        <v>35</v>
      </c>
      <c r="AB9" t="s" s="4618">
        <v>36</v>
      </c>
      <c r="AC9" t="s" s="4619">
        <v>37</v>
      </c>
      <c r="AD9" t="s" s="4620">
        <v>38</v>
      </c>
      <c r="AE9" t="s" s="4621">
        <v>39</v>
      </c>
      <c r="AF9" t="s" s="4622">
        <v>40</v>
      </c>
      <c r="AG9" t="s" s="4623">
        <v>41</v>
      </c>
      <c r="AH9" t="s" s="4624">
        <v>42</v>
      </c>
      <c r="AI9" t="s" s="4625">
        <v>43</v>
      </c>
      <c r="AJ9" t="s" s="4626">
        <v>44</v>
      </c>
      <c r="AK9" t="s" s="4627">
        <v>45</v>
      </c>
      <c r="AL9" t="s" s="4628">
        <v>46</v>
      </c>
      <c r="AM9" t="s" s="4629">
        <v>47</v>
      </c>
      <c r="AN9" t="s" s="4630">
        <v>48</v>
      </c>
      <c r="AO9" t="s" s="4631">
        <v>49</v>
      </c>
    </row>
    <row r="10" ht="15.0" customHeight="true">
      <c r="A10" t="s" s="4632">
        <v>0</v>
      </c>
      <c r="B10" t="s" s="4633">
        <v>0</v>
      </c>
      <c r="C10" t="s" s="4634">
        <v>0</v>
      </c>
      <c r="D10" t="s" s="4635">
        <v>0</v>
      </c>
      <c r="E10" t="s" s="4636">
        <v>0</v>
      </c>
      <c r="F10" t="s" s="4637">
        <v>0</v>
      </c>
      <c r="G10" t="s" s="4638">
        <v>0</v>
      </c>
      <c r="H10" t="s" s="4639">
        <v>0</v>
      </c>
      <c r="I10" t="s" s="4640">
        <v>0</v>
      </c>
      <c r="J10" t="s" s="4641">
        <v>0</v>
      </c>
      <c r="K10" t="s" s="4642">
        <v>0</v>
      </c>
      <c r="L10" t="s" s="4643">
        <v>0</v>
      </c>
      <c r="M10" t="s" s="4644">
        <v>0</v>
      </c>
      <c r="N10" t="s" s="4645">
        <v>0</v>
      </c>
      <c r="O10" t="s" s="4646">
        <v>0</v>
      </c>
      <c r="P10" t="s" s="4647">
        <v>0</v>
      </c>
      <c r="Q10" t="s" s="4648">
        <v>0</v>
      </c>
      <c r="R10" t="s" s="4649">
        <v>0</v>
      </c>
      <c r="S10" t="s" s="4650">
        <v>0</v>
      </c>
      <c r="T10" t="s" s="4651">
        <v>0</v>
      </c>
      <c r="U10" t="s" s="4652">
        <v>0</v>
      </c>
      <c r="V10" t="s" s="4653">
        <v>0</v>
      </c>
      <c r="W10" t="s" s="4654">
        <v>0</v>
      </c>
      <c r="X10" t="s" s="4655">
        <v>0</v>
      </c>
      <c r="Y10" t="n" s="4656">
        <v>1.5</v>
      </c>
      <c r="Z10" t="n" s="4657">
        <v>1.5</v>
      </c>
      <c r="AA10" t="n" s="4658">
        <v>2.0</v>
      </c>
      <c r="AB10" t="n" s="4659">
        <v>2.0</v>
      </c>
      <c r="AC10" t="n" s="4660">
        <v>3.0</v>
      </c>
      <c r="AD10" t="n" s="4661">
        <v>3.0</v>
      </c>
      <c r="AE10" t="s" s="4662">
        <v>50</v>
      </c>
      <c r="AF10" t="s" s="4663">
        <v>50</v>
      </c>
      <c r="AG10" t="s" s="4664">
        <v>0</v>
      </c>
      <c r="AH10" t="s" s="4665">
        <v>0</v>
      </c>
      <c r="AI10" t="s" s="4666">
        <v>0</v>
      </c>
      <c r="AJ10" t="s" s="4667">
        <v>0</v>
      </c>
      <c r="AK10" t="s" s="4668">
        <v>0</v>
      </c>
      <c r="AL10" t="s" s="4669">
        <v>0</v>
      </c>
      <c r="AM10" t="s" s="4670">
        <v>0</v>
      </c>
      <c r="AN10" t="s" s="4671">
        <v>0</v>
      </c>
      <c r="AO10" t="s" s="4672">
        <v>0</v>
      </c>
    </row>
    <row r="11" ht="15.0" customHeight="true">
      <c r="A11" t="s" s="4673">
        <v>156</v>
      </c>
      <c r="B11" t="s" s="4674">
        <v>157</v>
      </c>
      <c r="C11" t="s" s="4675">
        <v>158</v>
      </c>
      <c r="D11" t="s" s="4676">
        <v>159</v>
      </c>
      <c r="E11" t="s" s="4677">
        <v>55</v>
      </c>
      <c r="F11" t="s" s="4678">
        <v>160</v>
      </c>
      <c r="G11" t="s" s="4679">
        <v>161</v>
      </c>
      <c r="H11" t="s" s="4680">
        <v>162</v>
      </c>
      <c r="I11" t="n" s="4681">
        <v>43952.0</v>
      </c>
      <c r="J11" t="n" s="4682">
        <v>44104.0</v>
      </c>
      <c r="K11" t="s" s="4683">
        <v>0</v>
      </c>
      <c r="L11" t="n" s="4684">
        <v>0.0</v>
      </c>
      <c r="M11" t="n" s="4685">
        <v>0.0</v>
      </c>
      <c r="N11" t="n" s="4686">
        <v>0.0</v>
      </c>
      <c r="O11" s="4687">
        <f>M11*N11</f>
      </c>
      <c r="P11" t="n" s="4688">
        <v>0.0</v>
      </c>
      <c r="Q11" t="n" s="4689">
        <v>0.0</v>
      </c>
      <c r="R11" s="4690">
        <f>P11*Q11</f>
      </c>
      <c r="S11" t="n" s="4691">
        <v>0.0</v>
      </c>
      <c r="T11" t="n" s="4692">
        <v>0.0</v>
      </c>
      <c r="U11" t="n" s="4693">
        <v>0.0</v>
      </c>
      <c r="V11" s="4694">
        <f>L11+O11+R11</f>
      </c>
      <c r="W11" t="n" s="4695">
        <v>7.0</v>
      </c>
      <c r="X11" s="4696">
        <f>s11+t11+u11+w11</f>
      </c>
      <c r="Y11" t="n" s="4697">
        <v>0.0</v>
      </c>
      <c r="Z11" t="n" s="4698">
        <v>0.0</v>
      </c>
      <c r="AA11" t="n" s="4699">
        <v>0.0</v>
      </c>
      <c r="AB11" t="n" s="4700">
        <v>0.0</v>
      </c>
      <c r="AC11" t="n" s="4701">
        <v>0.0</v>
      </c>
      <c r="AD11" t="n" s="4702">
        <v>0.0</v>
      </c>
      <c r="AE11" s="4703">
        <f>y11+aa11+ac11</f>
      </c>
      <c r="AF11" s="4704">
        <f>z11+ab11+ad11</f>
      </c>
      <c r="AG11" t="n" s="4705">
        <v>0.0</v>
      </c>
      <c r="AH11" t="n" s="4706">
        <v>2.1</v>
      </c>
      <c r="AI11" t="n" s="4707">
        <v>0.25</v>
      </c>
      <c r="AJ11" s="4708">
        <f>x11+af11+ag11+ah11+ai11</f>
      </c>
      <c r="AK11" s="4709">
        <f>ROUND((l11+t11+af11+ag11+ah11+ai11+w11)*0.05,2)</f>
      </c>
      <c r="AL11" s="4710">
        <f>aj11+ak11</f>
      </c>
      <c r="AM11" s="4711">
        <f>180*0.06</f>
      </c>
      <c r="AN11" s="4712">
        <f>al11+am11</f>
      </c>
      <c r="AO11" t="s" s="4713">
        <v>0</v>
      </c>
    </row>
    <row r="12" ht="15.0" customHeight="true">
      <c r="A12" t="s" s="4714">
        <v>163</v>
      </c>
      <c r="B12" t="s" s="4715">
        <v>164</v>
      </c>
      <c r="C12" t="s" s="4716">
        <v>165</v>
      </c>
      <c r="D12" t="s" s="4717">
        <v>166</v>
      </c>
      <c r="E12" t="s" s="4718">
        <v>55</v>
      </c>
      <c r="F12" t="s" s="4719">
        <v>167</v>
      </c>
      <c r="G12" t="s" s="4720">
        <v>161</v>
      </c>
      <c r="H12" t="s" s="4721">
        <v>162</v>
      </c>
      <c r="I12" t="n" s="4722">
        <v>43952.0</v>
      </c>
      <c r="J12" t="n" s="4723">
        <v>44104.0</v>
      </c>
      <c r="K12" t="s" s="4724">
        <v>0</v>
      </c>
      <c r="L12" t="n" s="4725">
        <v>0.0</v>
      </c>
      <c r="M12" t="n" s="4726">
        <v>0.0</v>
      </c>
      <c r="N12" t="n" s="4727">
        <v>0.0</v>
      </c>
      <c r="O12" s="4728">
        <f>M12*N12</f>
      </c>
      <c r="P12" t="n" s="4729">
        <v>0.0</v>
      </c>
      <c r="Q12" t="n" s="4730">
        <v>0.0</v>
      </c>
      <c r="R12" s="4731">
        <f>P12*Q12</f>
      </c>
      <c r="S12" t="n" s="4732">
        <v>0.0</v>
      </c>
      <c r="T12" t="n" s="4733">
        <v>0.0</v>
      </c>
      <c r="U12" t="n" s="4734">
        <v>17.8</v>
      </c>
      <c r="V12" s="4735">
        <f>L12+O12+R12</f>
      </c>
      <c r="W12" t="n" s="4736">
        <v>2000.0</v>
      </c>
      <c r="X12" s="4737">
        <f>s12+t12+u12+w12</f>
      </c>
      <c r="Y12" t="n" s="4738">
        <v>0.0</v>
      </c>
      <c r="Z12" t="n" s="4739">
        <v>0.0</v>
      </c>
      <c r="AA12" t="n" s="4740">
        <v>0.0</v>
      </c>
      <c r="AB12" t="n" s="4741">
        <v>0.0</v>
      </c>
      <c r="AC12" t="n" s="4742">
        <v>0.0</v>
      </c>
      <c r="AD12" t="n" s="4743">
        <v>0.0</v>
      </c>
      <c r="AE12" s="4744">
        <f>y12+aa12+ac12</f>
      </c>
      <c r="AF12" s="4745">
        <f>z12+ab12+ad12</f>
      </c>
      <c r="AG12" t="n" s="4746">
        <v>268.0</v>
      </c>
      <c r="AH12" t="n" s="4747">
        <v>37.65</v>
      </c>
      <c r="AI12" t="n" s="4748">
        <v>4.3</v>
      </c>
      <c r="AJ12" s="4749">
        <f>x12+af12+ag12+ah12+ai12</f>
      </c>
      <c r="AK12" s="4750">
        <f>ROUND((l12+t12+af12+ag12+ah12+ai12+w12)*0.05,2)</f>
      </c>
      <c r="AL12" s="4751">
        <f>aj12+ak12</f>
      </c>
      <c r="AM12" s="4752">
        <f>197.8*0.06</f>
      </c>
      <c r="AN12" s="4753">
        <f>al12+am12</f>
      </c>
      <c r="AO12" t="s" s="4754">
        <v>0</v>
      </c>
    </row>
    <row r="13" ht="15.0" customHeight="true">
      <c r="A13" t="s" s="4755">
        <v>168</v>
      </c>
      <c r="B13" t="s" s="4756">
        <v>169</v>
      </c>
      <c r="C13" t="s" s="4757">
        <v>170</v>
      </c>
      <c r="D13" t="s" s="4758">
        <v>171</v>
      </c>
      <c r="E13" t="s" s="4759">
        <v>55</v>
      </c>
      <c r="F13" t="s" s="4760">
        <v>160</v>
      </c>
      <c r="G13" t="s" s="4761">
        <v>161</v>
      </c>
      <c r="H13" t="s" s="4762">
        <v>162</v>
      </c>
      <c r="I13" t="n" s="4763">
        <v>43952.0</v>
      </c>
      <c r="J13" t="n" s="4764">
        <v>44104.0</v>
      </c>
      <c r="K13" t="s" s="4765">
        <v>0</v>
      </c>
      <c r="L13" t="n" s="4766">
        <v>0.0</v>
      </c>
      <c r="M13" t="n" s="4767">
        <v>0.0</v>
      </c>
      <c r="N13" t="n" s="4768">
        <v>0.0</v>
      </c>
      <c r="O13" s="4769">
        <f>M13*N13</f>
      </c>
      <c r="P13" t="n" s="4770">
        <v>0.0</v>
      </c>
      <c r="Q13" t="n" s="4771">
        <v>0.0</v>
      </c>
      <c r="R13" s="4772">
        <f>P13*Q13</f>
      </c>
      <c r="S13" t="n" s="4773">
        <v>0.0</v>
      </c>
      <c r="T13" t="n" s="4774">
        <v>0.0</v>
      </c>
      <c r="U13" t="n" s="4775">
        <v>10.0</v>
      </c>
      <c r="V13" s="4776">
        <f>L13+O13+R13</f>
      </c>
      <c r="W13" t="n" s="4777">
        <v>5.0</v>
      </c>
      <c r="X13" s="4778">
        <f>s13+t13+u13+w13</f>
      </c>
      <c r="Y13" t="n" s="4779">
        <v>0.0</v>
      </c>
      <c r="Z13" t="n" s="4780">
        <v>0.0</v>
      </c>
      <c r="AA13" t="n" s="4781">
        <v>8.0</v>
      </c>
      <c r="AB13" t="n" s="4782">
        <v>121.52</v>
      </c>
      <c r="AC13" t="n" s="4783">
        <v>0.0</v>
      </c>
      <c r="AD13" t="n" s="4784">
        <v>0.0</v>
      </c>
      <c r="AE13" s="4785">
        <f>y13+aa13+ac13</f>
      </c>
      <c r="AF13" s="4786">
        <f>z13+ab13+ad13</f>
      </c>
      <c r="AG13" t="n" s="4787">
        <v>0.0</v>
      </c>
      <c r="AH13" t="n" s="4788">
        <v>2.1</v>
      </c>
      <c r="AI13" t="n" s="4789">
        <v>0.25</v>
      </c>
      <c r="AJ13" s="4790">
        <f>x13+af13+ag13+ah13+ai13</f>
      </c>
      <c r="AK13" s="4791">
        <f>ROUND((l13+t13+af13+ag13+ah13+ai13+w13)*0.05,2)</f>
      </c>
      <c r="AL13" s="4792">
        <f>aj13+ak13</f>
      </c>
      <c r="AM13" s="4793">
        <f>190*0.06</f>
      </c>
      <c r="AN13" s="4794">
        <f>al13+am13</f>
      </c>
      <c r="AO13" t="s" s="4795">
        <v>0</v>
      </c>
    </row>
    <row r="14" ht="15.0" customHeight="true">
      <c r="A14" t="s" s="4796">
        <v>172</v>
      </c>
      <c r="B14" t="s" s="4797">
        <v>173</v>
      </c>
      <c r="C14" t="s" s="4798">
        <v>174</v>
      </c>
      <c r="D14" t="s" s="4799">
        <v>175</v>
      </c>
      <c r="E14" t="s" s="4800">
        <v>55</v>
      </c>
      <c r="F14" t="s" s="4801">
        <v>176</v>
      </c>
      <c r="G14" t="s" s="4802">
        <v>161</v>
      </c>
      <c r="H14" t="s" s="4803">
        <v>162</v>
      </c>
      <c r="I14" t="n" s="4804">
        <v>43952.0</v>
      </c>
      <c r="J14" t="n" s="4805">
        <v>44104.0</v>
      </c>
      <c r="K14" t="s" s="4806">
        <v>0</v>
      </c>
      <c r="L14" t="n" s="4807">
        <v>0.0</v>
      </c>
      <c r="M14" t="n" s="4808">
        <v>0.0</v>
      </c>
      <c r="N14" t="n" s="4809">
        <v>0.0</v>
      </c>
      <c r="O14" s="4810">
        <f>M14*N14</f>
      </c>
      <c r="P14" t="n" s="4811">
        <v>0.0</v>
      </c>
      <c r="Q14" t="n" s="4812">
        <v>0.0</v>
      </c>
      <c r="R14" s="4813">
        <f>P14*Q14</f>
      </c>
      <c r="S14" t="n" s="4814">
        <v>0.0</v>
      </c>
      <c r="T14" t="n" s="4815">
        <v>0.0</v>
      </c>
      <c r="U14" t="n" s="4816">
        <v>10.0</v>
      </c>
      <c r="V14" s="4817">
        <f>L14+O14+R14</f>
      </c>
      <c r="W14" t="n" s="4818">
        <v>7.0</v>
      </c>
      <c r="X14" s="4819">
        <f>s14+t14+u14+w14</f>
      </c>
      <c r="Y14" t="n" s="4820">
        <v>0.0</v>
      </c>
      <c r="Z14" t="n" s="4821">
        <v>0.0</v>
      </c>
      <c r="AA14" t="n" s="4822">
        <v>8.0</v>
      </c>
      <c r="AB14" t="n" s="4823">
        <v>131.52</v>
      </c>
      <c r="AC14" t="n" s="4824">
        <v>0.0</v>
      </c>
      <c r="AD14" t="n" s="4825">
        <v>0.0</v>
      </c>
      <c r="AE14" s="4826">
        <f>y14+aa14+ac14</f>
      </c>
      <c r="AF14" s="4827">
        <f>z14+ab14+ad14</f>
      </c>
      <c r="AG14" t="n" s="4828">
        <v>63.0</v>
      </c>
      <c r="AH14" t="n" s="4829">
        <v>9.65</v>
      </c>
      <c r="AI14" t="n" s="4830">
        <v>1.1</v>
      </c>
      <c r="AJ14" s="4831">
        <f>x14+af14+ag14+ah14+ai14</f>
      </c>
      <c r="AK14" s="4832">
        <f>ROUND((l14+t14+af14+ag14+ah14+ai14+w14)*0.05,2)</f>
      </c>
      <c r="AL14" s="4833">
        <f>aj14+ak14</f>
      </c>
      <c r="AM14" s="4834">
        <f>190*0.06</f>
      </c>
      <c r="AN14" s="4835">
        <f>al14+am14</f>
      </c>
      <c r="AO14" t="s" s="4836">
        <v>0</v>
      </c>
    </row>
    <row r="15" ht="15.0" customHeight="true">
      <c r="A15" t="s" s="4837">
        <v>177</v>
      </c>
      <c r="B15" t="s" s="4838">
        <v>178</v>
      </c>
      <c r="C15" t="s" s="4839">
        <v>179</v>
      </c>
      <c r="D15" t="s" s="4840">
        <v>180</v>
      </c>
      <c r="E15" t="s" s="4841">
        <v>55</v>
      </c>
      <c r="F15" t="s" s="4842">
        <v>181</v>
      </c>
      <c r="G15" t="s" s="4843">
        <v>161</v>
      </c>
      <c r="H15" t="s" s="4844">
        <v>162</v>
      </c>
      <c r="I15" t="n" s="4845">
        <v>43952.0</v>
      </c>
      <c r="J15" t="n" s="4846">
        <v>44104.0</v>
      </c>
      <c r="K15" t="s" s="4847">
        <v>0</v>
      </c>
      <c r="L15" t="n" s="4848">
        <v>0.0</v>
      </c>
      <c r="M15" t="n" s="4849">
        <v>0.0</v>
      </c>
      <c r="N15" t="n" s="4850">
        <v>0.0</v>
      </c>
      <c r="O15" s="4851">
        <f>M15*N15</f>
      </c>
      <c r="P15" t="n" s="4852">
        <v>0.0</v>
      </c>
      <c r="Q15" t="n" s="4853">
        <v>0.0</v>
      </c>
      <c r="R15" s="4854">
        <f>P15*Q15</f>
      </c>
      <c r="S15" t="n" s="4855">
        <v>0.0</v>
      </c>
      <c r="T15" t="n" s="4856">
        <v>0.0</v>
      </c>
      <c r="U15" t="n" s="4857">
        <v>0.0</v>
      </c>
      <c r="V15" s="4858">
        <f>L15+O15+R15</f>
      </c>
      <c r="W15" t="n" s="4859">
        <v>0.0</v>
      </c>
      <c r="X15" s="4860">
        <f>s15+t15+u15+w15</f>
      </c>
      <c r="Y15" t="n" s="4861">
        <v>0.0</v>
      </c>
      <c r="Z15" t="n" s="4862">
        <v>0.0</v>
      </c>
      <c r="AA15" t="n" s="4863">
        <v>0.0</v>
      </c>
      <c r="AB15" t="n" s="4864">
        <v>0.0</v>
      </c>
      <c r="AC15" t="n" s="4865">
        <v>0.0</v>
      </c>
      <c r="AD15" t="n" s="4866">
        <v>0.0</v>
      </c>
      <c r="AE15" s="4867">
        <f>y15+aa15+ac15</f>
      </c>
      <c r="AF15" s="4868">
        <f>z15+ab15+ad15</f>
      </c>
      <c r="AG15" t="n" s="4869">
        <v>34.0</v>
      </c>
      <c r="AH15" t="n" s="4870">
        <v>6.15</v>
      </c>
      <c r="AI15" t="n" s="4871">
        <v>0.7</v>
      </c>
      <c r="AJ15" s="4872">
        <f>x15+af15+ag15+ah15+ai15</f>
      </c>
      <c r="AK15" s="4873">
        <f>ROUND((l15+t15+af15+ag15+ah15+ai15+w15)*0.05,2)</f>
      </c>
      <c r="AL15" s="4874">
        <f>aj15+ak15</f>
      </c>
      <c r="AM15" s="4875">
        <f>180*0.06</f>
      </c>
      <c r="AN15" s="4876">
        <f>al15+am15</f>
      </c>
      <c r="AO15" t="s" s="4877">
        <v>0</v>
      </c>
    </row>
    <row r="16" ht="15.0" customHeight="true">
      <c r="A16" t="s" s="4878">
        <v>182</v>
      </c>
      <c r="B16" t="s" s="4879">
        <v>183</v>
      </c>
      <c r="C16" t="s" s="4880">
        <v>184</v>
      </c>
      <c r="D16" t="s" s="4881">
        <v>185</v>
      </c>
      <c r="E16" t="s" s="4882">
        <v>55</v>
      </c>
      <c r="F16" t="s" s="4883">
        <v>186</v>
      </c>
      <c r="G16" t="s" s="4884">
        <v>161</v>
      </c>
      <c r="H16" t="s" s="4885">
        <v>162</v>
      </c>
      <c r="I16" t="n" s="4886">
        <v>43952.0</v>
      </c>
      <c r="J16" t="n" s="4887">
        <v>44104.0</v>
      </c>
      <c r="K16" t="s" s="4888">
        <v>0</v>
      </c>
      <c r="L16" t="n" s="4889">
        <v>0.0</v>
      </c>
      <c r="M16" t="n" s="4890">
        <v>0.0</v>
      </c>
      <c r="N16" t="n" s="4891">
        <v>0.0</v>
      </c>
      <c r="O16" s="4892">
        <f>M16*N16</f>
      </c>
      <c r="P16" t="n" s="4893">
        <v>0.0</v>
      </c>
      <c r="Q16" t="n" s="4894">
        <v>0.0</v>
      </c>
      <c r="R16" s="4895">
        <f>P16*Q16</f>
      </c>
      <c r="S16" t="n" s="4896">
        <v>0.0</v>
      </c>
      <c r="T16" t="n" s="4897">
        <v>0.0</v>
      </c>
      <c r="U16" t="n" s="4898">
        <v>10.0</v>
      </c>
      <c r="V16" s="4899">
        <f>L16+O16+R16</f>
      </c>
      <c r="W16" t="n" s="4900">
        <v>2353.0</v>
      </c>
      <c r="X16" s="4901">
        <f>s16+t16+u16+w16</f>
      </c>
      <c r="Y16" t="n" s="4902">
        <v>0.0</v>
      </c>
      <c r="Z16" t="n" s="4903">
        <v>0.0</v>
      </c>
      <c r="AA16" t="n" s="4904">
        <v>0.0</v>
      </c>
      <c r="AB16" t="n" s="4905">
        <v>0.0</v>
      </c>
      <c r="AC16" t="n" s="4906">
        <v>0.0</v>
      </c>
      <c r="AD16" t="n" s="4907">
        <v>0.0</v>
      </c>
      <c r="AE16" s="4908">
        <f>y16+aa16+ac16</f>
      </c>
      <c r="AF16" s="4909">
        <f>z16+ab16+ad16</f>
      </c>
      <c r="AG16" t="n" s="4910">
        <v>318.0</v>
      </c>
      <c r="AH16" t="n" s="4911">
        <v>44.65</v>
      </c>
      <c r="AI16" t="n" s="4912">
        <v>5.1</v>
      </c>
      <c r="AJ16" s="4913">
        <f>x16+af16+ag16+ah16+ai16</f>
      </c>
      <c r="AK16" s="4914">
        <f>ROUND((l16+t16+af16+ag16+ah16+ai16+w16)*0.05,2)</f>
      </c>
      <c r="AL16" s="4915">
        <f>aj16+ak16</f>
      </c>
      <c r="AM16" s="4916">
        <f>190*0.06</f>
      </c>
      <c r="AN16" s="4917">
        <f>al16+am16</f>
      </c>
      <c r="AO16" t="s" s="4918">
        <v>0</v>
      </c>
    </row>
    <row r="17" ht="15.0" customHeight="true">
      <c r="A17" t="s" s="4919">
        <v>187</v>
      </c>
      <c r="B17" t="s" s="4920">
        <v>188</v>
      </c>
      <c r="C17" t="s" s="4921">
        <v>189</v>
      </c>
      <c r="D17" t="s" s="4922">
        <v>190</v>
      </c>
      <c r="E17" t="s" s="4923">
        <v>55</v>
      </c>
      <c r="F17" t="s" s="4924">
        <v>191</v>
      </c>
      <c r="G17" t="s" s="4925">
        <v>161</v>
      </c>
      <c r="H17" t="s" s="4926">
        <v>162</v>
      </c>
      <c r="I17" t="n" s="4927">
        <v>43952.0</v>
      </c>
      <c r="J17" t="n" s="4928">
        <v>44104.0</v>
      </c>
      <c r="K17" t="s" s="4929">
        <v>0</v>
      </c>
      <c r="L17" t="n" s="4930">
        <v>0.0</v>
      </c>
      <c r="M17" t="n" s="4931">
        <v>0.0</v>
      </c>
      <c r="N17" t="n" s="4932">
        <v>0.0</v>
      </c>
      <c r="O17" s="4933">
        <f>M17*N17</f>
      </c>
      <c r="P17" t="n" s="4934">
        <v>0.0</v>
      </c>
      <c r="Q17" t="n" s="4935">
        <v>0.0</v>
      </c>
      <c r="R17" s="4936">
        <f>P17*Q17</f>
      </c>
      <c r="S17" t="n" s="4937">
        <v>0.0</v>
      </c>
      <c r="T17" t="n" s="4938">
        <v>0.0</v>
      </c>
      <c r="U17" t="n" s="4939">
        <v>0.0</v>
      </c>
      <c r="V17" s="4940">
        <f>L17+O17+R17</f>
      </c>
      <c r="W17" t="n" s="4941">
        <v>0.0</v>
      </c>
      <c r="X17" s="4942">
        <f>s17+t17+u17+w17</f>
      </c>
      <c r="Y17" t="n" s="4943">
        <v>0.0</v>
      </c>
      <c r="Z17" t="n" s="4944">
        <v>0.0</v>
      </c>
      <c r="AA17" t="n" s="4945">
        <v>0.0</v>
      </c>
      <c r="AB17" t="n" s="4946">
        <v>0.0</v>
      </c>
      <c r="AC17" t="n" s="4947">
        <v>0.0</v>
      </c>
      <c r="AD17" t="n" s="4948">
        <v>0.0</v>
      </c>
      <c r="AE17" s="4949">
        <f>y17+aa17+ac17</f>
      </c>
      <c r="AF17" s="4950">
        <f>z17+ab17+ad17</f>
      </c>
      <c r="AG17" t="n" s="4951">
        <v>63.0</v>
      </c>
      <c r="AH17" t="n" s="4952">
        <v>9.65</v>
      </c>
      <c r="AI17" t="n" s="4953">
        <v>1.1</v>
      </c>
      <c r="AJ17" s="4954">
        <f>x17+af17+ag17+ah17+ai17</f>
      </c>
      <c r="AK17" s="4955">
        <f>ROUND((l17+t17+af17+ag17+ah17+ai17+w17)*0.05,2)</f>
      </c>
      <c r="AL17" s="4956">
        <f>aj17+ak17</f>
      </c>
      <c r="AM17" s="4957">
        <f>180*0.06</f>
      </c>
      <c r="AN17" s="4958">
        <f>al17+am17</f>
      </c>
      <c r="AO17" t="s" s="4959">
        <v>0</v>
      </c>
    </row>
    <row r="18" ht="15.0" customHeight="true">
      <c r="A18" t="s" s="4960">
        <v>192</v>
      </c>
      <c r="B18" t="s" s="4961">
        <v>193</v>
      </c>
      <c r="C18" t="s" s="4962">
        <v>194</v>
      </c>
      <c r="D18" t="s" s="4963">
        <v>195</v>
      </c>
      <c r="E18" t="s" s="4964">
        <v>55</v>
      </c>
      <c r="F18" t="s" s="4965">
        <v>196</v>
      </c>
      <c r="G18" t="s" s="4966">
        <v>161</v>
      </c>
      <c r="H18" t="s" s="4967">
        <v>162</v>
      </c>
      <c r="I18" t="n" s="4968">
        <v>43952.0</v>
      </c>
      <c r="J18" t="n" s="4969">
        <v>44104.0</v>
      </c>
      <c r="K18" t="s" s="4970">
        <v>0</v>
      </c>
      <c r="L18" t="n" s="4971">
        <v>0.0</v>
      </c>
      <c r="M18" t="n" s="4972">
        <v>0.0</v>
      </c>
      <c r="N18" t="n" s="4973">
        <v>0.0</v>
      </c>
      <c r="O18" s="4974">
        <f>M18*N18</f>
      </c>
      <c r="P18" t="n" s="4975">
        <v>0.0</v>
      </c>
      <c r="Q18" t="n" s="4976">
        <v>0.0</v>
      </c>
      <c r="R18" s="4977">
        <f>P18*Q18</f>
      </c>
      <c r="S18" t="n" s="4978">
        <v>0.0</v>
      </c>
      <c r="T18" t="n" s="4979">
        <v>0.0</v>
      </c>
      <c r="U18" t="n" s="4980">
        <v>10.0</v>
      </c>
      <c r="V18" s="4981">
        <f>L18+O18+R18</f>
      </c>
      <c r="W18" t="n" s="4982">
        <v>2002.0</v>
      </c>
      <c r="X18" s="4983">
        <f>s18+t18+u18+w18</f>
      </c>
      <c r="Y18" t="n" s="4984">
        <v>0.0</v>
      </c>
      <c r="Z18" t="n" s="4985">
        <v>0.0</v>
      </c>
      <c r="AA18" t="n" s="4986">
        <v>8.0</v>
      </c>
      <c r="AB18" t="n" s="4987">
        <v>95.36</v>
      </c>
      <c r="AC18" t="n" s="4988">
        <v>0.0</v>
      </c>
      <c r="AD18" t="n" s="4989">
        <v>0.0</v>
      </c>
      <c r="AE18" s="4990">
        <f>y18+aa18+ac18</f>
      </c>
      <c r="AF18" s="4991">
        <f>z18+ab18+ad18</f>
      </c>
      <c r="AG18" t="n" s="4992">
        <v>273.0</v>
      </c>
      <c r="AH18" t="n" s="4993">
        <v>37.65</v>
      </c>
      <c r="AI18" t="n" s="4994">
        <v>4.3</v>
      </c>
      <c r="AJ18" s="4995">
        <f>x18+af18+ag18+ah18+ai18</f>
      </c>
      <c r="AK18" s="4996">
        <f>ROUND((l18+t18+af18+ag18+ah18+ai18+w18)*0.05,2)</f>
      </c>
      <c r="AL18" s="4997">
        <f>aj18+ak18</f>
      </c>
      <c r="AM18" s="4998">
        <f>190*0.06</f>
      </c>
      <c r="AN18" s="4999">
        <f>al18+am18</f>
      </c>
      <c r="AO18" t="s" s="5000">
        <v>0</v>
      </c>
    </row>
    <row r="19" ht="15.0" customHeight="true">
      <c r="L19" t="s" s="5001">
        <v>0</v>
      </c>
      <c r="M19" t="s" s="5002">
        <v>0</v>
      </c>
      <c r="N19" t="s" s="5003">
        <v>0</v>
      </c>
      <c r="O19" t="s" s="5004">
        <v>0</v>
      </c>
      <c r="P19" t="s" s="5005">
        <v>0</v>
      </c>
      <c r="Q19" t="s" s="5006">
        <v>0</v>
      </c>
      <c r="R19" t="s" s="5007">
        <v>0</v>
      </c>
      <c r="S19" t="s" s="5008">
        <v>0</v>
      </c>
      <c r="T19" t="s" s="5009">
        <v>0</v>
      </c>
      <c r="U19" t="s" s="5010">
        <v>0</v>
      </c>
      <c r="V19" t="s" s="5011">
        <v>0</v>
      </c>
      <c r="W19" t="s" s="5012">
        <v>0</v>
      </c>
      <c r="X19" t="s" s="5013">
        <v>0</v>
      </c>
      <c r="Y19" t="s" s="5014">
        <v>0</v>
      </c>
      <c r="Z19" t="s" s="5015">
        <v>0</v>
      </c>
      <c r="AA19" t="s" s="5016">
        <v>0</v>
      </c>
      <c r="AB19" t="s" s="5017">
        <v>0</v>
      </c>
      <c r="AC19" t="s" s="5018">
        <v>0</v>
      </c>
      <c r="AD19" t="s" s="5019">
        <v>0</v>
      </c>
      <c r="AE19" t="s" s="5020">
        <v>0</v>
      </c>
      <c r="AF19" t="s" s="5021">
        <v>0</v>
      </c>
      <c r="AG19" t="s" s="5022">
        <v>0</v>
      </c>
      <c r="AH19" t="s" s="5023">
        <v>0</v>
      </c>
      <c r="AI19" t="s" s="5024">
        <v>0</v>
      </c>
      <c r="AJ19" t="s" s="5025">
        <v>0</v>
      </c>
      <c r="AK19" t="s" s="5026">
        <v>0</v>
      </c>
      <c r="AL19" t="s" s="5027">
        <v>0</v>
      </c>
    </row>
    <row r="20" ht="15.0" customHeight="true"/>
    <row r="21" ht="15.0" customHeight="true">
      <c r="A21" t="s" s="5028">
        <v>0</v>
      </c>
      <c r="B21" t="s" s="5029">
        <v>264</v>
      </c>
      <c r="C21" s="5030">
        <f>COUNTA(A11:A18)</f>
      </c>
      <c r="L21" s="5031">
        <f>SUM(l11:l18)</f>
      </c>
      <c r="M21" s="5032">
        <f>SUM(m11:m18)</f>
      </c>
      <c r="N21" t="s" s="5033">
        <v>0</v>
      </c>
      <c r="O21" s="5034">
        <f>SUM(o11:o18)</f>
      </c>
      <c r="P21" s="5035">
        <f>SUM(p11:p18)</f>
      </c>
      <c r="Q21" t="s" s="5036">
        <v>0</v>
      </c>
      <c r="R21" s="5037">
        <f>SUM(r11:r18)</f>
      </c>
      <c r="S21" s="5038">
        <f>SUM(s11:s18)</f>
      </c>
      <c r="T21" s="5039">
        <f>SUM(t11:t18)</f>
      </c>
      <c r="U21" s="5040">
        <f>SUM(u11:u18)</f>
      </c>
      <c r="V21" s="5041">
        <f>SUM(v11:v18)</f>
      </c>
      <c r="W21" s="5042">
        <f>SUM(w11:w18)</f>
      </c>
      <c r="X21" s="5043">
        <f>SUM(x11:x18)</f>
      </c>
      <c r="Y21" s="5044">
        <f>SUM(y11:y18)</f>
      </c>
      <c r="Z21" s="5045">
        <f>SUM(z11:z18)</f>
      </c>
      <c r="AA21" s="5046">
        <f>SUM(aa11:aa18)</f>
      </c>
      <c r="AB21" s="5047">
        <f>SUM(ab11:ab18)</f>
      </c>
      <c r="AC21" s="5048">
        <f>SUM(ac11:ac18)</f>
      </c>
      <c r="AD21" s="5049">
        <f>SUM(ad11:ad18)</f>
      </c>
      <c r="AE21" s="5050">
        <f>SUM(ae11:ae18)</f>
      </c>
      <c r="AF21" s="5051">
        <f>SUM(af11:af18)</f>
      </c>
      <c r="AG21" s="5052">
        <f>SUM(ag11:ag18)</f>
      </c>
      <c r="AH21" s="5053">
        <f>SUM(ah11:ah18)</f>
      </c>
      <c r="AI21" s="5054">
        <f>SUM(ai11:ai18)</f>
      </c>
      <c r="AJ21" s="5055">
        <f>SUM(aj11:aj18)</f>
      </c>
      <c r="AK21" s="5056">
        <f>SUM(ak11:ak18)</f>
      </c>
      <c r="AL21" s="5057">
        <f>SUM(al11:al18)</f>
      </c>
      <c r="AM21" s="5058">
        <f>SUM(am11:am18)</f>
      </c>
      <c r="AN21" s="5059">
        <f>SUM(an11:an18)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5060">
        <v>0</v>
      </c>
      <c r="B1" t="s" s="5061">
        <v>1</v>
      </c>
      <c r="Y1" t="s" s="5062">
        <v>6</v>
      </c>
      <c r="Z1" t="n" s="5063">
        <v>2020.0</v>
      </c>
    </row>
    <row r="2" ht="15.0" customHeight="true">
      <c r="A2" t="s" s="5064">
        <v>0</v>
      </c>
      <c r="B2" t="s" s="5065">
        <v>2</v>
      </c>
      <c r="Y2" t="s" s="5066">
        <v>7</v>
      </c>
      <c r="Z2" t="n" s="5067">
        <v>2020.0</v>
      </c>
    </row>
    <row r="3" ht="15.0" customHeight="true">
      <c r="A3" t="s" s="5068">
        <v>0</v>
      </c>
      <c r="B3" t="s" s="5069">
        <v>3</v>
      </c>
    </row>
    <row r="4" ht="15.0" customHeight="true">
      <c r="A4" t="s" s="5070">
        <v>0</v>
      </c>
      <c r="B4" t="s" s="5071">
        <v>4</v>
      </c>
    </row>
    <row r="5" ht="15.0" customHeight="true">
      <c r="A5" t="s" s="5072">
        <v>0</v>
      </c>
      <c r="B5" t="s" s="5073">
        <v>5</v>
      </c>
    </row>
    <row r="6" ht="15.0" customHeight="true"/>
    <row r="7" ht="15.0" customHeight="true"/>
    <row r="8" ht="28.0" customHeight="true">
      <c r="A8" t="s" s="5074">
        <v>0</v>
      </c>
      <c r="B8" t="s" s="5075">
        <v>0</v>
      </c>
      <c r="C8" t="s" s="5076">
        <v>0</v>
      </c>
      <c r="D8" t="s" s="5077">
        <v>0</v>
      </c>
      <c r="E8" t="s" s="5078">
        <v>0</v>
      </c>
      <c r="F8" t="s" s="5079">
        <v>0</v>
      </c>
      <c r="G8" t="s" s="5080">
        <v>0</v>
      </c>
      <c r="H8" t="s" s="5081">
        <v>0</v>
      </c>
      <c r="I8" t="s" s="5082">
        <v>0</v>
      </c>
      <c r="J8" t="s" s="5083">
        <v>0</v>
      </c>
      <c r="K8" t="s" s="5084">
        <v>0</v>
      </c>
      <c r="L8" t="s" s="5085">
        <v>0</v>
      </c>
      <c r="M8" t="s" s="5086">
        <v>0</v>
      </c>
      <c r="N8" t="s" s="5087">
        <v>0</v>
      </c>
      <c r="O8" t="s" s="5088">
        <v>0</v>
      </c>
      <c r="P8" t="s" s="5089">
        <v>0</v>
      </c>
      <c r="Q8" t="s" s="5090">
        <v>0</v>
      </c>
      <c r="R8" t="s" s="5091">
        <v>0</v>
      </c>
      <c r="S8" t="s" s="5092">
        <v>0</v>
      </c>
      <c r="T8" t="s" s="5093">
        <v>0</v>
      </c>
      <c r="U8" t="s" s="5094">
        <v>0</v>
      </c>
      <c r="V8" t="s" s="5095">
        <v>0</v>
      </c>
      <c r="W8" t="s" s="5096">
        <v>0</v>
      </c>
      <c r="X8" t="s" s="5097">
        <v>0</v>
      </c>
      <c r="Y8" t="s" s="5098">
        <v>0</v>
      </c>
      <c r="Z8" t="s" s="5099">
        <v>0</v>
      </c>
      <c r="AA8" t="s" s="5100">
        <v>0</v>
      </c>
      <c r="AB8" t="s" s="5101">
        <v>0</v>
      </c>
      <c r="AC8" t="s" s="5102">
        <v>8</v>
      </c>
      <c r="AD8" t="s" s="5103">
        <v>0</v>
      </c>
      <c r="AE8" t="s" s="5104">
        <v>0</v>
      </c>
      <c r="AF8" t="s" s="5105">
        <v>0</v>
      </c>
      <c r="AG8" t="s" s="5106">
        <v>0</v>
      </c>
      <c r="AH8" t="s" s="5107">
        <v>0</v>
      </c>
      <c r="AI8" t="s" s="5108">
        <v>0</v>
      </c>
      <c r="AJ8" t="s" s="5109">
        <v>0</v>
      </c>
      <c r="AK8" t="s" s="5110">
        <v>0</v>
      </c>
      <c r="AL8" t="s" s="5111">
        <v>0</v>
      </c>
      <c r="AM8" t="s" s="5112">
        <v>0</v>
      </c>
      <c r="AN8" t="s" s="5113">
        <v>0</v>
      </c>
      <c r="AO8" t="s" s="5114">
        <v>0</v>
      </c>
    </row>
    <row r="9" ht="41.0" customHeight="true">
      <c r="A9" t="s" s="5115">
        <v>9</v>
      </c>
      <c r="B9" t="s" s="5116">
        <v>10</v>
      </c>
      <c r="C9" t="s" s="5117">
        <v>11</v>
      </c>
      <c r="D9" t="s" s="5118">
        <v>12</v>
      </c>
      <c r="E9" t="s" s="5119">
        <v>13</v>
      </c>
      <c r="F9" t="s" s="5120">
        <v>14</v>
      </c>
      <c r="G9" t="s" s="5121">
        <v>15</v>
      </c>
      <c r="H9" t="s" s="5122">
        <v>16</v>
      </c>
      <c r="I9" t="s" s="5123">
        <v>17</v>
      </c>
      <c r="J9" t="s" s="5124">
        <v>18</v>
      </c>
      <c r="K9" t="s" s="5125">
        <v>19</v>
      </c>
      <c r="L9" t="s" s="5126">
        <v>20</v>
      </c>
      <c r="M9" t="s" s="5127">
        <v>21</v>
      </c>
      <c r="N9" t="s" s="5128">
        <v>22</v>
      </c>
      <c r="O9" t="s" s="5129">
        <v>23</v>
      </c>
      <c r="P9" t="s" s="5130">
        <v>24</v>
      </c>
      <c r="Q9" t="s" s="5131">
        <v>25</v>
      </c>
      <c r="R9" t="s" s="5132">
        <v>26</v>
      </c>
      <c r="S9" t="s" s="5133">
        <v>27</v>
      </c>
      <c r="T9" t="s" s="5134">
        <v>28</v>
      </c>
      <c r="U9" t="s" s="5135">
        <v>29</v>
      </c>
      <c r="V9" t="s" s="5136">
        <v>30</v>
      </c>
      <c r="W9" t="s" s="5137">
        <v>31</v>
      </c>
      <c r="X9" t="s" s="5138">
        <v>32</v>
      </c>
      <c r="Y9" t="s" s="5139">
        <v>33</v>
      </c>
      <c r="Z9" t="s" s="5140">
        <v>34</v>
      </c>
      <c r="AA9" t="s" s="5141">
        <v>35</v>
      </c>
      <c r="AB9" t="s" s="5142">
        <v>36</v>
      </c>
      <c r="AC9" t="s" s="5143">
        <v>37</v>
      </c>
      <c r="AD9" t="s" s="5144">
        <v>38</v>
      </c>
      <c r="AE9" t="s" s="5145">
        <v>39</v>
      </c>
      <c r="AF9" t="s" s="5146">
        <v>40</v>
      </c>
      <c r="AG9" t="s" s="5147">
        <v>41</v>
      </c>
      <c r="AH9" t="s" s="5148">
        <v>42</v>
      </c>
      <c r="AI9" t="s" s="5149">
        <v>43</v>
      </c>
      <c r="AJ9" t="s" s="5150">
        <v>44</v>
      </c>
      <c r="AK9" t="s" s="5151">
        <v>45</v>
      </c>
      <c r="AL9" t="s" s="5152">
        <v>46</v>
      </c>
      <c r="AM9" t="s" s="5153">
        <v>47</v>
      </c>
      <c r="AN9" t="s" s="5154">
        <v>48</v>
      </c>
      <c r="AO9" t="s" s="5155">
        <v>49</v>
      </c>
    </row>
    <row r="10" ht="15.0" customHeight="true">
      <c r="A10" t="s" s="5156">
        <v>0</v>
      </c>
      <c r="B10" t="s" s="5157">
        <v>0</v>
      </c>
      <c r="C10" t="s" s="5158">
        <v>0</v>
      </c>
      <c r="D10" t="s" s="5159">
        <v>0</v>
      </c>
      <c r="E10" t="s" s="5160">
        <v>0</v>
      </c>
      <c r="F10" t="s" s="5161">
        <v>0</v>
      </c>
      <c r="G10" t="s" s="5162">
        <v>0</v>
      </c>
      <c r="H10" t="s" s="5163">
        <v>0</v>
      </c>
      <c r="I10" t="s" s="5164">
        <v>0</v>
      </c>
      <c r="J10" t="s" s="5165">
        <v>0</v>
      </c>
      <c r="K10" t="s" s="5166">
        <v>0</v>
      </c>
      <c r="L10" t="s" s="5167">
        <v>0</v>
      </c>
      <c r="M10" t="s" s="5168">
        <v>0</v>
      </c>
      <c r="N10" t="s" s="5169">
        <v>0</v>
      </c>
      <c r="O10" t="s" s="5170">
        <v>0</v>
      </c>
      <c r="P10" t="s" s="5171">
        <v>0</v>
      </c>
      <c r="Q10" t="s" s="5172">
        <v>0</v>
      </c>
      <c r="R10" t="s" s="5173">
        <v>0</v>
      </c>
      <c r="S10" t="s" s="5174">
        <v>0</v>
      </c>
      <c r="T10" t="s" s="5175">
        <v>0</v>
      </c>
      <c r="U10" t="s" s="5176">
        <v>0</v>
      </c>
      <c r="V10" t="s" s="5177">
        <v>0</v>
      </c>
      <c r="W10" t="s" s="5178">
        <v>0</v>
      </c>
      <c r="X10" t="s" s="5179">
        <v>0</v>
      </c>
      <c r="Y10" t="n" s="5180">
        <v>1.5</v>
      </c>
      <c r="Z10" t="n" s="5181">
        <v>1.5</v>
      </c>
      <c r="AA10" t="n" s="5182">
        <v>2.0</v>
      </c>
      <c r="AB10" t="n" s="5183">
        <v>2.0</v>
      </c>
      <c r="AC10" t="n" s="5184">
        <v>3.0</v>
      </c>
      <c r="AD10" t="n" s="5185">
        <v>3.0</v>
      </c>
      <c r="AE10" t="s" s="5186">
        <v>50</v>
      </c>
      <c r="AF10" t="s" s="5187">
        <v>50</v>
      </c>
      <c r="AG10" t="s" s="5188">
        <v>0</v>
      </c>
      <c r="AH10" t="s" s="5189">
        <v>0</v>
      </c>
      <c r="AI10" t="s" s="5190">
        <v>0</v>
      </c>
      <c r="AJ10" t="s" s="5191">
        <v>0</v>
      </c>
      <c r="AK10" t="s" s="5192">
        <v>0</v>
      </c>
      <c r="AL10" t="s" s="5193">
        <v>0</v>
      </c>
      <c r="AM10" t="s" s="5194">
        <v>0</v>
      </c>
      <c r="AN10" t="s" s="5195">
        <v>0</v>
      </c>
      <c r="AO10" t="s" s="5196">
        <v>0</v>
      </c>
    </row>
    <row r="11" ht="15.0" customHeight="true">
      <c r="A11" t="s" s="5197">
        <v>197</v>
      </c>
      <c r="B11" t="s" s="5198">
        <v>198</v>
      </c>
      <c r="C11" t="s" s="5199">
        <v>199</v>
      </c>
      <c r="D11" t="s" s="5200">
        <v>200</v>
      </c>
      <c r="E11" t="s" s="5201">
        <v>55</v>
      </c>
      <c r="F11" t="s" s="5202">
        <v>201</v>
      </c>
      <c r="G11" t="s" s="5203">
        <v>202</v>
      </c>
      <c r="H11" t="s" s="5204">
        <v>203</v>
      </c>
      <c r="I11" t="n" s="5205">
        <v>43952.0</v>
      </c>
      <c r="J11" t="n" s="5206">
        <v>44104.0</v>
      </c>
      <c r="K11" t="s" s="5207">
        <v>0</v>
      </c>
      <c r="L11" t="n" s="5208">
        <v>0.0</v>
      </c>
      <c r="M11" t="n" s="5209">
        <v>0.0</v>
      </c>
      <c r="N11" t="n" s="5210">
        <v>0.0</v>
      </c>
      <c r="O11" s="5211">
        <f>M11*N11</f>
      </c>
      <c r="P11" t="n" s="5212">
        <v>0.0</v>
      </c>
      <c r="Q11" t="n" s="5213">
        <v>0.0</v>
      </c>
      <c r="R11" s="5214">
        <f>P11*Q11</f>
      </c>
      <c r="S11" t="n" s="5215">
        <v>0.0</v>
      </c>
      <c r="T11" t="n" s="5216">
        <v>0.0</v>
      </c>
      <c r="U11" t="n" s="5217">
        <v>35.6</v>
      </c>
      <c r="V11" s="5218">
        <f>L11+O11+R11</f>
      </c>
      <c r="W11" t="n" s="5219">
        <v>2004.0</v>
      </c>
      <c r="X11" s="5220">
        <f>s11+t11+u11+w11</f>
      </c>
      <c r="Y11" t="n" s="5221">
        <v>0.0</v>
      </c>
      <c r="Z11" t="n" s="5222">
        <v>0.0</v>
      </c>
      <c r="AA11" t="n" s="5223">
        <v>0.0</v>
      </c>
      <c r="AB11" t="n" s="5224">
        <v>0.0</v>
      </c>
      <c r="AC11" t="n" s="5225">
        <v>0.0</v>
      </c>
      <c r="AD11" t="n" s="5226">
        <v>0.0</v>
      </c>
      <c r="AE11" s="5227">
        <f>y11+aa11+ac11</f>
      </c>
      <c r="AF11" s="5228">
        <f>z11+ab11+ad11</f>
      </c>
      <c r="AG11" t="n" s="5229">
        <v>333.0</v>
      </c>
      <c r="AH11" t="n" s="5230">
        <v>46.35</v>
      </c>
      <c r="AI11" t="n" s="5231">
        <v>5.3</v>
      </c>
      <c r="AJ11" s="5232">
        <f>x11+af11+ag11+ah11+ai11</f>
      </c>
      <c r="AK11" s="5233">
        <f>ROUND((l11+t11+af11+ag11+ah11+ai11+w11)*0.05,2)</f>
      </c>
      <c r="AL11" s="5234">
        <f>aj11+ak11</f>
      </c>
      <c r="AM11" s="5235">
        <f>215.6*0.06</f>
      </c>
      <c r="AN11" s="5236">
        <f>al11+am11</f>
      </c>
      <c r="AO11" t="s" s="5237">
        <v>0</v>
      </c>
    </row>
    <row r="12" ht="15.0" customHeight="true">
      <c r="A12" t="s" s="5238">
        <v>204</v>
      </c>
      <c r="B12" t="s" s="5239">
        <v>205</v>
      </c>
      <c r="C12" t="s" s="5240">
        <v>206</v>
      </c>
      <c r="D12" t="s" s="5241">
        <v>207</v>
      </c>
      <c r="E12" t="s" s="5242">
        <v>55</v>
      </c>
      <c r="F12" t="s" s="5243">
        <v>208</v>
      </c>
      <c r="G12" t="s" s="5244">
        <v>202</v>
      </c>
      <c r="H12" t="s" s="5245">
        <v>203</v>
      </c>
      <c r="I12" t="n" s="5246">
        <v>43952.0</v>
      </c>
      <c r="J12" t="n" s="5247">
        <v>44104.0</v>
      </c>
      <c r="K12" t="s" s="5248">
        <v>0</v>
      </c>
      <c r="L12" t="n" s="5249">
        <v>0.0</v>
      </c>
      <c r="M12" t="n" s="5250">
        <v>0.0</v>
      </c>
      <c r="N12" t="n" s="5251">
        <v>0.0</v>
      </c>
      <c r="O12" s="5252">
        <f>M12*N12</f>
      </c>
      <c r="P12" t="n" s="5253">
        <v>0.0</v>
      </c>
      <c r="Q12" t="n" s="5254">
        <v>0.0</v>
      </c>
      <c r="R12" s="5255">
        <f>P12*Q12</f>
      </c>
      <c r="S12" t="n" s="5256">
        <v>0.0</v>
      </c>
      <c r="T12" t="n" s="5257">
        <v>0.0</v>
      </c>
      <c r="U12" t="n" s="5258">
        <v>0.0</v>
      </c>
      <c r="V12" s="5259">
        <f>L12+O12+R12</f>
      </c>
      <c r="W12" t="n" s="5260">
        <v>750.0</v>
      </c>
      <c r="X12" s="5261">
        <f>s12+t12+u12+w12</f>
      </c>
      <c r="Y12" t="n" s="5262">
        <v>0.0</v>
      </c>
      <c r="Z12" t="n" s="5263">
        <v>0.0</v>
      </c>
      <c r="AA12" t="n" s="5264">
        <v>8.0</v>
      </c>
      <c r="AB12" t="n" s="5265">
        <v>107.68</v>
      </c>
      <c r="AC12" t="n" s="5266">
        <v>0.0</v>
      </c>
      <c r="AD12" t="n" s="5267">
        <v>0.0</v>
      </c>
      <c r="AE12" s="5268">
        <f>y12+aa12+ac12</f>
      </c>
      <c r="AF12" s="5269">
        <f>z12+ab12+ad12</f>
      </c>
      <c r="AG12" t="n" s="5270">
        <v>107.0</v>
      </c>
      <c r="AH12" t="n" s="5271">
        <v>16.65</v>
      </c>
      <c r="AI12" t="n" s="5272">
        <v>1.9</v>
      </c>
      <c r="AJ12" s="5273">
        <f>x12+af12+ag12+ah12+ai12</f>
      </c>
      <c r="AK12" s="5274">
        <f>ROUND((l12+t12+af12+ag12+ah12+ai12+w12)*0.05,2)</f>
      </c>
      <c r="AL12" s="5275">
        <f>aj12+ak12</f>
      </c>
      <c r="AM12" s="5276">
        <f>180*0.06</f>
      </c>
      <c r="AN12" s="5277">
        <f>al12+am12</f>
      </c>
      <c r="AO12" t="s" s="5278">
        <v>0</v>
      </c>
    </row>
    <row r="13" ht="15.0" customHeight="true">
      <c r="L13" t="s" s="5279">
        <v>0</v>
      </c>
      <c r="M13" t="s" s="5280">
        <v>0</v>
      </c>
      <c r="N13" t="s" s="5281">
        <v>0</v>
      </c>
      <c r="O13" t="s" s="5282">
        <v>0</v>
      </c>
      <c r="P13" t="s" s="5283">
        <v>0</v>
      </c>
      <c r="Q13" t="s" s="5284">
        <v>0</v>
      </c>
      <c r="R13" t="s" s="5285">
        <v>0</v>
      </c>
      <c r="S13" t="s" s="5286">
        <v>0</v>
      </c>
      <c r="T13" t="s" s="5287">
        <v>0</v>
      </c>
      <c r="U13" t="s" s="5288">
        <v>0</v>
      </c>
      <c r="V13" t="s" s="5289">
        <v>0</v>
      </c>
      <c r="W13" t="s" s="5290">
        <v>0</v>
      </c>
      <c r="X13" t="s" s="5291">
        <v>0</v>
      </c>
      <c r="Y13" t="s" s="5292">
        <v>0</v>
      </c>
      <c r="Z13" t="s" s="5293">
        <v>0</v>
      </c>
      <c r="AA13" t="s" s="5294">
        <v>0</v>
      </c>
      <c r="AB13" t="s" s="5295">
        <v>0</v>
      </c>
      <c r="AC13" t="s" s="5296">
        <v>0</v>
      </c>
      <c r="AD13" t="s" s="5297">
        <v>0</v>
      </c>
      <c r="AE13" t="s" s="5298">
        <v>0</v>
      </c>
      <c r="AF13" t="s" s="5299">
        <v>0</v>
      </c>
      <c r="AG13" t="s" s="5300">
        <v>0</v>
      </c>
      <c r="AH13" t="s" s="5301">
        <v>0</v>
      </c>
      <c r="AI13" t="s" s="5302">
        <v>0</v>
      </c>
      <c r="AJ13" t="s" s="5303">
        <v>0</v>
      </c>
      <c r="AK13" t="s" s="5304">
        <v>0</v>
      </c>
      <c r="AL13" t="s" s="5305">
        <v>0</v>
      </c>
    </row>
    <row r="14" ht="15.0" customHeight="true"/>
    <row r="15" ht="15.0" customHeight="true">
      <c r="A15" t="s" s="5306">
        <v>0</v>
      </c>
      <c r="B15" t="s" s="5307">
        <v>264</v>
      </c>
      <c r="C15" s="5308">
        <f>COUNTA(A11:A12)</f>
      </c>
      <c r="L15" s="5309">
        <f>SUM(l11:l12)</f>
      </c>
      <c r="M15" s="5310">
        <f>SUM(m11:m12)</f>
      </c>
      <c r="N15" t="s" s="5311">
        <v>0</v>
      </c>
      <c r="O15" s="5312">
        <f>SUM(o11:o12)</f>
      </c>
      <c r="P15" s="5313">
        <f>SUM(p11:p12)</f>
      </c>
      <c r="Q15" t="s" s="5314">
        <v>0</v>
      </c>
      <c r="R15" s="5315">
        <f>SUM(r11:r12)</f>
      </c>
      <c r="S15" s="5316">
        <f>SUM(s11:s12)</f>
      </c>
      <c r="T15" s="5317">
        <f>SUM(t11:t12)</f>
      </c>
      <c r="U15" s="5318">
        <f>SUM(u11:u12)</f>
      </c>
      <c r="V15" s="5319">
        <f>SUM(v11:v12)</f>
      </c>
      <c r="W15" s="5320">
        <f>SUM(w11:w12)</f>
      </c>
      <c r="X15" s="5321">
        <f>SUM(x11:x12)</f>
      </c>
      <c r="Y15" s="5322">
        <f>SUM(y11:y12)</f>
      </c>
      <c r="Z15" s="5323">
        <f>SUM(z11:z12)</f>
      </c>
      <c r="AA15" s="5324">
        <f>SUM(aa11:aa12)</f>
      </c>
      <c r="AB15" s="5325">
        <f>SUM(ab11:ab12)</f>
      </c>
      <c r="AC15" s="5326">
        <f>SUM(ac11:ac12)</f>
      </c>
      <c r="AD15" s="5327">
        <f>SUM(ad11:ad12)</f>
      </c>
      <c r="AE15" s="5328">
        <f>SUM(ae11:ae12)</f>
      </c>
      <c r="AF15" s="5329">
        <f>SUM(af11:af12)</f>
      </c>
      <c r="AG15" s="5330">
        <f>SUM(ag11:ag12)</f>
      </c>
      <c r="AH15" s="5331">
        <f>SUM(ah11:ah12)</f>
      </c>
      <c r="AI15" s="5332">
        <f>SUM(ai11:ai12)</f>
      </c>
      <c r="AJ15" s="5333">
        <f>SUM(aj11:aj12)</f>
      </c>
      <c r="AK15" s="5334">
        <f>SUM(ak11:ak12)</f>
      </c>
      <c r="AL15" s="5335">
        <f>SUM(al11:al12)</f>
      </c>
      <c r="AM15" s="5336">
        <f>SUM(am11:am12)</f>
      </c>
      <c r="AN15" s="5337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5338">
        <v>0</v>
      </c>
      <c r="B1" t="s" s="5339">
        <v>1</v>
      </c>
      <c r="Y1" t="s" s="5340">
        <v>6</v>
      </c>
      <c r="Z1" t="n" s="5341">
        <v>2020.0</v>
      </c>
    </row>
    <row r="2" ht="15.0" customHeight="true">
      <c r="A2" t="s" s="5342">
        <v>0</v>
      </c>
      <c r="B2" t="s" s="5343">
        <v>2</v>
      </c>
      <c r="Y2" t="s" s="5344">
        <v>7</v>
      </c>
      <c r="Z2" t="n" s="5345">
        <v>2020.0</v>
      </c>
    </row>
    <row r="3" ht="15.0" customHeight="true">
      <c r="A3" t="s" s="5346">
        <v>0</v>
      </c>
      <c r="B3" t="s" s="5347">
        <v>3</v>
      </c>
    </row>
    <row r="4" ht="15.0" customHeight="true">
      <c r="A4" t="s" s="5348">
        <v>0</v>
      </c>
      <c r="B4" t="s" s="5349">
        <v>4</v>
      </c>
    </row>
    <row r="5" ht="15.0" customHeight="true">
      <c r="A5" t="s" s="5350">
        <v>0</v>
      </c>
      <c r="B5" t="s" s="5351">
        <v>5</v>
      </c>
    </row>
    <row r="6" ht="15.0" customHeight="true"/>
    <row r="7" ht="15.0" customHeight="true"/>
    <row r="8" ht="28.0" customHeight="true">
      <c r="A8" t="s" s="5352">
        <v>0</v>
      </c>
      <c r="B8" t="s" s="5353">
        <v>0</v>
      </c>
      <c r="C8" t="s" s="5354">
        <v>0</v>
      </c>
      <c r="D8" t="s" s="5355">
        <v>0</v>
      </c>
      <c r="E8" t="s" s="5356">
        <v>0</v>
      </c>
      <c r="F8" t="s" s="5357">
        <v>0</v>
      </c>
      <c r="G8" t="s" s="5358">
        <v>0</v>
      </c>
      <c r="H8" t="s" s="5359">
        <v>0</v>
      </c>
      <c r="I8" t="s" s="5360">
        <v>0</v>
      </c>
      <c r="J8" t="s" s="5361">
        <v>0</v>
      </c>
      <c r="K8" t="s" s="5362">
        <v>0</v>
      </c>
      <c r="L8" t="s" s="5363">
        <v>0</v>
      </c>
      <c r="M8" t="s" s="5364">
        <v>0</v>
      </c>
      <c r="N8" t="s" s="5365">
        <v>0</v>
      </c>
      <c r="O8" t="s" s="5366">
        <v>0</v>
      </c>
      <c r="P8" t="s" s="5367">
        <v>0</v>
      </c>
      <c r="Q8" t="s" s="5368">
        <v>0</v>
      </c>
      <c r="R8" t="s" s="5369">
        <v>0</v>
      </c>
      <c r="S8" t="s" s="5370">
        <v>0</v>
      </c>
      <c r="T8" t="s" s="5371">
        <v>0</v>
      </c>
      <c r="U8" t="s" s="5372">
        <v>0</v>
      </c>
      <c r="V8" t="s" s="5373">
        <v>0</v>
      </c>
      <c r="W8" t="s" s="5374">
        <v>0</v>
      </c>
      <c r="X8" t="s" s="5375">
        <v>0</v>
      </c>
      <c r="Y8" t="s" s="5376">
        <v>0</v>
      </c>
      <c r="Z8" t="s" s="5377">
        <v>0</v>
      </c>
      <c r="AA8" t="s" s="5378">
        <v>0</v>
      </c>
      <c r="AB8" t="s" s="5379">
        <v>0</v>
      </c>
      <c r="AC8" t="s" s="5380">
        <v>8</v>
      </c>
      <c r="AD8" t="s" s="5381">
        <v>0</v>
      </c>
      <c r="AE8" t="s" s="5382">
        <v>0</v>
      </c>
      <c r="AF8" t="s" s="5383">
        <v>0</v>
      </c>
      <c r="AG8" t="s" s="5384">
        <v>0</v>
      </c>
      <c r="AH8" t="s" s="5385">
        <v>0</v>
      </c>
      <c r="AI8" t="s" s="5386">
        <v>0</v>
      </c>
      <c r="AJ8" t="s" s="5387">
        <v>0</v>
      </c>
      <c r="AK8" t="s" s="5388">
        <v>0</v>
      </c>
      <c r="AL8" t="s" s="5389">
        <v>0</v>
      </c>
      <c r="AM8" t="s" s="5390">
        <v>0</v>
      </c>
      <c r="AN8" t="s" s="5391">
        <v>0</v>
      </c>
      <c r="AO8" t="s" s="5392">
        <v>0</v>
      </c>
    </row>
    <row r="9" ht="41.0" customHeight="true">
      <c r="A9" t="s" s="5393">
        <v>9</v>
      </c>
      <c r="B9" t="s" s="5394">
        <v>10</v>
      </c>
      <c r="C9" t="s" s="5395">
        <v>11</v>
      </c>
      <c r="D9" t="s" s="5396">
        <v>12</v>
      </c>
      <c r="E9" t="s" s="5397">
        <v>13</v>
      </c>
      <c r="F9" t="s" s="5398">
        <v>14</v>
      </c>
      <c r="G9" t="s" s="5399">
        <v>15</v>
      </c>
      <c r="H9" t="s" s="5400">
        <v>16</v>
      </c>
      <c r="I9" t="s" s="5401">
        <v>17</v>
      </c>
      <c r="J9" t="s" s="5402">
        <v>18</v>
      </c>
      <c r="K9" t="s" s="5403">
        <v>19</v>
      </c>
      <c r="L9" t="s" s="5404">
        <v>20</v>
      </c>
      <c r="M9" t="s" s="5405">
        <v>21</v>
      </c>
      <c r="N9" t="s" s="5406">
        <v>22</v>
      </c>
      <c r="O9" t="s" s="5407">
        <v>23</v>
      </c>
      <c r="P9" t="s" s="5408">
        <v>24</v>
      </c>
      <c r="Q9" t="s" s="5409">
        <v>25</v>
      </c>
      <c r="R9" t="s" s="5410">
        <v>26</v>
      </c>
      <c r="S9" t="s" s="5411">
        <v>27</v>
      </c>
      <c r="T9" t="s" s="5412">
        <v>28</v>
      </c>
      <c r="U9" t="s" s="5413">
        <v>29</v>
      </c>
      <c r="V9" t="s" s="5414">
        <v>30</v>
      </c>
      <c r="W9" t="s" s="5415">
        <v>31</v>
      </c>
      <c r="X9" t="s" s="5416">
        <v>32</v>
      </c>
      <c r="Y9" t="s" s="5417">
        <v>33</v>
      </c>
      <c r="Z9" t="s" s="5418">
        <v>34</v>
      </c>
      <c r="AA9" t="s" s="5419">
        <v>35</v>
      </c>
      <c r="AB9" t="s" s="5420">
        <v>36</v>
      </c>
      <c r="AC9" t="s" s="5421">
        <v>37</v>
      </c>
      <c r="AD9" t="s" s="5422">
        <v>38</v>
      </c>
      <c r="AE9" t="s" s="5423">
        <v>39</v>
      </c>
      <c r="AF9" t="s" s="5424">
        <v>40</v>
      </c>
      <c r="AG9" t="s" s="5425">
        <v>41</v>
      </c>
      <c r="AH9" t="s" s="5426">
        <v>42</v>
      </c>
      <c r="AI9" t="s" s="5427">
        <v>43</v>
      </c>
      <c r="AJ9" t="s" s="5428">
        <v>44</v>
      </c>
      <c r="AK9" t="s" s="5429">
        <v>45</v>
      </c>
      <c r="AL9" t="s" s="5430">
        <v>46</v>
      </c>
      <c r="AM9" t="s" s="5431">
        <v>47</v>
      </c>
      <c r="AN9" t="s" s="5432">
        <v>48</v>
      </c>
      <c r="AO9" t="s" s="5433">
        <v>49</v>
      </c>
    </row>
    <row r="10" ht="15.0" customHeight="true">
      <c r="A10" t="s" s="5434">
        <v>0</v>
      </c>
      <c r="B10" t="s" s="5435">
        <v>0</v>
      </c>
      <c r="C10" t="s" s="5436">
        <v>0</v>
      </c>
      <c r="D10" t="s" s="5437">
        <v>0</v>
      </c>
      <c r="E10" t="s" s="5438">
        <v>0</v>
      </c>
      <c r="F10" t="s" s="5439">
        <v>0</v>
      </c>
      <c r="G10" t="s" s="5440">
        <v>0</v>
      </c>
      <c r="H10" t="s" s="5441">
        <v>0</v>
      </c>
      <c r="I10" t="s" s="5442">
        <v>0</v>
      </c>
      <c r="J10" t="s" s="5443">
        <v>0</v>
      </c>
      <c r="K10" t="s" s="5444">
        <v>0</v>
      </c>
      <c r="L10" t="s" s="5445">
        <v>0</v>
      </c>
      <c r="M10" t="s" s="5446">
        <v>0</v>
      </c>
      <c r="N10" t="s" s="5447">
        <v>0</v>
      </c>
      <c r="O10" t="s" s="5448">
        <v>0</v>
      </c>
      <c r="P10" t="s" s="5449">
        <v>0</v>
      </c>
      <c r="Q10" t="s" s="5450">
        <v>0</v>
      </c>
      <c r="R10" t="s" s="5451">
        <v>0</v>
      </c>
      <c r="S10" t="s" s="5452">
        <v>0</v>
      </c>
      <c r="T10" t="s" s="5453">
        <v>0</v>
      </c>
      <c r="U10" t="s" s="5454">
        <v>0</v>
      </c>
      <c r="V10" t="s" s="5455">
        <v>0</v>
      </c>
      <c r="W10" t="s" s="5456">
        <v>0</v>
      </c>
      <c r="X10" t="s" s="5457">
        <v>0</v>
      </c>
      <c r="Y10" t="n" s="5458">
        <v>1.5</v>
      </c>
      <c r="Z10" t="n" s="5459">
        <v>1.5</v>
      </c>
      <c r="AA10" t="n" s="5460">
        <v>2.0</v>
      </c>
      <c r="AB10" t="n" s="5461">
        <v>2.0</v>
      </c>
      <c r="AC10" t="n" s="5462">
        <v>3.0</v>
      </c>
      <c r="AD10" t="n" s="5463">
        <v>3.0</v>
      </c>
      <c r="AE10" t="s" s="5464">
        <v>50</v>
      </c>
      <c r="AF10" t="s" s="5465">
        <v>50</v>
      </c>
      <c r="AG10" t="s" s="5466">
        <v>0</v>
      </c>
      <c r="AH10" t="s" s="5467">
        <v>0</v>
      </c>
      <c r="AI10" t="s" s="5468">
        <v>0</v>
      </c>
      <c r="AJ10" t="s" s="5469">
        <v>0</v>
      </c>
      <c r="AK10" t="s" s="5470">
        <v>0</v>
      </c>
      <c r="AL10" t="s" s="5471">
        <v>0</v>
      </c>
      <c r="AM10" t="s" s="5472">
        <v>0</v>
      </c>
      <c r="AN10" t="s" s="5473">
        <v>0</v>
      </c>
      <c r="AO10" t="s" s="5474">
        <v>0</v>
      </c>
    </row>
    <row r="11" ht="15.0" customHeight="true">
      <c r="A11" t="s" s="5475">
        <v>209</v>
      </c>
      <c r="B11" t="s" s="5476">
        <v>210</v>
      </c>
      <c r="C11" t="s" s="5477">
        <v>211</v>
      </c>
      <c r="D11" t="s" s="5478">
        <v>212</v>
      </c>
      <c r="E11" t="s" s="5479">
        <v>55</v>
      </c>
      <c r="F11" t="s" s="5480">
        <v>213</v>
      </c>
      <c r="G11" t="s" s="5481">
        <v>214</v>
      </c>
      <c r="H11" t="s" s="5482">
        <v>215</v>
      </c>
      <c r="I11" t="n" s="5483">
        <v>43952.0</v>
      </c>
      <c r="J11" t="n" s="5484">
        <v>44104.0</v>
      </c>
      <c r="K11" t="s" s="5485">
        <v>0</v>
      </c>
      <c r="L11" t="n" s="5486">
        <v>0.0</v>
      </c>
      <c r="M11" t="n" s="5487">
        <v>0.0</v>
      </c>
      <c r="N11" t="n" s="5488">
        <v>0.0</v>
      </c>
      <c r="O11" s="5489">
        <f>M11*N11</f>
      </c>
      <c r="P11" t="n" s="5490">
        <v>0.0</v>
      </c>
      <c r="Q11" t="n" s="5491">
        <v>0.0</v>
      </c>
      <c r="R11" s="5492">
        <f>P11*Q11</f>
      </c>
      <c r="S11" t="n" s="5493">
        <v>0.0</v>
      </c>
      <c r="T11" t="n" s="5494">
        <v>0.0</v>
      </c>
      <c r="U11" t="n" s="5495">
        <v>10.0</v>
      </c>
      <c r="V11" s="5496">
        <f>L11+O11+R11</f>
      </c>
      <c r="W11" t="n" s="5497">
        <v>1551.0</v>
      </c>
      <c r="X11" s="5498">
        <f>s11+t11+u11+w11</f>
      </c>
      <c r="Y11" t="n" s="5499">
        <v>0.0</v>
      </c>
      <c r="Z11" t="n" s="5500">
        <v>0.0</v>
      </c>
      <c r="AA11" t="n" s="5501">
        <v>0.0</v>
      </c>
      <c r="AB11" t="n" s="5502">
        <v>0.0</v>
      </c>
      <c r="AC11" t="n" s="5503">
        <v>0.0</v>
      </c>
      <c r="AD11" t="n" s="5504">
        <v>0.0</v>
      </c>
      <c r="AE11" s="5505">
        <f>y11+aa11+ac11</f>
      </c>
      <c r="AF11" s="5506">
        <f>z11+ab11+ad11</f>
      </c>
      <c r="AG11" t="n" s="5507">
        <v>229.0</v>
      </c>
      <c r="AH11" t="n" s="5508">
        <v>30.65</v>
      </c>
      <c r="AI11" t="n" s="5509">
        <v>3.5</v>
      </c>
      <c r="AJ11" s="5510">
        <f>x11+af11+ag11+ah11+ai11</f>
      </c>
      <c r="AK11" s="5511">
        <f>ROUND((l11+t11+af11+ag11+ah11+ai11+w11)*0.05,2)</f>
      </c>
      <c r="AL11" s="5512">
        <f>aj11+ak11</f>
      </c>
      <c r="AM11" s="5513">
        <f>190*0.06</f>
      </c>
      <c r="AN11" s="5514">
        <f>al11+am11</f>
      </c>
      <c r="AO11" t="s" s="5515">
        <v>0</v>
      </c>
    </row>
    <row r="12" ht="15.0" customHeight="true">
      <c r="A12" t="s" s="5516">
        <v>216</v>
      </c>
      <c r="B12" t="s" s="5517">
        <v>217</v>
      </c>
      <c r="C12" t="s" s="5518">
        <v>218</v>
      </c>
      <c r="D12" t="s" s="5519">
        <v>219</v>
      </c>
      <c r="E12" t="s" s="5520">
        <v>55</v>
      </c>
      <c r="F12" t="s" s="5521">
        <v>220</v>
      </c>
      <c r="G12" t="s" s="5522">
        <v>214</v>
      </c>
      <c r="H12" t="s" s="5523">
        <v>215</v>
      </c>
      <c r="I12" t="n" s="5524">
        <v>43952.0</v>
      </c>
      <c r="J12" t="n" s="5525">
        <v>44104.0</v>
      </c>
      <c r="K12" t="s" s="5526">
        <v>0</v>
      </c>
      <c r="L12" t="n" s="5527">
        <v>0.0</v>
      </c>
      <c r="M12" t="n" s="5528">
        <v>0.0</v>
      </c>
      <c r="N12" t="n" s="5529">
        <v>0.0</v>
      </c>
      <c r="O12" s="5530">
        <f>M12*N12</f>
      </c>
      <c r="P12" t="n" s="5531">
        <v>0.0</v>
      </c>
      <c r="Q12" t="n" s="5532">
        <v>0.0</v>
      </c>
      <c r="R12" s="5533">
        <f>P12*Q12</f>
      </c>
      <c r="S12" t="n" s="5534">
        <v>0.0</v>
      </c>
      <c r="T12" t="n" s="5535">
        <v>0.0</v>
      </c>
      <c r="U12" t="n" s="5536">
        <v>18.9</v>
      </c>
      <c r="V12" s="5537">
        <f>L12+O12+R12</f>
      </c>
      <c r="W12" t="n" s="5538">
        <v>1452.0</v>
      </c>
      <c r="X12" s="5539">
        <f>s12+t12+u12+w12</f>
      </c>
      <c r="Y12" t="n" s="5540">
        <v>0.0</v>
      </c>
      <c r="Z12" t="n" s="5541">
        <v>0.0</v>
      </c>
      <c r="AA12" t="n" s="5542">
        <v>0.0</v>
      </c>
      <c r="AB12" t="n" s="5543">
        <v>0.0</v>
      </c>
      <c r="AC12" t="n" s="5544">
        <v>0.0</v>
      </c>
      <c r="AD12" t="n" s="5545">
        <v>0.0</v>
      </c>
      <c r="AE12" s="5546">
        <f>y12+aa12+ac12</f>
      </c>
      <c r="AF12" s="5547">
        <f>z12+ab12+ad12</f>
      </c>
      <c r="AG12" t="n" s="5548">
        <v>214.0</v>
      </c>
      <c r="AH12" t="n" s="5549">
        <v>28.85</v>
      </c>
      <c r="AI12" t="n" s="5550">
        <v>3.3</v>
      </c>
      <c r="AJ12" s="5551">
        <f>x12+af12+ag12+ah12+ai12</f>
      </c>
      <c r="AK12" s="5552">
        <f>ROUND((l12+t12+af12+ag12+ah12+ai12+w12)*0.05,2)</f>
      </c>
      <c r="AL12" s="5553">
        <f>aj12+ak12</f>
      </c>
      <c r="AM12" s="5554">
        <f>198.9*0.06</f>
      </c>
      <c r="AN12" s="5555">
        <f>al12+am12</f>
      </c>
      <c r="AO12" t="s" s="5556">
        <v>0</v>
      </c>
    </row>
    <row r="13" ht="15.0" customHeight="true">
      <c r="A13" t="s" s="5557">
        <v>221</v>
      </c>
      <c r="B13" t="s" s="5558">
        <v>222</v>
      </c>
      <c r="C13" t="s" s="5559">
        <v>223</v>
      </c>
      <c r="D13" t="s" s="5560">
        <v>224</v>
      </c>
      <c r="E13" t="s" s="5561">
        <v>55</v>
      </c>
      <c r="F13" t="s" s="5562">
        <v>225</v>
      </c>
      <c r="G13" t="s" s="5563">
        <v>214</v>
      </c>
      <c r="H13" t="s" s="5564">
        <v>215</v>
      </c>
      <c r="I13" t="n" s="5565">
        <v>43952.0</v>
      </c>
      <c r="J13" t="n" s="5566">
        <v>44104.0</v>
      </c>
      <c r="K13" t="s" s="5567">
        <v>0</v>
      </c>
      <c r="L13" t="n" s="5568">
        <v>0.0</v>
      </c>
      <c r="M13" t="n" s="5569">
        <v>0.0</v>
      </c>
      <c r="N13" t="n" s="5570">
        <v>0.0</v>
      </c>
      <c r="O13" s="5571">
        <f>M13*N13</f>
      </c>
      <c r="P13" t="n" s="5572">
        <v>0.0</v>
      </c>
      <c r="Q13" t="n" s="5573">
        <v>0.0</v>
      </c>
      <c r="R13" s="5574">
        <f>P13*Q13</f>
      </c>
      <c r="S13" t="n" s="5575">
        <v>0.0</v>
      </c>
      <c r="T13" t="n" s="5576">
        <v>0.0</v>
      </c>
      <c r="U13" t="n" s="5577">
        <v>68.2</v>
      </c>
      <c r="V13" s="5578">
        <f>L13+O13+R13</f>
      </c>
      <c r="W13" t="n" s="5579">
        <v>2003.0</v>
      </c>
      <c r="X13" s="5580">
        <f>s13+t13+u13+w13</f>
      </c>
      <c r="Y13" t="n" s="5581">
        <v>3.0</v>
      </c>
      <c r="Z13" t="n" s="5582">
        <v>25.95</v>
      </c>
      <c r="AA13" t="n" s="5583">
        <v>0.0</v>
      </c>
      <c r="AB13" t="n" s="5584">
        <v>0.0</v>
      </c>
      <c r="AC13" t="n" s="5585">
        <v>0.0</v>
      </c>
      <c r="AD13" t="n" s="5586">
        <v>0.0</v>
      </c>
      <c r="AE13" s="5587">
        <f>y13+aa13+ac13</f>
      </c>
      <c r="AF13" s="5588">
        <f>z13+ab13+ad13</f>
      </c>
      <c r="AG13" t="n" s="5589">
        <v>302.0</v>
      </c>
      <c r="AH13" t="n" s="5590">
        <v>41.15</v>
      </c>
      <c r="AI13" t="n" s="5591">
        <v>4.7</v>
      </c>
      <c r="AJ13" s="5592">
        <f>x13+af13+ag13+ah13+ai13</f>
      </c>
      <c r="AK13" s="5593">
        <f>ROUND((l13+t13+af13+ag13+ah13+ai13+w13)*0.05,2)</f>
      </c>
      <c r="AL13" s="5594">
        <f>aj13+ak13</f>
      </c>
      <c r="AM13" s="5595">
        <f>248.2*0.06</f>
      </c>
      <c r="AN13" s="5596">
        <f>al13+am13</f>
      </c>
      <c r="AO13" t="s" s="5597">
        <v>0</v>
      </c>
    </row>
    <row r="14" ht="15.0" customHeight="true">
      <c r="A14" t="s" s="5598">
        <v>226</v>
      </c>
      <c r="B14" t="s" s="5599">
        <v>227</v>
      </c>
      <c r="C14" t="s" s="5600">
        <v>228</v>
      </c>
      <c r="D14" t="s" s="5601">
        <v>229</v>
      </c>
      <c r="E14" t="s" s="5602">
        <v>55</v>
      </c>
      <c r="F14" t="s" s="5603">
        <v>230</v>
      </c>
      <c r="G14" t="s" s="5604">
        <v>214</v>
      </c>
      <c r="H14" t="s" s="5605">
        <v>215</v>
      </c>
      <c r="I14" t="n" s="5606">
        <v>43952.0</v>
      </c>
      <c r="J14" t="n" s="5607">
        <v>44104.0</v>
      </c>
      <c r="K14" t="s" s="5608">
        <v>0</v>
      </c>
      <c r="L14" t="n" s="5609">
        <v>0.0</v>
      </c>
      <c r="M14" t="n" s="5610">
        <v>0.0</v>
      </c>
      <c r="N14" t="n" s="5611">
        <v>0.0</v>
      </c>
      <c r="O14" s="5612">
        <f>M14*N14</f>
      </c>
      <c r="P14" t="n" s="5613">
        <v>0.0</v>
      </c>
      <c r="Q14" t="n" s="5614">
        <v>0.0</v>
      </c>
      <c r="R14" s="5615">
        <f>P14*Q14</f>
      </c>
      <c r="S14" t="n" s="5616">
        <v>0.0</v>
      </c>
      <c r="T14" t="n" s="5617">
        <v>0.0</v>
      </c>
      <c r="U14" t="n" s="5618">
        <v>10.0</v>
      </c>
      <c r="V14" s="5619">
        <f>L14+O14+R14</f>
      </c>
      <c r="W14" t="n" s="5620">
        <v>2558.0</v>
      </c>
      <c r="X14" s="5621">
        <f>s14+t14+u14+w14</f>
      </c>
      <c r="Y14" t="n" s="5622">
        <v>8.0</v>
      </c>
      <c r="Z14" t="n" s="5623">
        <v>69.2</v>
      </c>
      <c r="AA14" t="n" s="5624">
        <v>0.0</v>
      </c>
      <c r="AB14" t="n" s="5625">
        <v>0.0</v>
      </c>
      <c r="AC14" t="n" s="5626">
        <v>0.0</v>
      </c>
      <c r="AD14" t="n" s="5627">
        <v>0.0</v>
      </c>
      <c r="AE14" s="5628">
        <f>y14+aa14+ac14</f>
      </c>
      <c r="AF14" s="5629">
        <f>z14+ab14+ad14</f>
      </c>
      <c r="AG14" t="n" s="5630">
        <v>372.0</v>
      </c>
      <c r="AH14" t="n" s="5631">
        <v>51.65</v>
      </c>
      <c r="AI14" t="n" s="5632">
        <v>5.9</v>
      </c>
      <c r="AJ14" s="5633">
        <f>x14+af14+ag14+ah14+ai14</f>
      </c>
      <c r="AK14" s="5634">
        <f>ROUND((l14+t14+af14+ag14+ah14+ai14+w14)*0.05,2)</f>
      </c>
      <c r="AL14" s="5635">
        <f>aj14+ak14</f>
      </c>
      <c r="AM14" s="5636">
        <f>190*0.06</f>
      </c>
      <c r="AN14" s="5637">
        <f>al14+am14</f>
      </c>
      <c r="AO14" t="s" s="5638">
        <v>0</v>
      </c>
    </row>
    <row r="15" ht="15.0" customHeight="true">
      <c r="A15" t="s" s="5639">
        <v>231</v>
      </c>
      <c r="B15" t="s" s="5640">
        <v>232</v>
      </c>
      <c r="C15" t="s" s="5641">
        <v>233</v>
      </c>
      <c r="D15" t="s" s="5642">
        <v>234</v>
      </c>
      <c r="E15" t="s" s="5643">
        <v>55</v>
      </c>
      <c r="F15" t="s" s="5644">
        <v>235</v>
      </c>
      <c r="G15" t="s" s="5645">
        <v>214</v>
      </c>
      <c r="H15" t="s" s="5646">
        <v>215</v>
      </c>
      <c r="I15" t="n" s="5647">
        <v>43952.0</v>
      </c>
      <c r="J15" t="n" s="5648">
        <v>44104.0</v>
      </c>
      <c r="K15" t="s" s="5649">
        <v>0</v>
      </c>
      <c r="L15" t="n" s="5650">
        <v>0.0</v>
      </c>
      <c r="M15" t="n" s="5651">
        <v>0.0</v>
      </c>
      <c r="N15" t="n" s="5652">
        <v>0.0</v>
      </c>
      <c r="O15" s="5653">
        <f>M15*N15</f>
      </c>
      <c r="P15" t="n" s="5654">
        <v>0.0</v>
      </c>
      <c r="Q15" t="n" s="5655">
        <v>0.0</v>
      </c>
      <c r="R15" s="5656">
        <f>P15*Q15</f>
      </c>
      <c r="S15" t="n" s="5657">
        <v>0.0</v>
      </c>
      <c r="T15" t="n" s="5658">
        <v>0.0</v>
      </c>
      <c r="U15" t="n" s="5659">
        <v>41.1</v>
      </c>
      <c r="V15" s="5660">
        <f>L15+O15+R15</f>
      </c>
      <c r="W15" t="n" s="5661">
        <v>808.0</v>
      </c>
      <c r="X15" s="5662">
        <f>s15+t15+u15+w15</f>
      </c>
      <c r="Y15" t="n" s="5663">
        <v>0.0</v>
      </c>
      <c r="Z15" t="n" s="5664">
        <v>0.0</v>
      </c>
      <c r="AA15" t="n" s="5665">
        <v>8.0</v>
      </c>
      <c r="AB15" t="n" s="5666">
        <v>111.52</v>
      </c>
      <c r="AC15" t="n" s="5667">
        <v>0.0</v>
      </c>
      <c r="AD15" t="n" s="5668">
        <v>0.0</v>
      </c>
      <c r="AE15" s="5669">
        <f>y15+aa15+ac15</f>
      </c>
      <c r="AF15" s="5670">
        <f>z15+ab15+ad15</f>
      </c>
      <c r="AG15" t="n" s="5671">
        <v>156.0</v>
      </c>
      <c r="AH15" t="n" s="5672">
        <v>23.65</v>
      </c>
      <c r="AI15" t="n" s="5673">
        <v>2.7</v>
      </c>
      <c r="AJ15" s="5674">
        <f>x15+af15+ag15+ah15+ai15</f>
      </c>
      <c r="AK15" s="5675">
        <f>ROUND((l15+t15+af15+ag15+ah15+ai15+w15)*0.05,2)</f>
      </c>
      <c r="AL15" s="5676">
        <f>aj15+ak15</f>
      </c>
      <c r="AM15" s="5677">
        <f>221.1*0.06</f>
      </c>
      <c r="AN15" s="5678">
        <f>al15+am15</f>
      </c>
      <c r="AO15" t="s" s="5679">
        <v>0</v>
      </c>
    </row>
    <row r="16" ht="15.0" customHeight="true">
      <c r="A16" t="s" s="5680">
        <v>236</v>
      </c>
      <c r="B16" t="s" s="5681">
        <v>237</v>
      </c>
      <c r="C16" t="s" s="5682">
        <v>238</v>
      </c>
      <c r="D16" t="s" s="5683">
        <v>239</v>
      </c>
      <c r="E16" t="s" s="5684">
        <v>55</v>
      </c>
      <c r="F16" t="s" s="5685">
        <v>240</v>
      </c>
      <c r="G16" t="s" s="5686">
        <v>214</v>
      </c>
      <c r="H16" t="s" s="5687">
        <v>215</v>
      </c>
      <c r="I16" t="n" s="5688">
        <v>43952.0</v>
      </c>
      <c r="J16" t="n" s="5689">
        <v>44104.0</v>
      </c>
      <c r="K16" t="s" s="5690">
        <v>0</v>
      </c>
      <c r="L16" t="n" s="5691">
        <v>0.0</v>
      </c>
      <c r="M16" t="n" s="5692">
        <v>0.0</v>
      </c>
      <c r="N16" t="n" s="5693">
        <v>0.0</v>
      </c>
      <c r="O16" s="5694">
        <f>M16*N16</f>
      </c>
      <c r="P16" t="n" s="5695">
        <v>0.0</v>
      </c>
      <c r="Q16" t="n" s="5696">
        <v>0.0</v>
      </c>
      <c r="R16" s="5697">
        <f>P16*Q16</f>
      </c>
      <c r="S16" t="n" s="5698">
        <v>0.0</v>
      </c>
      <c r="T16" t="n" s="5699">
        <v>0.0</v>
      </c>
      <c r="U16" t="n" s="5700">
        <v>10.0</v>
      </c>
      <c r="V16" s="5701">
        <f>L16+O16+R16</f>
      </c>
      <c r="W16" t="n" s="5702">
        <v>2562.0</v>
      </c>
      <c r="X16" s="5703">
        <f>s16+t16+u16+w16</f>
      </c>
      <c r="Y16" t="n" s="5704">
        <v>5.0</v>
      </c>
      <c r="Z16" t="n" s="5705">
        <v>43.25</v>
      </c>
      <c r="AA16" t="n" s="5706">
        <v>8.0</v>
      </c>
      <c r="AB16" t="n" s="5707">
        <v>92.32</v>
      </c>
      <c r="AC16" t="n" s="5708">
        <v>0.0</v>
      </c>
      <c r="AD16" t="n" s="5709">
        <v>0.0</v>
      </c>
      <c r="AE16" s="5710">
        <f>y16+aa16+ac16</f>
      </c>
      <c r="AF16" s="5711">
        <f>z16+ab16+ad16</f>
      </c>
      <c r="AG16" t="n" s="5712">
        <v>336.0</v>
      </c>
      <c r="AH16" t="n" s="5713">
        <v>46.35</v>
      </c>
      <c r="AI16" t="n" s="5714">
        <v>5.3</v>
      </c>
      <c r="AJ16" s="5715">
        <f>x16+af16+ag16+ah16+ai16</f>
      </c>
      <c r="AK16" s="5716">
        <f>ROUND((l16+t16+af16+ag16+ah16+ai16+w16)*0.05,2)</f>
      </c>
      <c r="AL16" s="5717">
        <f>aj16+ak16</f>
      </c>
      <c r="AM16" s="5718">
        <f>190*0.06</f>
      </c>
      <c r="AN16" s="5719">
        <f>al16+am16</f>
      </c>
      <c r="AO16" t="s" s="5720">
        <v>0</v>
      </c>
    </row>
    <row r="17" ht="15.0" customHeight="true">
      <c r="L17" t="s" s="5721">
        <v>0</v>
      </c>
      <c r="M17" t="s" s="5722">
        <v>0</v>
      </c>
      <c r="N17" t="s" s="5723">
        <v>0</v>
      </c>
      <c r="O17" t="s" s="5724">
        <v>0</v>
      </c>
      <c r="P17" t="s" s="5725">
        <v>0</v>
      </c>
      <c r="Q17" t="s" s="5726">
        <v>0</v>
      </c>
      <c r="R17" t="s" s="5727">
        <v>0</v>
      </c>
      <c r="S17" t="s" s="5728">
        <v>0</v>
      </c>
      <c r="T17" t="s" s="5729">
        <v>0</v>
      </c>
      <c r="U17" t="s" s="5730">
        <v>0</v>
      </c>
      <c r="V17" t="s" s="5731">
        <v>0</v>
      </c>
      <c r="W17" t="s" s="5732">
        <v>0</v>
      </c>
      <c r="X17" t="s" s="5733">
        <v>0</v>
      </c>
      <c r="Y17" t="s" s="5734">
        <v>0</v>
      </c>
      <c r="Z17" t="s" s="5735">
        <v>0</v>
      </c>
      <c r="AA17" t="s" s="5736">
        <v>0</v>
      </c>
      <c r="AB17" t="s" s="5737">
        <v>0</v>
      </c>
      <c r="AC17" t="s" s="5738">
        <v>0</v>
      </c>
      <c r="AD17" t="s" s="5739">
        <v>0</v>
      </c>
      <c r="AE17" t="s" s="5740">
        <v>0</v>
      </c>
      <c r="AF17" t="s" s="5741">
        <v>0</v>
      </c>
      <c r="AG17" t="s" s="5742">
        <v>0</v>
      </c>
      <c r="AH17" t="s" s="5743">
        <v>0</v>
      </c>
      <c r="AI17" t="s" s="5744">
        <v>0</v>
      </c>
      <c r="AJ17" t="s" s="5745">
        <v>0</v>
      </c>
      <c r="AK17" t="s" s="5746">
        <v>0</v>
      </c>
      <c r="AL17" t="s" s="5747">
        <v>0</v>
      </c>
    </row>
    <row r="18" ht="15.0" customHeight="true"/>
    <row r="19" ht="15.0" customHeight="true">
      <c r="A19" t="s" s="5748">
        <v>0</v>
      </c>
      <c r="B19" t="s" s="5749">
        <v>264</v>
      </c>
      <c r="C19" s="5750">
        <f>COUNTA(A11:A16)</f>
      </c>
      <c r="L19" s="5751">
        <f>SUM(l11:l16)</f>
      </c>
      <c r="M19" s="5752">
        <f>SUM(m11:m16)</f>
      </c>
      <c r="N19" t="s" s="5753">
        <v>0</v>
      </c>
      <c r="O19" s="5754">
        <f>SUM(o11:o16)</f>
      </c>
      <c r="P19" s="5755">
        <f>SUM(p11:p16)</f>
      </c>
      <c r="Q19" t="s" s="5756">
        <v>0</v>
      </c>
      <c r="R19" s="5757">
        <f>SUM(r11:r16)</f>
      </c>
      <c r="S19" s="5758">
        <f>SUM(s11:s16)</f>
      </c>
      <c r="T19" s="5759">
        <f>SUM(t11:t16)</f>
      </c>
      <c r="U19" s="5760">
        <f>SUM(u11:u16)</f>
      </c>
      <c r="V19" s="5761">
        <f>SUM(v11:v16)</f>
      </c>
      <c r="W19" s="5762">
        <f>SUM(w11:w16)</f>
      </c>
      <c r="X19" s="5763">
        <f>SUM(x11:x16)</f>
      </c>
      <c r="Y19" s="5764">
        <f>SUM(y11:y16)</f>
      </c>
      <c r="Z19" s="5765">
        <f>SUM(z11:z16)</f>
      </c>
      <c r="AA19" s="5766">
        <f>SUM(aa11:aa16)</f>
      </c>
      <c r="AB19" s="5767">
        <f>SUM(ab11:ab16)</f>
      </c>
      <c r="AC19" s="5768">
        <f>SUM(ac11:ac16)</f>
      </c>
      <c r="AD19" s="5769">
        <f>SUM(ad11:ad16)</f>
      </c>
      <c r="AE19" s="5770">
        <f>SUM(ae11:ae16)</f>
      </c>
      <c r="AF19" s="5771">
        <f>SUM(af11:af16)</f>
      </c>
      <c r="AG19" s="5772">
        <f>SUM(ag11:ag16)</f>
      </c>
      <c r="AH19" s="5773">
        <f>SUM(ah11:ah16)</f>
      </c>
      <c r="AI19" s="5774">
        <f>SUM(ai11:ai16)</f>
      </c>
      <c r="AJ19" s="5775">
        <f>SUM(aj11:aj16)</f>
      </c>
      <c r="AK19" s="5776">
        <f>SUM(ak11:ak16)</f>
      </c>
      <c r="AL19" s="5777">
        <f>SUM(al11:al16)</f>
      </c>
      <c r="AM19" s="5778">
        <f>SUM(am11:am16)</f>
      </c>
      <c r="AN19" s="5779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780">
        <v>0</v>
      </c>
      <c r="B1" t="s" s="5781">
        <v>1</v>
      </c>
      <c r="Y1" t="s" s="5782">
        <v>6</v>
      </c>
      <c r="Z1" t="n" s="5783">
        <v>2020.0</v>
      </c>
    </row>
    <row r="2" ht="15.0" customHeight="true">
      <c r="A2" t="s" s="5784">
        <v>0</v>
      </c>
      <c r="B2" t="s" s="5785">
        <v>2</v>
      </c>
      <c r="Y2" t="s" s="5786">
        <v>7</v>
      </c>
      <c r="Z2" t="n" s="5787">
        <v>2020.0</v>
      </c>
    </row>
    <row r="3" ht="15.0" customHeight="true">
      <c r="A3" t="s" s="5788">
        <v>0</v>
      </c>
      <c r="B3" t="s" s="5789">
        <v>3</v>
      </c>
    </row>
    <row r="4" ht="15.0" customHeight="true">
      <c r="A4" t="s" s="5790">
        <v>0</v>
      </c>
      <c r="B4" t="s" s="5791">
        <v>4</v>
      </c>
    </row>
    <row r="5" ht="15.0" customHeight="true">
      <c r="A5" t="s" s="5792">
        <v>0</v>
      </c>
      <c r="B5" t="s" s="5793">
        <v>5</v>
      </c>
    </row>
    <row r="6" ht="15.0" customHeight="true"/>
    <row r="7" ht="15.0" customHeight="true"/>
    <row r="8" ht="28.0" customHeight="true">
      <c r="A8" t="s" s="5794">
        <v>0</v>
      </c>
      <c r="B8" t="s" s="5795">
        <v>0</v>
      </c>
      <c r="C8" t="s" s="5796">
        <v>0</v>
      </c>
      <c r="D8" t="s" s="5797">
        <v>0</v>
      </c>
      <c r="E8" t="s" s="5798">
        <v>0</v>
      </c>
      <c r="F8" t="s" s="5799">
        <v>0</v>
      </c>
      <c r="G8" t="s" s="5800">
        <v>0</v>
      </c>
      <c r="H8" t="s" s="5801">
        <v>0</v>
      </c>
      <c r="I8" t="s" s="5802">
        <v>0</v>
      </c>
      <c r="J8" t="s" s="5803">
        <v>0</v>
      </c>
      <c r="K8" t="s" s="5804">
        <v>0</v>
      </c>
      <c r="L8" t="s" s="5805">
        <v>0</v>
      </c>
      <c r="M8" t="s" s="5806">
        <v>0</v>
      </c>
      <c r="N8" t="s" s="5807">
        <v>0</v>
      </c>
      <c r="O8" t="s" s="5808">
        <v>0</v>
      </c>
      <c r="P8" t="s" s="5809">
        <v>0</v>
      </c>
      <c r="Q8" t="s" s="5810">
        <v>0</v>
      </c>
      <c r="R8" t="s" s="5811">
        <v>0</v>
      </c>
      <c r="S8" t="s" s="5812">
        <v>0</v>
      </c>
      <c r="T8" t="s" s="5813">
        <v>0</v>
      </c>
      <c r="U8" t="s" s="5814">
        <v>0</v>
      </c>
      <c r="V8" t="s" s="5815">
        <v>0</v>
      </c>
      <c r="W8" t="s" s="5816">
        <v>0</v>
      </c>
      <c r="X8" t="s" s="5817">
        <v>0</v>
      </c>
      <c r="Y8" t="s" s="5818">
        <v>0</v>
      </c>
      <c r="Z8" t="s" s="5819">
        <v>0</v>
      </c>
      <c r="AA8" t="s" s="5820">
        <v>0</v>
      </c>
      <c r="AB8" t="s" s="5821">
        <v>0</v>
      </c>
      <c r="AC8" t="s" s="5822">
        <v>8</v>
      </c>
      <c r="AD8" t="s" s="5823">
        <v>0</v>
      </c>
      <c r="AE8" t="s" s="5824">
        <v>0</v>
      </c>
      <c r="AF8" t="s" s="5825">
        <v>0</v>
      </c>
      <c r="AG8" t="s" s="5826">
        <v>0</v>
      </c>
      <c r="AH8" t="s" s="5827">
        <v>0</v>
      </c>
      <c r="AI8" t="s" s="5828">
        <v>0</v>
      </c>
      <c r="AJ8" t="s" s="5829">
        <v>0</v>
      </c>
      <c r="AK8" t="s" s="5830">
        <v>0</v>
      </c>
      <c r="AL8" t="s" s="5831">
        <v>0</v>
      </c>
      <c r="AM8" t="s" s="5832">
        <v>0</v>
      </c>
      <c r="AN8" t="s" s="5833">
        <v>0</v>
      </c>
      <c r="AO8" t="s" s="5834">
        <v>0</v>
      </c>
    </row>
    <row r="9" ht="41.0" customHeight="true">
      <c r="A9" t="s" s="5835">
        <v>9</v>
      </c>
      <c r="B9" t="s" s="5836">
        <v>10</v>
      </c>
      <c r="C9" t="s" s="5837">
        <v>11</v>
      </c>
      <c r="D9" t="s" s="5838">
        <v>12</v>
      </c>
      <c r="E9" t="s" s="5839">
        <v>13</v>
      </c>
      <c r="F9" t="s" s="5840">
        <v>14</v>
      </c>
      <c r="G9" t="s" s="5841">
        <v>15</v>
      </c>
      <c r="H9" t="s" s="5842">
        <v>16</v>
      </c>
      <c r="I9" t="s" s="5843">
        <v>17</v>
      </c>
      <c r="J9" t="s" s="5844">
        <v>18</v>
      </c>
      <c r="K9" t="s" s="5845">
        <v>19</v>
      </c>
      <c r="L9" t="s" s="5846">
        <v>20</v>
      </c>
      <c r="M9" t="s" s="5847">
        <v>21</v>
      </c>
      <c r="N9" t="s" s="5848">
        <v>22</v>
      </c>
      <c r="O9" t="s" s="5849">
        <v>23</v>
      </c>
      <c r="P9" t="s" s="5850">
        <v>24</v>
      </c>
      <c r="Q9" t="s" s="5851">
        <v>25</v>
      </c>
      <c r="R9" t="s" s="5852">
        <v>26</v>
      </c>
      <c r="S9" t="s" s="5853">
        <v>27</v>
      </c>
      <c r="T9" t="s" s="5854">
        <v>28</v>
      </c>
      <c r="U9" t="s" s="5855">
        <v>29</v>
      </c>
      <c r="V9" t="s" s="5856">
        <v>30</v>
      </c>
      <c r="W9" t="s" s="5857">
        <v>31</v>
      </c>
      <c r="X9" t="s" s="5858">
        <v>32</v>
      </c>
      <c r="Y9" t="s" s="5859">
        <v>33</v>
      </c>
      <c r="Z9" t="s" s="5860">
        <v>34</v>
      </c>
      <c r="AA9" t="s" s="5861">
        <v>35</v>
      </c>
      <c r="AB9" t="s" s="5862">
        <v>36</v>
      </c>
      <c r="AC9" t="s" s="5863">
        <v>37</v>
      </c>
      <c r="AD9" t="s" s="5864">
        <v>38</v>
      </c>
      <c r="AE9" t="s" s="5865">
        <v>39</v>
      </c>
      <c r="AF9" t="s" s="5866">
        <v>40</v>
      </c>
      <c r="AG9" t="s" s="5867">
        <v>41</v>
      </c>
      <c r="AH9" t="s" s="5868">
        <v>42</v>
      </c>
      <c r="AI9" t="s" s="5869">
        <v>43</v>
      </c>
      <c r="AJ9" t="s" s="5870">
        <v>44</v>
      </c>
      <c r="AK9" t="s" s="5871">
        <v>45</v>
      </c>
      <c r="AL9" t="s" s="5872">
        <v>46</v>
      </c>
      <c r="AM9" t="s" s="5873">
        <v>47</v>
      </c>
      <c r="AN9" t="s" s="5874">
        <v>48</v>
      </c>
      <c r="AO9" t="s" s="5875">
        <v>49</v>
      </c>
    </row>
    <row r="10" ht="15.0" customHeight="true">
      <c r="A10" t="s" s="5876">
        <v>0</v>
      </c>
      <c r="B10" t="s" s="5877">
        <v>0</v>
      </c>
      <c r="C10" t="s" s="5878">
        <v>0</v>
      </c>
      <c r="D10" t="s" s="5879">
        <v>0</v>
      </c>
      <c r="E10" t="s" s="5880">
        <v>0</v>
      </c>
      <c r="F10" t="s" s="5881">
        <v>0</v>
      </c>
      <c r="G10" t="s" s="5882">
        <v>0</v>
      </c>
      <c r="H10" t="s" s="5883">
        <v>0</v>
      </c>
      <c r="I10" t="s" s="5884">
        <v>0</v>
      </c>
      <c r="J10" t="s" s="5885">
        <v>0</v>
      </c>
      <c r="K10" t="s" s="5886">
        <v>0</v>
      </c>
      <c r="L10" t="s" s="5887">
        <v>0</v>
      </c>
      <c r="M10" t="s" s="5888">
        <v>0</v>
      </c>
      <c r="N10" t="s" s="5889">
        <v>0</v>
      </c>
      <c r="O10" t="s" s="5890">
        <v>0</v>
      </c>
      <c r="P10" t="s" s="5891">
        <v>0</v>
      </c>
      <c r="Q10" t="s" s="5892">
        <v>0</v>
      </c>
      <c r="R10" t="s" s="5893">
        <v>0</v>
      </c>
      <c r="S10" t="s" s="5894">
        <v>0</v>
      </c>
      <c r="T10" t="s" s="5895">
        <v>0</v>
      </c>
      <c r="U10" t="s" s="5896">
        <v>0</v>
      </c>
      <c r="V10" t="s" s="5897">
        <v>0</v>
      </c>
      <c r="W10" t="s" s="5898">
        <v>0</v>
      </c>
      <c r="X10" t="s" s="5899">
        <v>0</v>
      </c>
      <c r="Y10" t="n" s="5900">
        <v>1.5</v>
      </c>
      <c r="Z10" t="n" s="5901">
        <v>1.5</v>
      </c>
      <c r="AA10" t="n" s="5902">
        <v>2.0</v>
      </c>
      <c r="AB10" t="n" s="5903">
        <v>2.0</v>
      </c>
      <c r="AC10" t="n" s="5904">
        <v>3.0</v>
      </c>
      <c r="AD10" t="n" s="5905">
        <v>3.0</v>
      </c>
      <c r="AE10" t="s" s="5906">
        <v>50</v>
      </c>
      <c r="AF10" t="s" s="5907">
        <v>50</v>
      </c>
      <c r="AG10" t="s" s="5908">
        <v>0</v>
      </c>
      <c r="AH10" t="s" s="5909">
        <v>0</v>
      </c>
      <c r="AI10" t="s" s="5910">
        <v>0</v>
      </c>
      <c r="AJ10" t="s" s="5911">
        <v>0</v>
      </c>
      <c r="AK10" t="s" s="5912">
        <v>0</v>
      </c>
      <c r="AL10" t="s" s="5913">
        <v>0</v>
      </c>
      <c r="AM10" t="s" s="5914">
        <v>0</v>
      </c>
      <c r="AN10" t="s" s="5915">
        <v>0</v>
      </c>
      <c r="AO10" t="s" s="5916">
        <v>0</v>
      </c>
    </row>
    <row r="11" ht="15.0" customHeight="true">
      <c r="A11" t="s" s="5917">
        <v>241</v>
      </c>
      <c r="B11" t="s" s="5918">
        <v>242</v>
      </c>
      <c r="C11" t="s" s="5919">
        <v>243</v>
      </c>
      <c r="D11" t="s" s="5920">
        <v>244</v>
      </c>
      <c r="E11" t="s" s="5921">
        <v>55</v>
      </c>
      <c r="F11" t="s" s="5922">
        <v>245</v>
      </c>
      <c r="G11" t="s" s="5923">
        <v>246</v>
      </c>
      <c r="H11" t="s" s="5924">
        <v>247</v>
      </c>
      <c r="I11" t="n" s="5925">
        <v>43952.0</v>
      </c>
      <c r="J11" t="n" s="5926">
        <v>44104.0</v>
      </c>
      <c r="K11" t="s" s="5927">
        <v>0</v>
      </c>
      <c r="L11" t="n" s="5928">
        <v>0.0</v>
      </c>
      <c r="M11" t="n" s="5929">
        <v>0.0</v>
      </c>
      <c r="N11" t="n" s="5930">
        <v>0.0</v>
      </c>
      <c r="O11" s="5931">
        <f>M11*N11</f>
      </c>
      <c r="P11" t="n" s="5932">
        <v>0.0</v>
      </c>
      <c r="Q11" t="n" s="5933">
        <v>0.0</v>
      </c>
      <c r="R11" s="5934">
        <f>P11*Q11</f>
      </c>
      <c r="S11" t="n" s="5935">
        <v>0.0</v>
      </c>
      <c r="T11" t="n" s="5936">
        <v>0.0</v>
      </c>
      <c r="U11" t="n" s="5937">
        <v>20.0</v>
      </c>
      <c r="V11" s="5938">
        <f>L11+O11+R11</f>
      </c>
      <c r="W11" t="n" s="5939">
        <v>1204.0</v>
      </c>
      <c r="X11" s="5940">
        <f>s11+t11+u11+w11</f>
      </c>
      <c r="Y11" t="n" s="5941">
        <v>0.0</v>
      </c>
      <c r="Z11" t="n" s="5942">
        <v>0.0</v>
      </c>
      <c r="AA11" t="n" s="5943">
        <v>8.0</v>
      </c>
      <c r="AB11" t="n" s="5944">
        <v>110.0</v>
      </c>
      <c r="AC11" t="n" s="5945">
        <v>0.0</v>
      </c>
      <c r="AD11" t="n" s="5946">
        <v>0.0</v>
      </c>
      <c r="AE11" s="5947">
        <f>y11+aa11+ac11</f>
      </c>
      <c r="AF11" s="5948">
        <f>z11+ab11+ad11</f>
      </c>
      <c r="AG11" t="n" s="5949">
        <v>159.0</v>
      </c>
      <c r="AH11" t="n" s="5950">
        <v>23.65</v>
      </c>
      <c r="AI11" t="n" s="5951">
        <v>2.7</v>
      </c>
      <c r="AJ11" s="5952">
        <f>x11+af11+ag11+ah11+ai11</f>
      </c>
      <c r="AK11" s="5953">
        <f>ROUND((l11+t11+af11+ag11+ah11+ai11+w11)*0.05,2)</f>
      </c>
      <c r="AL11" s="5954">
        <f>aj11+ak11</f>
      </c>
      <c r="AM11" s="5955">
        <f>200*0.06</f>
      </c>
      <c r="AN11" s="5956">
        <f>al11+am11</f>
      </c>
      <c r="AO11" t="s" s="5957">
        <v>0</v>
      </c>
    </row>
    <row r="12" ht="15.0" customHeight="true">
      <c r="A12" t="s" s="5958">
        <v>248</v>
      </c>
      <c r="B12" t="s" s="5959">
        <v>249</v>
      </c>
      <c r="C12" t="s" s="5960">
        <v>250</v>
      </c>
      <c r="D12" t="s" s="5961">
        <v>251</v>
      </c>
      <c r="E12" t="s" s="5962">
        <v>55</v>
      </c>
      <c r="F12" t="s" s="5963">
        <v>252</v>
      </c>
      <c r="G12" t="s" s="5964">
        <v>246</v>
      </c>
      <c r="H12" t="s" s="5965">
        <v>247</v>
      </c>
      <c r="I12" t="n" s="5966">
        <v>43952.0</v>
      </c>
      <c r="J12" t="n" s="5967">
        <v>44104.0</v>
      </c>
      <c r="K12" t="s" s="5968">
        <v>0</v>
      </c>
      <c r="L12" t="n" s="5969">
        <v>0.0</v>
      </c>
      <c r="M12" t="n" s="5970">
        <v>0.0</v>
      </c>
      <c r="N12" t="n" s="5971">
        <v>0.0</v>
      </c>
      <c r="O12" s="5972">
        <f>M12*N12</f>
      </c>
      <c r="P12" t="n" s="5973">
        <v>0.0</v>
      </c>
      <c r="Q12" t="n" s="5974">
        <v>0.0</v>
      </c>
      <c r="R12" s="5975">
        <f>P12*Q12</f>
      </c>
      <c r="S12" t="n" s="5976">
        <v>0.0</v>
      </c>
      <c r="T12" t="n" s="5977">
        <v>0.0</v>
      </c>
      <c r="U12" t="n" s="5978">
        <v>10.0</v>
      </c>
      <c r="V12" s="5979">
        <f>L12+O12+R12</f>
      </c>
      <c r="W12" t="n" s="5980">
        <v>1918.0</v>
      </c>
      <c r="X12" s="5981">
        <f>s12+t12+u12+w12</f>
      </c>
      <c r="Y12" t="n" s="5982">
        <v>0.0</v>
      </c>
      <c r="Z12" t="n" s="5983">
        <v>0.0</v>
      </c>
      <c r="AA12" t="n" s="5984">
        <v>8.0</v>
      </c>
      <c r="AB12" t="n" s="5985">
        <v>96.16</v>
      </c>
      <c r="AC12" t="n" s="5986">
        <v>0.0</v>
      </c>
      <c r="AD12" t="n" s="5987">
        <v>0.0</v>
      </c>
      <c r="AE12" s="5988">
        <f>y12+aa12+ac12</f>
      </c>
      <c r="AF12" s="5989">
        <f>z12+ab12+ad12</f>
      </c>
      <c r="AG12" t="n" s="5990">
        <v>263.0</v>
      </c>
      <c r="AH12" t="n" s="5991">
        <v>37.65</v>
      </c>
      <c r="AI12" t="n" s="5992">
        <v>4.3</v>
      </c>
      <c r="AJ12" s="5993">
        <f>x12+af12+ag12+ah12+ai12</f>
      </c>
      <c r="AK12" s="5994">
        <f>ROUND((l12+t12+af12+ag12+ah12+ai12+w12)*0.05,2)</f>
      </c>
      <c r="AL12" s="5995">
        <f>aj12+ak12</f>
      </c>
      <c r="AM12" s="5996">
        <f>190*0.06</f>
      </c>
      <c r="AN12" s="5997">
        <f>al12+am12</f>
      </c>
      <c r="AO12" t="s" s="5998">
        <v>0</v>
      </c>
    </row>
    <row r="13" ht="15.0" customHeight="true">
      <c r="A13" t="s" s="5999">
        <v>253</v>
      </c>
      <c r="B13" t="s" s="6000">
        <v>254</v>
      </c>
      <c r="C13" t="s" s="6001">
        <v>255</v>
      </c>
      <c r="D13" t="s" s="6002">
        <v>256</v>
      </c>
      <c r="E13" t="s" s="6003">
        <v>55</v>
      </c>
      <c r="F13" t="s" s="6004">
        <v>257</v>
      </c>
      <c r="G13" t="s" s="6005">
        <v>246</v>
      </c>
      <c r="H13" t="s" s="6006">
        <v>247</v>
      </c>
      <c r="I13" t="n" s="6007">
        <v>43952.0</v>
      </c>
      <c r="J13" t="n" s="6008">
        <v>44104.0</v>
      </c>
      <c r="K13" t="s" s="6009">
        <v>0</v>
      </c>
      <c r="L13" t="n" s="6010">
        <v>0.0</v>
      </c>
      <c r="M13" t="n" s="6011">
        <v>0.0</v>
      </c>
      <c r="N13" t="n" s="6012">
        <v>0.0</v>
      </c>
      <c r="O13" s="6013">
        <f>M13*N13</f>
      </c>
      <c r="P13" t="n" s="6014">
        <v>0.0</v>
      </c>
      <c r="Q13" t="n" s="6015">
        <v>0.0</v>
      </c>
      <c r="R13" s="6016">
        <f>P13*Q13</f>
      </c>
      <c r="S13" t="n" s="6017">
        <v>0.0</v>
      </c>
      <c r="T13" t="n" s="6018">
        <v>0.0</v>
      </c>
      <c r="U13" t="n" s="6019">
        <v>22.0</v>
      </c>
      <c r="V13" s="6020">
        <f>L13+O13+R13</f>
      </c>
      <c r="W13" t="n" s="6021">
        <v>799.0</v>
      </c>
      <c r="X13" s="6022">
        <f>s13+t13+u13+w13</f>
      </c>
      <c r="Y13" t="n" s="6023">
        <v>0.0</v>
      </c>
      <c r="Z13" t="n" s="6024">
        <v>0.0</v>
      </c>
      <c r="AA13" t="n" s="6025">
        <v>8.0</v>
      </c>
      <c r="AB13" t="n" s="6026">
        <v>111.52</v>
      </c>
      <c r="AC13" t="n" s="6027">
        <v>0.0</v>
      </c>
      <c r="AD13" t="n" s="6028">
        <v>0.0</v>
      </c>
      <c r="AE13" s="6029">
        <f>y13+aa13+ac13</f>
      </c>
      <c r="AF13" s="6030">
        <f>z13+ab13+ad13</f>
      </c>
      <c r="AG13" t="n" s="6031">
        <v>177.0</v>
      </c>
      <c r="AH13" t="n" s="6032">
        <v>25.35</v>
      </c>
      <c r="AI13" t="n" s="6033">
        <v>2.9</v>
      </c>
      <c r="AJ13" s="6034">
        <f>x13+af13+ag13+ah13+ai13</f>
      </c>
      <c r="AK13" s="6035">
        <f>ROUND((l13+t13+af13+ag13+ah13+ai13+w13)*0.05,2)</f>
      </c>
      <c r="AL13" s="6036">
        <f>aj13+ak13</f>
      </c>
      <c r="AM13" s="6037">
        <f>202*0.06</f>
      </c>
      <c r="AN13" s="6038">
        <f>al13+am13</f>
      </c>
      <c r="AO13" t="s" s="6039">
        <v>0</v>
      </c>
    </row>
    <row r="14" ht="15.0" customHeight="true">
      <c r="A14" t="s" s="6040">
        <v>258</v>
      </c>
      <c r="B14" t="s" s="6041">
        <v>259</v>
      </c>
      <c r="C14" t="s" s="6042">
        <v>260</v>
      </c>
      <c r="D14" t="s" s="6043">
        <v>261</v>
      </c>
      <c r="E14" t="s" s="6044">
        <v>262</v>
      </c>
      <c r="F14" t="s" s="6045">
        <v>0</v>
      </c>
      <c r="G14" t="s" s="6046">
        <v>263</v>
      </c>
      <c r="H14" t="s" s="6047">
        <v>247</v>
      </c>
      <c r="I14" t="n" s="6048">
        <v>43952.0</v>
      </c>
      <c r="J14" t="n" s="6049">
        <v>44104.0</v>
      </c>
      <c r="K14" t="s" s="6050">
        <v>0</v>
      </c>
      <c r="L14" t="n" s="6051">
        <v>0.0</v>
      </c>
      <c r="M14" t="n" s="6052">
        <v>0.0</v>
      </c>
      <c r="N14" t="n" s="6053">
        <v>0.0</v>
      </c>
      <c r="O14" s="6054">
        <f>M14*N14</f>
      </c>
      <c r="P14" t="n" s="6055">
        <v>0.0</v>
      </c>
      <c r="Q14" t="n" s="6056">
        <v>0.0</v>
      </c>
      <c r="R14" s="6057">
        <f>P14*Q14</f>
      </c>
      <c r="S14" t="n" s="6058">
        <v>0.0</v>
      </c>
      <c r="T14" t="n" s="6059">
        <v>0.0</v>
      </c>
      <c r="U14" t="n" s="6060">
        <v>676.48</v>
      </c>
      <c r="V14" s="6061">
        <f>L14+O14+R14</f>
      </c>
      <c r="W14" t="n" s="6062">
        <v>1900.0</v>
      </c>
      <c r="X14" s="6063">
        <f>s14+t14+u14+w14</f>
      </c>
      <c r="Y14" t="n" s="6064">
        <v>0.0</v>
      </c>
      <c r="Z14" t="n" s="6065">
        <v>0.0</v>
      </c>
      <c r="AA14" t="n" s="6066">
        <v>0.0</v>
      </c>
      <c r="AB14" t="n" s="6067">
        <v>0.0</v>
      </c>
      <c r="AC14" t="n" s="6068">
        <v>0.0</v>
      </c>
      <c r="AD14" t="n" s="6069">
        <v>0.0</v>
      </c>
      <c r="AE14" s="6070">
        <f>y14+aa14+ac14</f>
      </c>
      <c r="AF14" s="6071">
        <f>z14+ab14+ad14</f>
      </c>
      <c r="AG14" t="n" s="6072">
        <v>484.0</v>
      </c>
      <c r="AH14" t="n" s="6073">
        <v>65.65</v>
      </c>
      <c r="AI14" t="n" s="6074">
        <v>7.5</v>
      </c>
      <c r="AJ14" s="6075">
        <f>x14+af14+ag14+ah14+ai14</f>
      </c>
      <c r="AK14" s="6076">
        <f>ROUND((l14+t14+af14+ag14+ah14+ai14+w14)*0.05,2)</f>
      </c>
      <c r="AL14" s="6077">
        <f>aj14+ak14</f>
      </c>
      <c r="AM14" s="6078">
        <f>856.48*0.06</f>
      </c>
      <c r="AN14" s="6079">
        <f>al14+am14</f>
      </c>
      <c r="AO14" t="s" s="6080">
        <v>0</v>
      </c>
    </row>
    <row r="15" ht="15.0" customHeight="true">
      <c r="L15" t="s" s="6081">
        <v>0</v>
      </c>
      <c r="M15" t="s" s="6082">
        <v>0</v>
      </c>
      <c r="N15" t="s" s="6083">
        <v>0</v>
      </c>
      <c r="O15" t="s" s="6084">
        <v>0</v>
      </c>
      <c r="P15" t="s" s="6085">
        <v>0</v>
      </c>
      <c r="Q15" t="s" s="6086">
        <v>0</v>
      </c>
      <c r="R15" t="s" s="6087">
        <v>0</v>
      </c>
      <c r="S15" t="s" s="6088">
        <v>0</v>
      </c>
      <c r="T15" t="s" s="6089">
        <v>0</v>
      </c>
      <c r="U15" t="s" s="6090">
        <v>0</v>
      </c>
      <c r="V15" t="s" s="6091">
        <v>0</v>
      </c>
      <c r="W15" t="s" s="6092">
        <v>0</v>
      </c>
      <c r="X15" t="s" s="6093">
        <v>0</v>
      </c>
      <c r="Y15" t="s" s="6094">
        <v>0</v>
      </c>
      <c r="Z15" t="s" s="6095">
        <v>0</v>
      </c>
      <c r="AA15" t="s" s="6096">
        <v>0</v>
      </c>
      <c r="AB15" t="s" s="6097">
        <v>0</v>
      </c>
      <c r="AC15" t="s" s="6098">
        <v>0</v>
      </c>
      <c r="AD15" t="s" s="6099">
        <v>0</v>
      </c>
      <c r="AE15" t="s" s="6100">
        <v>0</v>
      </c>
      <c r="AF15" t="s" s="6101">
        <v>0</v>
      </c>
      <c r="AG15" t="s" s="6102">
        <v>0</v>
      </c>
      <c r="AH15" t="s" s="6103">
        <v>0</v>
      </c>
      <c r="AI15" t="s" s="6104">
        <v>0</v>
      </c>
      <c r="AJ15" t="s" s="6105">
        <v>0</v>
      </c>
      <c r="AK15" t="s" s="6106">
        <v>0</v>
      </c>
      <c r="AL15" t="s" s="6107">
        <v>0</v>
      </c>
    </row>
    <row r="16" ht="15.0" customHeight="true"/>
    <row r="17" ht="15.0" customHeight="true">
      <c r="A17" t="s" s="6108">
        <v>0</v>
      </c>
      <c r="B17" t="s" s="6109">
        <v>264</v>
      </c>
      <c r="C17" s="6110">
        <f>COUNTA(A11:A14)</f>
      </c>
      <c r="L17" s="6111">
        <f>SUM(l11:l14)</f>
      </c>
      <c r="M17" s="6112">
        <f>SUM(m11:m14)</f>
      </c>
      <c r="N17" t="s" s="6113">
        <v>0</v>
      </c>
      <c r="O17" s="6114">
        <f>SUM(o11:o14)</f>
      </c>
      <c r="P17" s="6115">
        <f>SUM(p11:p14)</f>
      </c>
      <c r="Q17" t="s" s="6116">
        <v>0</v>
      </c>
      <c r="R17" s="6117">
        <f>SUM(r11:r14)</f>
      </c>
      <c r="S17" s="6118">
        <f>SUM(s11:s14)</f>
      </c>
      <c r="T17" s="6119">
        <f>SUM(t11:t14)</f>
      </c>
      <c r="U17" s="6120">
        <f>SUM(u11:u14)</f>
      </c>
      <c r="V17" s="6121">
        <f>SUM(v11:v14)</f>
      </c>
      <c r="W17" s="6122">
        <f>SUM(w11:w14)</f>
      </c>
      <c r="X17" s="6123">
        <f>SUM(x11:x14)</f>
      </c>
      <c r="Y17" s="6124">
        <f>SUM(y11:y14)</f>
      </c>
      <c r="Z17" s="6125">
        <f>SUM(z11:z14)</f>
      </c>
      <c r="AA17" s="6126">
        <f>SUM(aa11:aa14)</f>
      </c>
      <c r="AB17" s="6127">
        <f>SUM(ab11:ab14)</f>
      </c>
      <c r="AC17" s="6128">
        <f>SUM(ac11:ac14)</f>
      </c>
      <c r="AD17" s="6129">
        <f>SUM(ad11:ad14)</f>
      </c>
      <c r="AE17" s="6130">
        <f>SUM(ae11:ae14)</f>
      </c>
      <c r="AF17" s="6131">
        <f>SUM(af11:af14)</f>
      </c>
      <c r="AG17" s="6132">
        <f>SUM(ag11:ag14)</f>
      </c>
      <c r="AH17" s="6133">
        <f>SUM(ah11:ah14)</f>
      </c>
      <c r="AI17" s="6134">
        <f>SUM(ai11:ai14)</f>
      </c>
      <c r="AJ17" s="6135">
        <f>SUM(aj11:aj14)</f>
      </c>
      <c r="AK17" s="6136">
        <f>SUM(ak11:ak14)</f>
      </c>
      <c r="AL17" s="6137">
        <f>SUM(al11:al14)</f>
      </c>
      <c r="AM17" s="6138">
        <f>SUM(am11:am14)</f>
      </c>
      <c r="AN17" s="6139">
        <f>SUM(an11:an14)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2020-10-16T14:26:30Z</dcterms:created>
  <dc:creator>Apache POI</dc:creator>
</coreProperties>
</file>